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Gandalf\Dokumentumok\Jogiosztaly\gats.andrea\dokumentumok\rendelet\2026\"/>
    </mc:Choice>
  </mc:AlternateContent>
  <xr:revisionPtr revIDLastSave="0" documentId="13_ncr:1_{E11C271D-65D6-4EF9-82B1-BD7660387A3B}" xr6:coauthVersionLast="47" xr6:coauthVersionMax="47" xr10:uidLastSave="{00000000-0000-0000-0000-000000000000}"/>
  <bookViews>
    <workbookView xWindow="-120" yWindow="-120" windowWidth="29040" windowHeight="15720" tabRatio="697" firstSheet="11" activeTab="19" xr2:uid="{00000000-000D-0000-FFFF-FFFF00000000}"/>
  </bookViews>
  <sheets>
    <sheet name="1 kiemelt ei. " sheetId="77" r:id="rId1"/>
    <sheet name="2 mérleg" sheetId="2" r:id="rId2"/>
    <sheet name="3 működési bevételek" sheetId="52" r:id="rId3"/>
    <sheet name="4 intézményi bevétel" sheetId="146" r:id="rId4"/>
    <sheet name="5 normatíva" sheetId="145" r:id="rId5"/>
    <sheet name="6 intézményi kiadás" sheetId="142" r:id="rId6"/>
    <sheet name="7 létszám" sheetId="144" r:id="rId7"/>
    <sheet name="8 oktatás" sheetId="6" r:id="rId8"/>
    <sheet name="9 kultúra" sheetId="7" r:id="rId9"/>
    <sheet name="10 szociális" sheetId="8" r:id="rId10"/>
    <sheet name="11 egészségügy" sheetId="9" r:id="rId11"/>
    <sheet name="12 gyermekvédelm" sheetId="10" r:id="rId12"/>
    <sheet name="13 egyéb" sheetId="11" r:id="rId13"/>
    <sheet name="14 sport" sheetId="128" r:id="rId14"/>
    <sheet name="15 város.ü." sheetId="16" r:id="rId15"/>
    <sheet name="16 út-híd" sheetId="17" r:id="rId16"/>
    <sheet name="17 felhalm.bevétel " sheetId="54" r:id="rId17"/>
    <sheet name="18 felhalm.kiadás" sheetId="23" r:id="rId18"/>
    <sheet name="19 ei felh. terv bevétel" sheetId="63" r:id="rId19"/>
    <sheet name="19 ei. felh.terv kiadás" sheetId="64" r:id="rId20"/>
  </sheets>
  <externalReferences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xlnm._FilterDatabase" localSheetId="17" hidden="1">'18 felhalm.kiadás'!$A$4:$G$5</definedName>
    <definedName name="aaaaaaaaaaaaaaaaaaaaaaa" localSheetId="4">#REF!</definedName>
    <definedName name="aaaaaaaaaaaaaaaaaaaaaaa">#REF!</definedName>
    <definedName name="áfaössz16" localSheetId="4">#REF!</definedName>
    <definedName name="áfaössz16">#REF!</definedName>
    <definedName name="bk" localSheetId="4">#REF!</definedName>
    <definedName name="bk" localSheetId="6">#REF!</definedName>
    <definedName name="bk">#REF!</definedName>
    <definedName name="css" localSheetId="4">#REF!</definedName>
    <definedName name="css" localSheetId="6">#REF!</definedName>
    <definedName name="css">#REF!</definedName>
    <definedName name="css_k" localSheetId="4">[1]Családsegítés!$C$27:$C$86</definedName>
    <definedName name="css_k" localSheetId="6">[1]Családsegítés!$C$27:$C$86</definedName>
    <definedName name="css_k">#REF!</definedName>
    <definedName name="css_k_" localSheetId="4">#REF!</definedName>
    <definedName name="css_k_" localSheetId="6">#REF!</definedName>
    <definedName name="css_k_">#REF!</definedName>
    <definedName name="d" localSheetId="4">#REF!</definedName>
    <definedName name="d">#REF!</definedName>
    <definedName name="eredetiköltségvetés2017" localSheetId="4">#REF!</definedName>
    <definedName name="eredetiköltségvetés2017">#REF!</definedName>
    <definedName name="feljéc" localSheetId="4">#REF!</definedName>
    <definedName name="feljéc">#REF!</definedName>
    <definedName name="fff" localSheetId="4">#REF!</definedName>
    <definedName name="fff">#REF!</definedName>
    <definedName name="ffff" localSheetId="4">#REF!</definedName>
    <definedName name="ffff">#REF!</definedName>
    <definedName name="gyj" localSheetId="4">#REF!</definedName>
    <definedName name="gyj" localSheetId="6">#REF!</definedName>
    <definedName name="gyj">#REF!</definedName>
    <definedName name="gyj_k" localSheetId="4">[1]Gyermekjóléti!$C$27:$C$86</definedName>
    <definedName name="gyj_k" localSheetId="6">[1]Gyermekjóléti!$C$27:$C$86</definedName>
    <definedName name="gyj_k">#REF!</definedName>
    <definedName name="gyj_k_" localSheetId="4">#REF!</definedName>
    <definedName name="gyj_k_" localSheetId="6">#REF!</definedName>
    <definedName name="gyj_k_">#REF!</definedName>
    <definedName name="h" localSheetId="4">#REF!</definedName>
    <definedName name="h">#REF!</definedName>
    <definedName name="kjz" localSheetId="4">#REF!</definedName>
    <definedName name="kjz" localSheetId="6">#REF!</definedName>
    <definedName name="kjz">#REF!</definedName>
    <definedName name="kjz_k" localSheetId="4">[1]körjegyzőség!$C$9:$C$28</definedName>
    <definedName name="kjz_k" localSheetId="6">[1]körjegyzőség!$C$9:$C$28</definedName>
    <definedName name="kjz_k">#REF!</definedName>
    <definedName name="kjz_k_" localSheetId="4">#REF!</definedName>
    <definedName name="kjz_k_" localSheetId="6">#REF!</definedName>
    <definedName name="kjz_k_">#REF!</definedName>
    <definedName name="nev_b" localSheetId="4">#REF!</definedName>
    <definedName name="nev_b">#REF!</definedName>
    <definedName name="nev_c" localSheetId="4">#REF!</definedName>
    <definedName name="nev_c" localSheetId="6">#REF!</definedName>
    <definedName name="nev_c">#REF!</definedName>
    <definedName name="nev_g" localSheetId="4">#REF!</definedName>
    <definedName name="nev_g" localSheetId="6">#REF!</definedName>
    <definedName name="nev_g">#REF!</definedName>
    <definedName name="nev_k" localSheetId="4">#REF!</definedName>
    <definedName name="nev_k" localSheetId="6">#REF!</definedName>
    <definedName name="nev_k">#REF!</definedName>
    <definedName name="nev_k1" localSheetId="4">#REF!</definedName>
    <definedName name="nev_k1">#REF!</definedName>
    <definedName name="normatíva" localSheetId="4">[2]Családsegítés!$C$27:$C$86</definedName>
    <definedName name="normatíva" localSheetId="6">[2]Családsegítés!$C$27:$C$86</definedName>
    <definedName name="normatíva">#REF!</definedName>
    <definedName name="_xlnm.Print_Titles" localSheetId="12">'13 egyéb'!$3:$5</definedName>
    <definedName name="_xlnm.Print_Titles" localSheetId="2">'3 működési bevételek'!$4:$6</definedName>
    <definedName name="_xlnm.Print_Titles" localSheetId="4">'5 normatíva'!$3:$4</definedName>
    <definedName name="_xlnm.Print_Titles" localSheetId="6">'7 létszám'!$1:$6</definedName>
    <definedName name="_xlnm.Print_Area" localSheetId="0">'1 kiemelt ei. '!$A$1:$N$20</definedName>
    <definedName name="_xlnm.Print_Area" localSheetId="9">'10 szociális'!$A$1:$F$49</definedName>
    <definedName name="_xlnm.Print_Area" localSheetId="10">'11 egészségügy'!$A$1:$F$30</definedName>
    <definedName name="_xlnm.Print_Area" localSheetId="11">'12 gyermekvédelm'!$A$1:$F$22</definedName>
    <definedName name="_xlnm.Print_Area" localSheetId="12">'13 egyéb'!$A$1:$F$129</definedName>
    <definedName name="_xlnm.Print_Area" localSheetId="13">'14 sport'!$A$1:$F$29</definedName>
    <definedName name="_xlnm.Print_Area" localSheetId="14">'15 város.ü.'!$A$1:$F$41</definedName>
    <definedName name="_xlnm.Print_Area" localSheetId="15">'16 út-híd'!$A$1:$F$32</definedName>
    <definedName name="_xlnm.Print_Area" localSheetId="16">'17 felhalm.bevétel '!$A$1:$G$59</definedName>
    <definedName name="_xlnm.Print_Area" localSheetId="17">'18 felhalm.kiadás'!$A$1:$G$87</definedName>
    <definedName name="_xlnm.Print_Area" localSheetId="18">'19 ei felh. terv bevétel'!$A$1:$N$13</definedName>
    <definedName name="_xlnm.Print_Area" localSheetId="19">'19 ei. felh.terv kiadás'!$A$1:$N$27</definedName>
    <definedName name="_xlnm.Print_Area" localSheetId="1">'2 mérleg'!$A$1:$O$60</definedName>
    <definedName name="_xlnm.Print_Area" localSheetId="2">'3 működési bevételek'!$A$1:$J$156</definedName>
    <definedName name="_xlnm.Print_Area" localSheetId="3">'4 intézményi bevétel'!$A$1:$AP$50</definedName>
    <definedName name="_xlnm.Print_Area" localSheetId="4">'5 normatíva'!$A$1:$F$88</definedName>
    <definedName name="_xlnm.Print_Area" localSheetId="5">'6 intézményi kiadás'!$A$1:$AJ$50</definedName>
    <definedName name="_xlnm.Print_Area" localSheetId="6">'7 létszám'!$A$1:$M$50</definedName>
    <definedName name="_xlnm.Print_Area" localSheetId="7">'8 oktatás'!$A$1:$F$37</definedName>
    <definedName name="_xlnm.Print_Area" localSheetId="8">'9 kultúra'!$A$1:$F$79</definedName>
    <definedName name="polg" localSheetId="4">#REF!</definedName>
    <definedName name="polg">#REF!</definedName>
    <definedName name="polg.hiv." localSheetId="4">#REF!</definedName>
    <definedName name="polg.hiv.">#REF!</definedName>
    <definedName name="polg.hiv.2" localSheetId="4">#REF!</definedName>
    <definedName name="polg.hiv.2">#REF!</definedName>
    <definedName name="rmI" localSheetId="4">#REF!</definedName>
    <definedName name="rmI">#REF!</definedName>
    <definedName name="x" localSheetId="4">#REF!</definedName>
    <definedName name="x" localSheetId="6">#REF!</definedName>
    <definedName name="x">#REF!</definedName>
    <definedName name="Z_186732C5_520C_4E06_B066_B4F3F0A3E322_.wvu.PrintArea" localSheetId="9" hidden="1">'10 szociális'!$A$1:$A$39</definedName>
    <definedName name="Z_186732C5_520C_4E06_B066_B4F3F0A3E322_.wvu.PrintArea" localSheetId="10" hidden="1">'11 egészségügy'!$A$1:$A$19</definedName>
    <definedName name="Z_186732C5_520C_4E06_B066_B4F3F0A3E322_.wvu.PrintArea" localSheetId="11" hidden="1">'12 gyermekvédelm'!$A$1:$A$13</definedName>
    <definedName name="Z_186732C5_520C_4E06_B066_B4F3F0A3E322_.wvu.PrintArea" localSheetId="12" hidden="1">'13 egyéb'!$A$1:$A$118</definedName>
    <definedName name="Z_186732C5_520C_4E06_B066_B4F3F0A3E322_.wvu.PrintArea" localSheetId="13" hidden="1">'14 sport'!$A$1:$A$26</definedName>
    <definedName name="Z_186732C5_520C_4E06_B066_B4F3F0A3E322_.wvu.PrintArea" localSheetId="14" hidden="1">'15 város.ü.'!$A$1:$A$25</definedName>
    <definedName name="Z_186732C5_520C_4E06_B066_B4F3F0A3E322_.wvu.PrintArea" localSheetId="15" hidden="1">'16 út-híd'!$A$1:$A$28</definedName>
    <definedName name="Z_186732C5_520C_4E06_B066_B4F3F0A3E322_.wvu.PrintArea" localSheetId="16" hidden="1">'17 felhalm.bevétel '!$A$1:$B$60</definedName>
    <definedName name="Z_186732C5_520C_4E06_B066_B4F3F0A3E322_.wvu.PrintArea" localSheetId="17" hidden="1">'18 felhalm.kiadás'!$A$1:$B$87</definedName>
    <definedName name="Z_186732C5_520C_4E06_B066_B4F3F0A3E322_.wvu.PrintArea" localSheetId="1" hidden="1">'2 mérleg'!$A$2:$J$60</definedName>
    <definedName name="Z_186732C5_520C_4E06_B066_B4F3F0A3E322_.wvu.PrintArea" localSheetId="2" hidden="1">'3 működési bevételek'!$A$1:$E$155</definedName>
    <definedName name="Z_186732C5_520C_4E06_B066_B4F3F0A3E322_.wvu.PrintArea" localSheetId="7" hidden="1">'8 oktatás'!$A$1:$A$24</definedName>
    <definedName name="Z_186732C5_520C_4E06_B066_B4F3F0A3E322_.wvu.PrintArea" localSheetId="8" hidden="1">'9 kultúra'!$A$1:$A$63</definedName>
    <definedName name="Z_6D4B996F_8915_4E78_98C2_E7EAE9C4580C_.wvu.PrintArea" localSheetId="9" hidden="1">'10 szociális'!$A$1:$A$39</definedName>
    <definedName name="Z_6D4B996F_8915_4E78_98C2_E7EAE9C4580C_.wvu.PrintArea" localSheetId="10" hidden="1">'11 egészségügy'!$A$1:$A$19</definedName>
    <definedName name="Z_6D4B996F_8915_4E78_98C2_E7EAE9C4580C_.wvu.PrintArea" localSheetId="11" hidden="1">'12 gyermekvédelm'!$A$1:$A$13</definedName>
    <definedName name="Z_6D4B996F_8915_4E78_98C2_E7EAE9C4580C_.wvu.PrintArea" localSheetId="12" hidden="1">'13 egyéb'!$A$1:$A$118</definedName>
    <definedName name="Z_6D4B996F_8915_4E78_98C2_E7EAE9C4580C_.wvu.PrintArea" localSheetId="13" hidden="1">'14 sport'!$A$1:$A$26</definedName>
    <definedName name="Z_6D4B996F_8915_4E78_98C2_E7EAE9C4580C_.wvu.PrintArea" localSheetId="14" hidden="1">'15 város.ü.'!$A$1:$A$25</definedName>
    <definedName name="Z_6D4B996F_8915_4E78_98C2_E7EAE9C4580C_.wvu.PrintArea" localSheetId="15" hidden="1">'16 út-híd'!$A$1:$A$28</definedName>
    <definedName name="Z_6D4B996F_8915_4E78_98C2_E7EAE9C4580C_.wvu.PrintArea" localSheetId="16" hidden="1">'17 felhalm.bevétel '!$A$1:$B$60</definedName>
    <definedName name="Z_6D4B996F_8915_4E78_98C2_E7EAE9C4580C_.wvu.PrintArea" localSheetId="17" hidden="1">'18 felhalm.kiadás'!$A$1:$B$87</definedName>
    <definedName name="Z_6D4B996F_8915_4E78_98C2_E7EAE9C4580C_.wvu.PrintArea" localSheetId="1" hidden="1">'2 mérleg'!$A$2:$J$60</definedName>
    <definedName name="Z_6D4B996F_8915_4E78_98C2_E7EAE9C4580C_.wvu.PrintArea" localSheetId="2" hidden="1">'3 működési bevételek'!$A$1:$E$155</definedName>
    <definedName name="Z_6D4B996F_8915_4E78_98C2_E7EAE9C4580C_.wvu.PrintArea" localSheetId="7" hidden="1">'8 oktatás'!$A$1:$A$24</definedName>
    <definedName name="Z_6D4B996F_8915_4E78_98C2_E7EAE9C4580C_.wvu.PrintArea" localSheetId="8" hidden="1">'9 kultúra'!$A$1:$A$63</definedName>
    <definedName name="Z_F05CDCE5_D631_41F9_80C7_3F3E8464BF12_.wvu.PrintArea" localSheetId="6" hidden="1">'7 létszám'!$A$1:$M$48</definedName>
    <definedName name="Z_F05CDCE5_D631_41F9_80C7_3F3E8464BF12_.wvu.PrintTitles" localSheetId="6" hidden="1">'7 létszám'!$1:$6</definedName>
  </definedNames>
  <calcPr calcId="191029"/>
  <customWorkbookViews>
    <customWorkbookView name="Tóth László - Egyéni látvány" guid="{6D4B996F-8915-4E78-98C2-E7EAE9C4580C}" mergeInterval="0" personalView="1" maximized="1" windowWidth="1020" windowHeight="597" tabRatio="738" activeSheetId="8"/>
    <customWorkbookView name="Szakács Eszter - Egyéni látvány" guid="{186732C5-520C-4E06-B066-B4F3F0A3E322}" mergeInterval="0" personalView="1" maximized="1" windowWidth="1020" windowHeight="594" tabRatio="738" activeSheetId="2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0" i="146" l="1"/>
  <c r="Y49" i="146"/>
  <c r="AL48" i="146"/>
  <c r="AI48" i="146"/>
  <c r="Y48" i="146"/>
  <c r="V48" i="146"/>
  <c r="S48" i="146"/>
  <c r="S49" i="146" s="1"/>
  <c r="L48" i="146"/>
  <c r="I48" i="146"/>
  <c r="F48" i="146"/>
  <c r="C48" i="146"/>
  <c r="B48" i="146"/>
  <c r="AK47" i="146"/>
  <c r="AM47" i="146" s="1"/>
  <c r="AH47" i="146"/>
  <c r="AJ47" i="146" s="1"/>
  <c r="AE47" i="146"/>
  <c r="AB47" i="146"/>
  <c r="X47" i="146"/>
  <c r="Z47" i="146" s="1"/>
  <c r="U47" i="146"/>
  <c r="W47" i="146" s="1"/>
  <c r="R47" i="146"/>
  <c r="O47" i="146"/>
  <c r="AO47" i="146" s="1"/>
  <c r="K47" i="146"/>
  <c r="M47" i="146" s="1"/>
  <c r="J47" i="146"/>
  <c r="H47" i="146"/>
  <c r="G47" i="146"/>
  <c r="E47" i="146"/>
  <c r="D47" i="146"/>
  <c r="B47" i="146"/>
  <c r="N47" i="146" s="1"/>
  <c r="AK46" i="146"/>
  <c r="AM46" i="146" s="1"/>
  <c r="AH46" i="146"/>
  <c r="AJ46" i="146" s="1"/>
  <c r="AB46" i="146"/>
  <c r="AA46" i="146"/>
  <c r="X46" i="146"/>
  <c r="Z46" i="146" s="1"/>
  <c r="U46" i="146"/>
  <c r="W46" i="146" s="1"/>
  <c r="T46" i="146"/>
  <c r="AC46" i="146" s="1"/>
  <c r="R46" i="146"/>
  <c r="R48" i="146" s="1"/>
  <c r="O46" i="146"/>
  <c r="AE46" i="146" s="1"/>
  <c r="M46" i="146"/>
  <c r="K46" i="146"/>
  <c r="H46" i="146"/>
  <c r="J46" i="146" s="1"/>
  <c r="J48" i="146" s="1"/>
  <c r="G46" i="146"/>
  <c r="E46" i="146"/>
  <c r="D46" i="146"/>
  <c r="P46" i="146" s="1"/>
  <c r="B46" i="146"/>
  <c r="AM45" i="146"/>
  <c r="AK45" i="146"/>
  <c r="AH45" i="146"/>
  <c r="AB45" i="146"/>
  <c r="AB48" i="146" s="1"/>
  <c r="AA45" i="146"/>
  <c r="X45" i="146"/>
  <c r="Z45" i="146" s="1"/>
  <c r="Z48" i="146" s="1"/>
  <c r="U45" i="146"/>
  <c r="W45" i="146" s="1"/>
  <c r="R45" i="146"/>
  <c r="T45" i="146" s="1"/>
  <c r="O45" i="146"/>
  <c r="M45" i="146"/>
  <c r="K45" i="146"/>
  <c r="K48" i="146" s="1"/>
  <c r="J45" i="146"/>
  <c r="H45" i="146"/>
  <c r="E45" i="146"/>
  <c r="D45" i="146"/>
  <c r="B45" i="146"/>
  <c r="AK43" i="146"/>
  <c r="AM43" i="146" s="1"/>
  <c r="AJ43" i="146"/>
  <c r="AH43" i="146"/>
  <c r="AE43" i="146"/>
  <c r="AB43" i="146"/>
  <c r="X43" i="146"/>
  <c r="Z43" i="146" s="1"/>
  <c r="U43" i="146"/>
  <c r="W43" i="146" s="1"/>
  <c r="R43" i="146"/>
  <c r="T43" i="146" s="1"/>
  <c r="O43" i="146"/>
  <c r="AO43" i="146" s="1"/>
  <c r="M43" i="146"/>
  <c r="K43" i="146"/>
  <c r="J43" i="146"/>
  <c r="H43" i="146"/>
  <c r="G43" i="146"/>
  <c r="E43" i="146"/>
  <c r="B43" i="146"/>
  <c r="D43" i="146" s="1"/>
  <c r="P43" i="146" s="1"/>
  <c r="AK42" i="146"/>
  <c r="AO41" i="146"/>
  <c r="AM41" i="146"/>
  <c r="AK41" i="146"/>
  <c r="AH41" i="146"/>
  <c r="AJ41" i="146" s="1"/>
  <c r="AB41" i="146"/>
  <c r="X41" i="146"/>
  <c r="U41" i="146"/>
  <c r="W41" i="146" s="1"/>
  <c r="R41" i="146"/>
  <c r="O41" i="146"/>
  <c r="AE41" i="146" s="1"/>
  <c r="K41" i="146"/>
  <c r="M41" i="146" s="1"/>
  <c r="J41" i="146"/>
  <c r="H41" i="146"/>
  <c r="G41" i="146"/>
  <c r="E41" i="146"/>
  <c r="D41" i="146"/>
  <c r="P41" i="146" s="1"/>
  <c r="B41" i="146"/>
  <c r="AK40" i="146"/>
  <c r="AO39" i="146"/>
  <c r="AM39" i="146"/>
  <c r="AK39" i="146"/>
  <c r="AJ39" i="146"/>
  <c r="AH39" i="146"/>
  <c r="AB39" i="146"/>
  <c r="AE39" i="146" s="1"/>
  <c r="Z39" i="146"/>
  <c r="X39" i="146"/>
  <c r="U39" i="146"/>
  <c r="W39" i="146" s="1"/>
  <c r="T39" i="146"/>
  <c r="R39" i="146"/>
  <c r="AA39" i="146" s="1"/>
  <c r="O39" i="146"/>
  <c r="K39" i="146"/>
  <c r="M39" i="146" s="1"/>
  <c r="H39" i="146"/>
  <c r="J39" i="146" s="1"/>
  <c r="E39" i="146"/>
  <c r="G39" i="146" s="1"/>
  <c r="B39" i="146"/>
  <c r="D39" i="146" s="1"/>
  <c r="P39" i="146" s="1"/>
  <c r="AL37" i="146"/>
  <c r="AL49" i="146" s="1"/>
  <c r="AI37" i="146"/>
  <c r="AI49" i="146" s="1"/>
  <c r="Y37" i="146"/>
  <c r="V37" i="146"/>
  <c r="V49" i="146" s="1"/>
  <c r="S37" i="146"/>
  <c r="L37" i="146"/>
  <c r="L49" i="146" s="1"/>
  <c r="K37" i="146"/>
  <c r="K49" i="146" s="1"/>
  <c r="I37" i="146"/>
  <c r="F37" i="146"/>
  <c r="F49" i="146" s="1"/>
  <c r="C37" i="146"/>
  <c r="C49" i="146" s="1"/>
  <c r="C50" i="146" s="1"/>
  <c r="AM36" i="146"/>
  <c r="AK36" i="146"/>
  <c r="AH36" i="146"/>
  <c r="AJ36" i="146" s="1"/>
  <c r="AB36" i="146"/>
  <c r="AB37" i="146" s="1"/>
  <c r="AB49" i="146" s="1"/>
  <c r="X36" i="146"/>
  <c r="Z36" i="146" s="1"/>
  <c r="U36" i="146"/>
  <c r="W36" i="146" s="1"/>
  <c r="R36" i="146"/>
  <c r="T36" i="146" s="1"/>
  <c r="P36" i="146"/>
  <c r="O36" i="146"/>
  <c r="M36" i="146"/>
  <c r="K36" i="146"/>
  <c r="J36" i="146"/>
  <c r="H36" i="146"/>
  <c r="E36" i="146"/>
  <c r="G36" i="146" s="1"/>
  <c r="D36" i="146"/>
  <c r="B36" i="146"/>
  <c r="N36" i="146" s="1"/>
  <c r="AK35" i="146"/>
  <c r="AM35" i="146" s="1"/>
  <c r="AJ35" i="146"/>
  <c r="AH35" i="146"/>
  <c r="AE35" i="146"/>
  <c r="AB35" i="146"/>
  <c r="X35" i="146"/>
  <c r="Z35" i="146" s="1"/>
  <c r="U35" i="146"/>
  <c r="R35" i="146"/>
  <c r="T35" i="146" s="1"/>
  <c r="O35" i="146"/>
  <c r="AO35" i="146" s="1"/>
  <c r="M35" i="146"/>
  <c r="K35" i="146"/>
  <c r="J35" i="146"/>
  <c r="H35" i="146"/>
  <c r="E35" i="146"/>
  <c r="G35" i="146" s="1"/>
  <c r="B35" i="146"/>
  <c r="D35" i="146" s="1"/>
  <c r="AK34" i="146"/>
  <c r="AM34" i="146" s="1"/>
  <c r="AH34" i="146"/>
  <c r="AJ34" i="146" s="1"/>
  <c r="AE34" i="146"/>
  <c r="AB34" i="146"/>
  <c r="X34" i="146"/>
  <c r="Z34" i="146" s="1"/>
  <c r="U34" i="146"/>
  <c r="W34" i="146" s="1"/>
  <c r="R34" i="146"/>
  <c r="O34" i="146"/>
  <c r="AO34" i="146" s="1"/>
  <c r="K34" i="146"/>
  <c r="M34" i="146" s="1"/>
  <c r="M37" i="146" s="1"/>
  <c r="J34" i="146"/>
  <c r="H34" i="146"/>
  <c r="G34" i="146"/>
  <c r="E34" i="146"/>
  <c r="B34" i="146"/>
  <c r="D34" i="146" s="1"/>
  <c r="AK33" i="146"/>
  <c r="AM33" i="146" s="1"/>
  <c r="AM37" i="146" s="1"/>
  <c r="AH33" i="146"/>
  <c r="AJ33" i="146" s="1"/>
  <c r="AC33" i="146"/>
  <c r="AB33" i="146"/>
  <c r="AA33" i="146"/>
  <c r="X33" i="146"/>
  <c r="Z33" i="146" s="1"/>
  <c r="U33" i="146"/>
  <c r="W33" i="146" s="1"/>
  <c r="T33" i="146"/>
  <c r="R33" i="146"/>
  <c r="R37" i="146" s="1"/>
  <c r="O33" i="146"/>
  <c r="M33" i="146"/>
  <c r="K33" i="146"/>
  <c r="H33" i="146"/>
  <c r="G33" i="146"/>
  <c r="E33" i="146"/>
  <c r="D33" i="146"/>
  <c r="B33" i="146"/>
  <c r="B37" i="146" s="1"/>
  <c r="AL30" i="146"/>
  <c r="AL50" i="146" s="1"/>
  <c r="V30" i="146"/>
  <c r="S30" i="146"/>
  <c r="L30" i="146"/>
  <c r="AK29" i="146"/>
  <c r="AM29" i="146" s="1"/>
  <c r="AJ29" i="146"/>
  <c r="AH29" i="146"/>
  <c r="AB29" i="146"/>
  <c r="AA29" i="146"/>
  <c r="Z29" i="146"/>
  <c r="X29" i="146"/>
  <c r="W29" i="146"/>
  <c r="U29" i="146"/>
  <c r="R29" i="146"/>
  <c r="T29" i="146" s="1"/>
  <c r="AC29" i="146" s="1"/>
  <c r="O29" i="146"/>
  <c r="K29" i="146"/>
  <c r="M29" i="146" s="1"/>
  <c r="J29" i="146"/>
  <c r="H29" i="146"/>
  <c r="E29" i="146"/>
  <c r="G29" i="146" s="1"/>
  <c r="B29" i="146"/>
  <c r="N29" i="146" s="1"/>
  <c r="AL28" i="146"/>
  <c r="AI28" i="146"/>
  <c r="AI30" i="146" s="1"/>
  <c r="AI50" i="146" s="1"/>
  <c r="Y28" i="146"/>
  <c r="Y30" i="146" s="1"/>
  <c r="Y50" i="146" s="1"/>
  <c r="V28" i="146"/>
  <c r="S28" i="146"/>
  <c r="L28" i="146"/>
  <c r="I28" i="146"/>
  <c r="I30" i="146" s="1"/>
  <c r="F28" i="146"/>
  <c r="F30" i="146" s="1"/>
  <c r="F50" i="146" s="1"/>
  <c r="C28" i="146"/>
  <c r="C30" i="146" s="1"/>
  <c r="AK27" i="146"/>
  <c r="AM27" i="146" s="1"/>
  <c r="AH27" i="146"/>
  <c r="AJ27" i="146" s="1"/>
  <c r="AE27" i="146"/>
  <c r="AB27" i="146"/>
  <c r="X27" i="146"/>
  <c r="Z27" i="146" s="1"/>
  <c r="U27" i="146"/>
  <c r="W27" i="146" s="1"/>
  <c r="R27" i="146"/>
  <c r="O27" i="146"/>
  <c r="AO27" i="146" s="1"/>
  <c r="K27" i="146"/>
  <c r="M27" i="146" s="1"/>
  <c r="J27" i="146"/>
  <c r="H27" i="146"/>
  <c r="G27" i="146"/>
  <c r="E27" i="146"/>
  <c r="B27" i="146"/>
  <c r="D27" i="146" s="1"/>
  <c r="AO26" i="146"/>
  <c r="AK26" i="146"/>
  <c r="AM26" i="146" s="1"/>
  <c r="AH26" i="146"/>
  <c r="AJ26" i="146" s="1"/>
  <c r="AB26" i="146"/>
  <c r="AA26" i="146"/>
  <c r="X26" i="146"/>
  <c r="Z26" i="146" s="1"/>
  <c r="U26" i="146"/>
  <c r="W26" i="146" s="1"/>
  <c r="T26" i="146"/>
  <c r="AC26" i="146" s="1"/>
  <c r="R26" i="146"/>
  <c r="O26" i="146"/>
  <c r="AE26" i="146" s="1"/>
  <c r="M26" i="146"/>
  <c r="K26" i="146"/>
  <c r="H26" i="146"/>
  <c r="J26" i="146" s="1"/>
  <c r="G26" i="146"/>
  <c r="E26" i="146"/>
  <c r="D26" i="146"/>
  <c r="B26" i="146"/>
  <c r="AK25" i="146"/>
  <c r="AM25" i="146" s="1"/>
  <c r="AH25" i="146"/>
  <c r="AJ25" i="146" s="1"/>
  <c r="AB25" i="146"/>
  <c r="AA25" i="146"/>
  <c r="X25" i="146"/>
  <c r="Z25" i="146" s="1"/>
  <c r="U25" i="146"/>
  <c r="W25" i="146" s="1"/>
  <c r="R25" i="146"/>
  <c r="T25" i="146" s="1"/>
  <c r="O25" i="146"/>
  <c r="M25" i="146"/>
  <c r="K25" i="146"/>
  <c r="H25" i="146"/>
  <c r="J25" i="146" s="1"/>
  <c r="E25" i="146"/>
  <c r="G25" i="146" s="1"/>
  <c r="D25" i="146"/>
  <c r="P25" i="146" s="1"/>
  <c r="B25" i="146"/>
  <c r="N25" i="146" s="1"/>
  <c r="AK24" i="146"/>
  <c r="AM24" i="146" s="1"/>
  <c r="AH24" i="146"/>
  <c r="AJ24" i="146" s="1"/>
  <c r="AE24" i="146"/>
  <c r="AB24" i="146"/>
  <c r="Z24" i="146"/>
  <c r="X24" i="146"/>
  <c r="U24" i="146"/>
  <c r="W24" i="146" s="1"/>
  <c r="R24" i="146"/>
  <c r="T24" i="146" s="1"/>
  <c r="O24" i="146"/>
  <c r="AO24" i="146" s="1"/>
  <c r="M24" i="146"/>
  <c r="K24" i="146"/>
  <c r="J24" i="146"/>
  <c r="H24" i="146"/>
  <c r="E24" i="146"/>
  <c r="G24" i="146" s="1"/>
  <c r="B24" i="146"/>
  <c r="D24" i="146" s="1"/>
  <c r="AK23" i="146"/>
  <c r="AM23" i="146" s="1"/>
  <c r="AH23" i="146"/>
  <c r="AJ23" i="146" s="1"/>
  <c r="AE23" i="146"/>
  <c r="AB23" i="146"/>
  <c r="X23" i="146"/>
  <c r="Z23" i="146" s="1"/>
  <c r="U23" i="146"/>
  <c r="W23" i="146" s="1"/>
  <c r="R23" i="146"/>
  <c r="O23" i="146"/>
  <c r="AO23" i="146" s="1"/>
  <c r="K23" i="146"/>
  <c r="M23" i="146" s="1"/>
  <c r="J23" i="146"/>
  <c r="H23" i="146"/>
  <c r="G23" i="146"/>
  <c r="E23" i="146"/>
  <c r="D23" i="146"/>
  <c r="P23" i="146" s="1"/>
  <c r="B23" i="146"/>
  <c r="AO22" i="146"/>
  <c r="AK22" i="146"/>
  <c r="AM22" i="146" s="1"/>
  <c r="AH22" i="146"/>
  <c r="AJ22" i="146" s="1"/>
  <c r="AB22" i="146"/>
  <c r="X22" i="146"/>
  <c r="Z22" i="146" s="1"/>
  <c r="U22" i="146"/>
  <c r="W22" i="146" s="1"/>
  <c r="R22" i="146"/>
  <c r="AA22" i="146" s="1"/>
  <c r="O22" i="146"/>
  <c r="AE22" i="146" s="1"/>
  <c r="M22" i="146"/>
  <c r="K22" i="146"/>
  <c r="H22" i="146"/>
  <c r="J22" i="146" s="1"/>
  <c r="G22" i="146"/>
  <c r="E22" i="146"/>
  <c r="D22" i="146"/>
  <c r="B22" i="146"/>
  <c r="N22" i="146" s="1"/>
  <c r="AN22" i="146" s="1"/>
  <c r="AM21" i="146"/>
  <c r="AK21" i="146"/>
  <c r="AH21" i="146"/>
  <c r="AJ21" i="146" s="1"/>
  <c r="AB21" i="146"/>
  <c r="AA21" i="146"/>
  <c r="X21" i="146"/>
  <c r="Z21" i="146" s="1"/>
  <c r="U21" i="146"/>
  <c r="W21" i="146" s="1"/>
  <c r="R21" i="146"/>
  <c r="T21" i="146" s="1"/>
  <c r="AC21" i="146" s="1"/>
  <c r="O21" i="146"/>
  <c r="M21" i="146"/>
  <c r="K21" i="146"/>
  <c r="J21" i="146"/>
  <c r="H21" i="146"/>
  <c r="E21" i="146"/>
  <c r="G21" i="146" s="1"/>
  <c r="D21" i="146"/>
  <c r="P21" i="146" s="1"/>
  <c r="B21" i="146"/>
  <c r="N21" i="146" s="1"/>
  <c r="AK20" i="146"/>
  <c r="AM20" i="146" s="1"/>
  <c r="AH20" i="146"/>
  <c r="AJ20" i="146" s="1"/>
  <c r="AE20" i="146"/>
  <c r="AB20" i="146"/>
  <c r="Z20" i="146"/>
  <c r="X20" i="146"/>
  <c r="U20" i="146"/>
  <c r="W20" i="146" s="1"/>
  <c r="R20" i="146"/>
  <c r="T20" i="146" s="1"/>
  <c r="AC20" i="146" s="1"/>
  <c r="O20" i="146"/>
  <c r="AO20" i="146" s="1"/>
  <c r="N20" i="146"/>
  <c r="M20" i="146"/>
  <c r="K20" i="146"/>
  <c r="J20" i="146"/>
  <c r="H20" i="146"/>
  <c r="G20" i="146"/>
  <c r="E20" i="146"/>
  <c r="B20" i="146"/>
  <c r="D20" i="146" s="1"/>
  <c r="AK19" i="146"/>
  <c r="AM19" i="146" s="1"/>
  <c r="AH19" i="146"/>
  <c r="AJ19" i="146" s="1"/>
  <c r="AE19" i="146"/>
  <c r="AB19" i="146"/>
  <c r="X19" i="146"/>
  <c r="Z19" i="146" s="1"/>
  <c r="U19" i="146"/>
  <c r="W19" i="146" s="1"/>
  <c r="R19" i="146"/>
  <c r="O19" i="146"/>
  <c r="AO19" i="146" s="1"/>
  <c r="K19" i="146"/>
  <c r="M19" i="146" s="1"/>
  <c r="J19" i="146"/>
  <c r="H19" i="146"/>
  <c r="G19" i="146"/>
  <c r="E19" i="146"/>
  <c r="D19" i="146"/>
  <c r="B19" i="146"/>
  <c r="N19" i="146" s="1"/>
  <c r="AK18" i="146"/>
  <c r="AM18" i="146" s="1"/>
  <c r="AH18" i="146"/>
  <c r="AJ18" i="146" s="1"/>
  <c r="AB18" i="146"/>
  <c r="AA18" i="146"/>
  <c r="X18" i="146"/>
  <c r="Z18" i="146" s="1"/>
  <c r="U18" i="146"/>
  <c r="W18" i="146" s="1"/>
  <c r="T18" i="146"/>
  <c r="AC18" i="146" s="1"/>
  <c r="R18" i="146"/>
  <c r="O18" i="146"/>
  <c r="AE18" i="146" s="1"/>
  <c r="M18" i="146"/>
  <c r="K18" i="146"/>
  <c r="H18" i="146"/>
  <c r="J18" i="146" s="1"/>
  <c r="G18" i="146"/>
  <c r="E18" i="146"/>
  <c r="D18" i="146"/>
  <c r="P18" i="146" s="1"/>
  <c r="B18" i="146"/>
  <c r="AM17" i="146"/>
  <c r="AK17" i="146"/>
  <c r="AH17" i="146"/>
  <c r="AJ17" i="146" s="1"/>
  <c r="AB17" i="146"/>
  <c r="AA17" i="146"/>
  <c r="X17" i="146"/>
  <c r="Z17" i="146" s="1"/>
  <c r="U17" i="146"/>
  <c r="W17" i="146" s="1"/>
  <c r="R17" i="146"/>
  <c r="T17" i="146" s="1"/>
  <c r="O17" i="146"/>
  <c r="M17" i="146"/>
  <c r="K17" i="146"/>
  <c r="J17" i="146"/>
  <c r="H17" i="146"/>
  <c r="E17" i="146"/>
  <c r="G17" i="146" s="1"/>
  <c r="P17" i="146" s="1"/>
  <c r="D17" i="146"/>
  <c r="B17" i="146"/>
  <c r="N17" i="146" s="1"/>
  <c r="AK16" i="146"/>
  <c r="AM16" i="146" s="1"/>
  <c r="AJ16" i="146"/>
  <c r="AH16" i="146"/>
  <c r="AE16" i="146"/>
  <c r="AB16" i="146"/>
  <c r="X16" i="146"/>
  <c r="Z16" i="146" s="1"/>
  <c r="U16" i="146"/>
  <c r="W16" i="146" s="1"/>
  <c r="R16" i="146"/>
  <c r="T16" i="146" s="1"/>
  <c r="O16" i="146"/>
  <c r="AO16" i="146" s="1"/>
  <c r="M16" i="146"/>
  <c r="K16" i="146"/>
  <c r="J16" i="146"/>
  <c r="H16" i="146"/>
  <c r="G16" i="146"/>
  <c r="E16" i="146"/>
  <c r="B16" i="146"/>
  <c r="D16" i="146" s="1"/>
  <c r="P16" i="146" s="1"/>
  <c r="AK15" i="146"/>
  <c r="AM15" i="146" s="1"/>
  <c r="AH15" i="146"/>
  <c r="AJ15" i="146" s="1"/>
  <c r="AB15" i="146"/>
  <c r="X15" i="146"/>
  <c r="Z15" i="146" s="1"/>
  <c r="U15" i="146"/>
  <c r="W15" i="146" s="1"/>
  <c r="R15" i="146"/>
  <c r="O15" i="146"/>
  <c r="AO15" i="146" s="1"/>
  <c r="K15" i="146"/>
  <c r="M15" i="146" s="1"/>
  <c r="J15" i="146"/>
  <c r="H15" i="146"/>
  <c r="E15" i="146"/>
  <c r="G15" i="146" s="1"/>
  <c r="D15" i="146"/>
  <c r="B15" i="146"/>
  <c r="N15" i="146" s="1"/>
  <c r="AK14" i="146"/>
  <c r="AM14" i="146" s="1"/>
  <c r="AJ14" i="146"/>
  <c r="AH14" i="146"/>
  <c r="AB14" i="146"/>
  <c r="Z14" i="146"/>
  <c r="X14" i="146"/>
  <c r="W14" i="146"/>
  <c r="U14" i="146"/>
  <c r="R14" i="146"/>
  <c r="T14" i="146" s="1"/>
  <c r="AC14" i="146" s="1"/>
  <c r="O14" i="146"/>
  <c r="AE14" i="146" s="1"/>
  <c r="K14" i="146"/>
  <c r="M14" i="146" s="1"/>
  <c r="H14" i="146"/>
  <c r="J14" i="146" s="1"/>
  <c r="G14" i="146"/>
  <c r="E14" i="146"/>
  <c r="B14" i="146"/>
  <c r="N14" i="146" s="1"/>
  <c r="AO13" i="146"/>
  <c r="AK13" i="146"/>
  <c r="AM13" i="146" s="1"/>
  <c r="AH13" i="146"/>
  <c r="AJ13" i="146" s="1"/>
  <c r="AB13" i="146"/>
  <c r="AA13" i="146"/>
  <c r="X13" i="146"/>
  <c r="Z13" i="146" s="1"/>
  <c r="W13" i="146"/>
  <c r="U13" i="146"/>
  <c r="T13" i="146"/>
  <c r="R13" i="146"/>
  <c r="O13" i="146"/>
  <c r="AE13" i="146" s="1"/>
  <c r="K13" i="146"/>
  <c r="M13" i="146" s="1"/>
  <c r="H13" i="146"/>
  <c r="J13" i="146" s="1"/>
  <c r="E13" i="146"/>
  <c r="G13" i="146" s="1"/>
  <c r="D13" i="146"/>
  <c r="P13" i="146" s="1"/>
  <c r="B13" i="146"/>
  <c r="N13" i="146" s="1"/>
  <c r="AM12" i="146"/>
  <c r="AK12" i="146"/>
  <c r="AH12" i="146"/>
  <c r="AJ12" i="146" s="1"/>
  <c r="AB12" i="146"/>
  <c r="AO12" i="146" s="1"/>
  <c r="X12" i="146"/>
  <c r="Z12" i="146" s="1"/>
  <c r="U12" i="146"/>
  <c r="W12" i="146" s="1"/>
  <c r="T12" i="146"/>
  <c r="AC12" i="146" s="1"/>
  <c r="R12" i="146"/>
  <c r="AA12" i="146" s="1"/>
  <c r="O12" i="146"/>
  <c r="M12" i="146"/>
  <c r="K12" i="146"/>
  <c r="H12" i="146"/>
  <c r="J12" i="146" s="1"/>
  <c r="E12" i="146"/>
  <c r="G12" i="146" s="1"/>
  <c r="B12" i="146"/>
  <c r="D12" i="146" s="1"/>
  <c r="P12" i="146" s="1"/>
  <c r="AM11" i="146"/>
  <c r="AK11" i="146"/>
  <c r="AJ11" i="146"/>
  <c r="AH11" i="146"/>
  <c r="AB11" i="146"/>
  <c r="AE11" i="146" s="1"/>
  <c r="Z11" i="146"/>
  <c r="X11" i="146"/>
  <c r="U11" i="146"/>
  <c r="W11" i="146" s="1"/>
  <c r="R11" i="146"/>
  <c r="AA11" i="146" s="1"/>
  <c r="O11" i="146"/>
  <c r="K11" i="146"/>
  <c r="M11" i="146" s="1"/>
  <c r="J11" i="146"/>
  <c r="H11" i="146"/>
  <c r="E11" i="146"/>
  <c r="G11" i="146" s="1"/>
  <c r="B11" i="146"/>
  <c r="D11" i="146" s="1"/>
  <c r="P11" i="146" s="1"/>
  <c r="AK10" i="146"/>
  <c r="AJ10" i="146"/>
  <c r="AJ28" i="146" s="1"/>
  <c r="AJ30" i="146" s="1"/>
  <c r="AH10" i="146"/>
  <c r="AB10" i="146"/>
  <c r="Z10" i="146"/>
  <c r="X10" i="146"/>
  <c r="X28" i="146" s="1"/>
  <c r="X30" i="146" s="1"/>
  <c r="W10" i="146"/>
  <c r="U10" i="146"/>
  <c r="R10" i="146"/>
  <c r="R28" i="146" s="1"/>
  <c r="R30" i="146" s="1"/>
  <c r="O10" i="146"/>
  <c r="AE10" i="146" s="1"/>
  <c r="K10" i="146"/>
  <c r="K28" i="146" s="1"/>
  <c r="K30" i="146" s="1"/>
  <c r="K50" i="146" s="1"/>
  <c r="H10" i="146"/>
  <c r="G10" i="146"/>
  <c r="E10" i="146"/>
  <c r="B10" i="146"/>
  <c r="B28" i="146" s="1"/>
  <c r="B30" i="146" s="1"/>
  <c r="E86" i="145"/>
  <c r="D86" i="145"/>
  <c r="C86" i="145"/>
  <c r="B86" i="145"/>
  <c r="F85" i="145"/>
  <c r="F84" i="145"/>
  <c r="F86" i="145" s="1"/>
  <c r="D83" i="145"/>
  <c r="C83" i="145"/>
  <c r="B83" i="145"/>
  <c r="E82" i="145"/>
  <c r="F82" i="145" s="1"/>
  <c r="E81" i="145"/>
  <c r="F81" i="145" s="1"/>
  <c r="E80" i="145"/>
  <c r="F80" i="145" s="1"/>
  <c r="E79" i="145"/>
  <c r="E78" i="145"/>
  <c r="F78" i="145" s="1"/>
  <c r="E77" i="145"/>
  <c r="D77" i="145"/>
  <c r="C77" i="145"/>
  <c r="B77" i="145"/>
  <c r="F76" i="145"/>
  <c r="F75" i="145"/>
  <c r="F77" i="145" s="1"/>
  <c r="D72" i="145"/>
  <c r="C72" i="145"/>
  <c r="B72" i="145"/>
  <c r="E71" i="145"/>
  <c r="F71" i="145" s="1"/>
  <c r="E70" i="145"/>
  <c r="F70" i="145" s="1"/>
  <c r="D68" i="145"/>
  <c r="C68" i="145"/>
  <c r="B68" i="145"/>
  <c r="E67" i="145"/>
  <c r="F67" i="145" s="1"/>
  <c r="E66" i="145"/>
  <c r="F66" i="145" s="1"/>
  <c r="E65" i="145"/>
  <c r="F65" i="145" s="1"/>
  <c r="D61" i="145"/>
  <c r="C61" i="145"/>
  <c r="B61" i="145"/>
  <c r="E60" i="145"/>
  <c r="F60" i="145" s="1"/>
  <c r="E59" i="145"/>
  <c r="F59" i="145" s="1"/>
  <c r="F61" i="145" s="1"/>
  <c r="D57" i="145"/>
  <c r="C57" i="145"/>
  <c r="B57" i="145"/>
  <c r="E56" i="145"/>
  <c r="F56" i="145" s="1"/>
  <c r="E55" i="145"/>
  <c r="F55" i="145" s="1"/>
  <c r="E54" i="145"/>
  <c r="E57" i="145" s="1"/>
  <c r="D51" i="145"/>
  <c r="C51" i="145"/>
  <c r="B51" i="145"/>
  <c r="E50" i="145"/>
  <c r="F50" i="145" s="1"/>
  <c r="E49" i="145"/>
  <c r="F49" i="145" s="1"/>
  <c r="E48" i="145"/>
  <c r="F48" i="145" s="1"/>
  <c r="E47" i="145"/>
  <c r="F47" i="145" s="1"/>
  <c r="E46" i="145"/>
  <c r="F46" i="145" s="1"/>
  <c r="E45" i="145"/>
  <c r="F45" i="145" s="1"/>
  <c r="E44" i="145"/>
  <c r="F44" i="145" s="1"/>
  <c r="E43" i="145"/>
  <c r="F43" i="145" s="1"/>
  <c r="D40" i="145"/>
  <c r="C40" i="145"/>
  <c r="B40" i="145"/>
  <c r="E39" i="145"/>
  <c r="F39" i="145" s="1"/>
  <c r="E38" i="145"/>
  <c r="F38" i="145" s="1"/>
  <c r="E37" i="145"/>
  <c r="F37" i="145" s="1"/>
  <c r="E34" i="145"/>
  <c r="F34" i="145" s="1"/>
  <c r="E31" i="145"/>
  <c r="F31" i="145" s="1"/>
  <c r="E30" i="145"/>
  <c r="F30" i="145" s="1"/>
  <c r="E29" i="145"/>
  <c r="F29" i="145" s="1"/>
  <c r="E28" i="145"/>
  <c r="F28" i="145" s="1"/>
  <c r="E26" i="145"/>
  <c r="F26" i="145" s="1"/>
  <c r="E25" i="145"/>
  <c r="F25" i="145" s="1"/>
  <c r="E24" i="145"/>
  <c r="E23" i="145"/>
  <c r="F23" i="145" s="1"/>
  <c r="E19" i="145"/>
  <c r="F19" i="145" s="1"/>
  <c r="E17" i="145"/>
  <c r="F17" i="145" s="1"/>
  <c r="E14" i="145"/>
  <c r="D14" i="145"/>
  <c r="C14" i="145"/>
  <c r="B14" i="145"/>
  <c r="F13" i="145"/>
  <c r="F12" i="145"/>
  <c r="F11" i="145"/>
  <c r="F10" i="145"/>
  <c r="F9" i="145"/>
  <c r="F8" i="145"/>
  <c r="F7" i="145"/>
  <c r="F6" i="145"/>
  <c r="AD13" i="146" l="1"/>
  <c r="AN13" i="146"/>
  <c r="AF12" i="146"/>
  <c r="AP12" i="146"/>
  <c r="R50" i="146"/>
  <c r="AF21" i="146"/>
  <c r="AP21" i="146"/>
  <c r="W37" i="146"/>
  <c r="AM49" i="146"/>
  <c r="Z28" i="146"/>
  <c r="Z30" i="146" s="1"/>
  <c r="G28" i="146"/>
  <c r="G30" i="146" s="1"/>
  <c r="AC13" i="146"/>
  <c r="AF13" i="146" s="1"/>
  <c r="AD29" i="146"/>
  <c r="AN29" i="146"/>
  <c r="AA27" i="146"/>
  <c r="T27" i="146"/>
  <c r="AC27" i="146" s="1"/>
  <c r="AF46" i="146"/>
  <c r="AP46" i="146"/>
  <c r="D10" i="146"/>
  <c r="AA10" i="146"/>
  <c r="AK28" i="146"/>
  <c r="AK30" i="146" s="1"/>
  <c r="AE12" i="146"/>
  <c r="D14" i="146"/>
  <c r="P14" i="146" s="1"/>
  <c r="AA14" i="146"/>
  <c r="AD14" i="146" s="1"/>
  <c r="AE21" i="146"/>
  <c r="AO21" i="146"/>
  <c r="N24" i="146"/>
  <c r="P27" i="146"/>
  <c r="D29" i="146"/>
  <c r="P29" i="146" s="1"/>
  <c r="S50" i="146"/>
  <c r="O37" i="146"/>
  <c r="AE33" i="146"/>
  <c r="P35" i="146"/>
  <c r="AC35" i="146"/>
  <c r="AC39" i="146"/>
  <c r="AF39" i="146" s="1"/>
  <c r="H48" i="146"/>
  <c r="E48" i="146"/>
  <c r="G45" i="146"/>
  <c r="W48" i="146"/>
  <c r="E28" i="146"/>
  <c r="E30" i="146" s="1"/>
  <c r="E50" i="146" s="1"/>
  <c r="AB28" i="146"/>
  <c r="AB30" i="146" s="1"/>
  <c r="AB50" i="146" s="1"/>
  <c r="AM10" i="146"/>
  <c r="AM28" i="146" s="1"/>
  <c r="AM30" i="146" s="1"/>
  <c r="T11" i="146"/>
  <c r="AC11" i="146" s="1"/>
  <c r="AP11" i="146" s="1"/>
  <c r="AO11" i="146"/>
  <c r="N16" i="146"/>
  <c r="AO18" i="146"/>
  <c r="AD21" i="146"/>
  <c r="AN21" i="146"/>
  <c r="AD22" i="146"/>
  <c r="R49" i="146"/>
  <c r="AJ37" i="146"/>
  <c r="AA35" i="146"/>
  <c r="W35" i="146"/>
  <c r="AE36" i="146"/>
  <c r="AO36" i="146"/>
  <c r="N43" i="146"/>
  <c r="AO46" i="146"/>
  <c r="X48" i="146"/>
  <c r="N10" i="146"/>
  <c r="AF18" i="146"/>
  <c r="AP18" i="146"/>
  <c r="AA19" i="146"/>
  <c r="AD19" i="146" s="1"/>
  <c r="T19" i="146"/>
  <c r="AC19" i="146" s="1"/>
  <c r="P24" i="146"/>
  <c r="V50" i="146"/>
  <c r="AA47" i="146"/>
  <c r="AA48" i="146" s="1"/>
  <c r="T47" i="146"/>
  <c r="AC47" i="146" s="1"/>
  <c r="B49" i="146"/>
  <c r="B50" i="146" s="1"/>
  <c r="T10" i="146"/>
  <c r="AO10" i="146"/>
  <c r="N12" i="146"/>
  <c r="AO14" i="146"/>
  <c r="AC16" i="146"/>
  <c r="P19" i="146"/>
  <c r="P22" i="146"/>
  <c r="T22" i="146"/>
  <c r="AC22" i="146" s="1"/>
  <c r="AC36" i="146"/>
  <c r="AF36" i="146" s="1"/>
  <c r="AC43" i="146"/>
  <c r="M48" i="146"/>
  <c r="M49" i="146" s="1"/>
  <c r="AH48" i="146"/>
  <c r="AJ45" i="146"/>
  <c r="AJ48" i="146" s="1"/>
  <c r="P47" i="146"/>
  <c r="AF16" i="146"/>
  <c r="AC24" i="146"/>
  <c r="AE25" i="146"/>
  <c r="AO25" i="146"/>
  <c r="O28" i="146"/>
  <c r="D37" i="146"/>
  <c r="AF43" i="146"/>
  <c r="H28" i="146"/>
  <c r="H30" i="146" s="1"/>
  <c r="H50" i="146" s="1"/>
  <c r="J10" i="146"/>
  <c r="J28" i="146" s="1"/>
  <c r="J30" i="146" s="1"/>
  <c r="U28" i="146"/>
  <c r="U30" i="146" s="1"/>
  <c r="AE15" i="146"/>
  <c r="AP16" i="146"/>
  <c r="AE17" i="146"/>
  <c r="AO17" i="146"/>
  <c r="AN19" i="146"/>
  <c r="AD25" i="146"/>
  <c r="AN25" i="146"/>
  <c r="AC25" i="146"/>
  <c r="AF25" i="146" s="1"/>
  <c r="N26" i="146"/>
  <c r="G37" i="146"/>
  <c r="Z37" i="146"/>
  <c r="Z49" i="146" s="1"/>
  <c r="AO33" i="146"/>
  <c r="AO37" i="146" s="1"/>
  <c r="AA34" i="146"/>
  <c r="AA37" i="146" s="1"/>
  <c r="AA49" i="146" s="1"/>
  <c r="T34" i="146"/>
  <c r="AC34" i="146" s="1"/>
  <c r="AC37" i="146" s="1"/>
  <c r="AC49" i="146" s="1"/>
  <c r="E37" i="146"/>
  <c r="E49" i="146" s="1"/>
  <c r="AK37" i="146"/>
  <c r="AP43" i="146"/>
  <c r="AE45" i="146"/>
  <c r="AO45" i="146"/>
  <c r="AO48" i="146" s="1"/>
  <c r="AK48" i="146"/>
  <c r="AN47" i="146"/>
  <c r="AD17" i="146"/>
  <c r="AN17" i="146"/>
  <c r="W28" i="146"/>
  <c r="W30" i="146" s="1"/>
  <c r="N11" i="146"/>
  <c r="AD15" i="146"/>
  <c r="AD20" i="146"/>
  <c r="AN20" i="146"/>
  <c r="P26" i="146"/>
  <c r="H37" i="146"/>
  <c r="H49" i="146" s="1"/>
  <c r="J33" i="146"/>
  <c r="J37" i="146" s="1"/>
  <c r="J49" i="146" s="1"/>
  <c r="P34" i="146"/>
  <c r="N45" i="146"/>
  <c r="AM48" i="146"/>
  <c r="O48" i="146"/>
  <c r="AE48" i="146" s="1"/>
  <c r="M10" i="146"/>
  <c r="M28" i="146" s="1"/>
  <c r="M30" i="146" s="1"/>
  <c r="AH28" i="146"/>
  <c r="AH30" i="146" s="1"/>
  <c r="P15" i="146"/>
  <c r="AA15" i="146"/>
  <c r="AN15" i="146" s="1"/>
  <c r="T15" i="146"/>
  <c r="AC15" i="146" s="1"/>
  <c r="AC17" i="146"/>
  <c r="AF17" i="146" s="1"/>
  <c r="N18" i="146"/>
  <c r="P20" i="146"/>
  <c r="N23" i="146"/>
  <c r="AA23" i="146"/>
  <c r="T23" i="146"/>
  <c r="AC23" i="146" s="1"/>
  <c r="AP23" i="146" s="1"/>
  <c r="AE29" i="146"/>
  <c r="AO29" i="146"/>
  <c r="N35" i="146"/>
  <c r="AA36" i="146"/>
  <c r="AN36" i="146" s="1"/>
  <c r="I49" i="146"/>
  <c r="I50" i="146" s="1"/>
  <c r="N41" i="146"/>
  <c r="AA41" i="146"/>
  <c r="T41" i="146"/>
  <c r="AC41" i="146" s="1"/>
  <c r="AP41" i="146" s="1"/>
  <c r="D48" i="146"/>
  <c r="AC45" i="146"/>
  <c r="AC48" i="146" s="1"/>
  <c r="N46" i="146"/>
  <c r="U37" i="146"/>
  <c r="U49" i="146" s="1"/>
  <c r="AA16" i="146"/>
  <c r="AA20" i="146"/>
  <c r="AA24" i="146"/>
  <c r="X37" i="146"/>
  <c r="X49" i="146" s="1"/>
  <c r="X50" i="146" s="1"/>
  <c r="AA43" i="146"/>
  <c r="N27" i="146"/>
  <c r="N34" i="146"/>
  <c r="AH37" i="146"/>
  <c r="AH49" i="146" s="1"/>
  <c r="U48" i="146"/>
  <c r="N39" i="146"/>
  <c r="N33" i="146"/>
  <c r="B62" i="145"/>
  <c r="B73" i="145" s="1"/>
  <c r="C62" i="145"/>
  <c r="F72" i="145"/>
  <c r="D62" i="145"/>
  <c r="D73" i="145" s="1"/>
  <c r="E83" i="145"/>
  <c r="E87" i="145" s="1"/>
  <c r="B87" i="145"/>
  <c r="C73" i="145"/>
  <c r="C88" i="145" s="1"/>
  <c r="E40" i="145"/>
  <c r="E61" i="145"/>
  <c r="C87" i="145"/>
  <c r="E72" i="145"/>
  <c r="F14" i="145"/>
  <c r="D87" i="145"/>
  <c r="F51" i="145"/>
  <c r="F83" i="145"/>
  <c r="F87" i="145" s="1"/>
  <c r="B88" i="145"/>
  <c r="F68" i="145"/>
  <c r="E68" i="145"/>
  <c r="E51" i="145"/>
  <c r="F79" i="145"/>
  <c r="F24" i="145"/>
  <c r="F40" i="145" s="1"/>
  <c r="F54" i="145"/>
  <c r="F57" i="145" s="1"/>
  <c r="AF22" i="146" l="1"/>
  <c r="AP22" i="146"/>
  <c r="AF35" i="146"/>
  <c r="AP35" i="146"/>
  <c r="W49" i="146"/>
  <c r="AN14" i="146"/>
  <c r="AD18" i="146"/>
  <c r="AN18" i="146"/>
  <c r="AD36" i="146"/>
  <c r="AP47" i="146"/>
  <c r="AF47" i="146"/>
  <c r="AP19" i="146"/>
  <c r="AF19" i="146"/>
  <c r="AF20" i="146"/>
  <c r="AP20" i="146"/>
  <c r="AD43" i="146"/>
  <c r="AN43" i="146"/>
  <c r="AD27" i="146"/>
  <c r="AN27" i="146"/>
  <c r="T48" i="146"/>
  <c r="AD11" i="146"/>
  <c r="AN11" i="146"/>
  <c r="G49" i="146"/>
  <c r="G50" i="146" s="1"/>
  <c r="P33" i="146"/>
  <c r="AD47" i="146"/>
  <c r="P45" i="146"/>
  <c r="G48" i="146"/>
  <c r="O49" i="146"/>
  <c r="AE37" i="146"/>
  <c r="AE49" i="146" s="1"/>
  <c r="AF14" i="146"/>
  <c r="AP14" i="146"/>
  <c r="AP17" i="146"/>
  <c r="T37" i="146"/>
  <c r="AP13" i="146"/>
  <c r="AD34" i="146"/>
  <c r="AN34" i="146"/>
  <c r="AF34" i="146"/>
  <c r="AP34" i="146"/>
  <c r="W50" i="146"/>
  <c r="AF41" i="146"/>
  <c r="AN26" i="146"/>
  <c r="AD26" i="146"/>
  <c r="D49" i="146"/>
  <c r="AP36" i="146"/>
  <c r="AD16" i="146"/>
  <c r="AN16" i="146"/>
  <c r="AF11" i="146"/>
  <c r="AO49" i="146"/>
  <c r="N48" i="146"/>
  <c r="AD48" i="146" s="1"/>
  <c r="AD45" i="146"/>
  <c r="AN45" i="146"/>
  <c r="AK49" i="146"/>
  <c r="AK50" i="146" s="1"/>
  <c r="U50" i="146"/>
  <c r="AE28" i="146"/>
  <c r="O30" i="146"/>
  <c r="AN12" i="146"/>
  <c r="AD12" i="146"/>
  <c r="N28" i="146"/>
  <c r="AD10" i="146"/>
  <c r="AN10" i="146"/>
  <c r="AJ49" i="146"/>
  <c r="AJ50" i="146" s="1"/>
  <c r="AP29" i="146"/>
  <c r="AF29" i="146"/>
  <c r="Z50" i="146"/>
  <c r="AF23" i="146"/>
  <c r="AD46" i="146"/>
  <c r="AN46" i="146"/>
  <c r="AD35" i="146"/>
  <c r="AN35" i="146"/>
  <c r="N37" i="146"/>
  <c r="AN33" i="146"/>
  <c r="AD33" i="146"/>
  <c r="AF15" i="146"/>
  <c r="AP15" i="146"/>
  <c r="AN39" i="146"/>
  <c r="AD39" i="146"/>
  <c r="AH50" i="146"/>
  <c r="J50" i="146"/>
  <c r="AO28" i="146"/>
  <c r="AO30" i="146" s="1"/>
  <c r="AO50" i="146" s="1"/>
  <c r="AF27" i="146"/>
  <c r="AP27" i="146"/>
  <c r="AA28" i="146"/>
  <c r="AA30" i="146" s="1"/>
  <c r="AA50" i="146" s="1"/>
  <c r="AP39" i="146"/>
  <c r="AP25" i="146"/>
  <c r="AN41" i="146"/>
  <c r="AD41" i="146"/>
  <c r="AD23" i="146"/>
  <c r="AN23" i="146"/>
  <c r="M50" i="146"/>
  <c r="AF26" i="146"/>
  <c r="AP26" i="146"/>
  <c r="T28" i="146"/>
  <c r="T30" i="146" s="1"/>
  <c r="AC10" i="146"/>
  <c r="AC28" i="146" s="1"/>
  <c r="AC30" i="146" s="1"/>
  <c r="AC50" i="146" s="1"/>
  <c r="AF24" i="146"/>
  <c r="AP24" i="146"/>
  <c r="AM50" i="146"/>
  <c r="AD24" i="146"/>
  <c r="AN24" i="146"/>
  <c r="D28" i="146"/>
  <c r="D30" i="146" s="1"/>
  <c r="D50" i="146" s="1"/>
  <c r="P10" i="146"/>
  <c r="D88" i="145"/>
  <c r="F62" i="145"/>
  <c r="F73" i="145" s="1"/>
  <c r="E62" i="145"/>
  <c r="E73" i="145" s="1"/>
  <c r="AN48" i="146" l="1"/>
  <c r="N49" i="146"/>
  <c r="AD37" i="146"/>
  <c r="AD49" i="146" s="1"/>
  <c r="AD28" i="146"/>
  <c r="N30" i="146"/>
  <c r="AF45" i="146"/>
  <c r="AP45" i="146"/>
  <c r="AP48" i="146" s="1"/>
  <c r="P48" i="146"/>
  <c r="AF48" i="146" s="1"/>
  <c r="O50" i="146"/>
  <c r="AE30" i="146"/>
  <c r="AE50" i="146" s="1"/>
  <c r="T49" i="146"/>
  <c r="T50" i="146" s="1"/>
  <c r="P28" i="146"/>
  <c r="AP10" i="146"/>
  <c r="AP28" i="146" s="1"/>
  <c r="AP30" i="146" s="1"/>
  <c r="AF10" i="146"/>
  <c r="AN28" i="146"/>
  <c r="AN30" i="146" s="1"/>
  <c r="AN50" i="146" s="1"/>
  <c r="AN37" i="146"/>
  <c r="AN49" i="146" s="1"/>
  <c r="P37" i="146"/>
  <c r="AF33" i="146"/>
  <c r="AP33" i="146"/>
  <c r="AP37" i="146" s="1"/>
  <c r="F88" i="145"/>
  <c r="E88" i="145"/>
  <c r="P30" i="146" l="1"/>
  <c r="AF28" i="146"/>
  <c r="N50" i="146"/>
  <c r="AD30" i="146"/>
  <c r="AD50" i="146" s="1"/>
  <c r="AP49" i="146"/>
  <c r="AP50" i="146" s="1"/>
  <c r="AF37" i="146"/>
  <c r="AF49" i="146" s="1"/>
  <c r="P49" i="146"/>
  <c r="D49" i="144"/>
  <c r="F49" i="144" s="1"/>
  <c r="C49" i="144"/>
  <c r="B49" i="144"/>
  <c r="M46" i="144"/>
  <c r="L46" i="144"/>
  <c r="K46" i="144"/>
  <c r="J46" i="144"/>
  <c r="I46" i="144"/>
  <c r="H46" i="144"/>
  <c r="G46" i="144"/>
  <c r="E46" i="144"/>
  <c r="D45" i="144"/>
  <c r="F45" i="144" s="1"/>
  <c r="C45" i="144"/>
  <c r="B45" i="144"/>
  <c r="D44" i="144"/>
  <c r="F44" i="144" s="1"/>
  <c r="C44" i="144"/>
  <c r="B44" i="144"/>
  <c r="D43" i="144"/>
  <c r="F43" i="144" s="1"/>
  <c r="C43" i="144"/>
  <c r="B43" i="144"/>
  <c r="D41" i="144"/>
  <c r="F41" i="144" s="1"/>
  <c r="C41" i="144"/>
  <c r="B41" i="144"/>
  <c r="D39" i="144"/>
  <c r="F39" i="144" s="1"/>
  <c r="C39" i="144"/>
  <c r="B39" i="144"/>
  <c r="D37" i="144"/>
  <c r="F37" i="144" s="1"/>
  <c r="C37" i="144"/>
  <c r="B37" i="144"/>
  <c r="M35" i="144"/>
  <c r="L35" i="144"/>
  <c r="K35" i="144"/>
  <c r="J35" i="144"/>
  <c r="I35" i="144"/>
  <c r="H35" i="144"/>
  <c r="G35" i="144"/>
  <c r="G47" i="144" s="1"/>
  <c r="E35" i="144"/>
  <c r="E47" i="144" s="1"/>
  <c r="D34" i="144"/>
  <c r="F34" i="144" s="1"/>
  <c r="C34" i="144"/>
  <c r="B34" i="144"/>
  <c r="D33" i="144"/>
  <c r="F33" i="144" s="1"/>
  <c r="C33" i="144"/>
  <c r="B33" i="144"/>
  <c r="D32" i="144"/>
  <c r="F32" i="144" s="1"/>
  <c r="C32" i="144"/>
  <c r="B32" i="144"/>
  <c r="D31" i="144"/>
  <c r="F31" i="144" s="1"/>
  <c r="C31" i="144"/>
  <c r="B31" i="144"/>
  <c r="D27" i="144"/>
  <c r="F27" i="144" s="1"/>
  <c r="C27" i="144"/>
  <c r="B27" i="144"/>
  <c r="M26" i="144"/>
  <c r="M28" i="144" s="1"/>
  <c r="L26" i="144"/>
  <c r="L28" i="144" s="1"/>
  <c r="K26" i="144"/>
  <c r="K28" i="144" s="1"/>
  <c r="J26" i="144"/>
  <c r="J28" i="144" s="1"/>
  <c r="I26" i="144"/>
  <c r="I28" i="144" s="1"/>
  <c r="H26" i="144"/>
  <c r="H28" i="144" s="1"/>
  <c r="G26" i="144"/>
  <c r="G28" i="144" s="1"/>
  <c r="E26" i="144"/>
  <c r="E28" i="144" s="1"/>
  <c r="D25" i="144"/>
  <c r="F25" i="144" s="1"/>
  <c r="C25" i="144"/>
  <c r="B25" i="144"/>
  <c r="D24" i="144"/>
  <c r="F24" i="144" s="1"/>
  <c r="C24" i="144"/>
  <c r="B24" i="144"/>
  <c r="D23" i="144"/>
  <c r="F23" i="144" s="1"/>
  <c r="C23" i="144"/>
  <c r="B23" i="144"/>
  <c r="D22" i="144"/>
  <c r="F22" i="144" s="1"/>
  <c r="C22" i="144"/>
  <c r="B22" i="144"/>
  <c r="D21" i="144"/>
  <c r="F21" i="144" s="1"/>
  <c r="C21" i="144"/>
  <c r="B21" i="144"/>
  <c r="D20" i="144"/>
  <c r="F20" i="144" s="1"/>
  <c r="C20" i="144"/>
  <c r="B20" i="144"/>
  <c r="D19" i="144"/>
  <c r="F19" i="144" s="1"/>
  <c r="C19" i="144"/>
  <c r="B19" i="144"/>
  <c r="D18" i="144"/>
  <c r="F18" i="144" s="1"/>
  <c r="C18" i="144"/>
  <c r="B18" i="144"/>
  <c r="D17" i="144"/>
  <c r="F17" i="144" s="1"/>
  <c r="C17" i="144"/>
  <c r="B17" i="144"/>
  <c r="D16" i="144"/>
  <c r="F16" i="144" s="1"/>
  <c r="C16" i="144"/>
  <c r="B16" i="144"/>
  <c r="D15" i="144"/>
  <c r="F15" i="144" s="1"/>
  <c r="C15" i="144"/>
  <c r="B15" i="144"/>
  <c r="D14" i="144"/>
  <c r="F14" i="144" s="1"/>
  <c r="C14" i="144"/>
  <c r="B14" i="144"/>
  <c r="D13" i="144"/>
  <c r="F13" i="144" s="1"/>
  <c r="C13" i="144"/>
  <c r="B13" i="144"/>
  <c r="D12" i="144"/>
  <c r="F12" i="144" s="1"/>
  <c r="C12" i="144"/>
  <c r="B12" i="144"/>
  <c r="D11" i="144"/>
  <c r="F11" i="144" s="1"/>
  <c r="C11" i="144"/>
  <c r="B11" i="144"/>
  <c r="D10" i="144"/>
  <c r="F10" i="144" s="1"/>
  <c r="C10" i="144"/>
  <c r="B10" i="144"/>
  <c r="D9" i="144"/>
  <c r="F9" i="144" s="1"/>
  <c r="C9" i="144"/>
  <c r="B9" i="144"/>
  <c r="D8" i="144"/>
  <c r="C8" i="144"/>
  <c r="B8" i="144"/>
  <c r="P50" i="146" l="1"/>
  <c r="AF30" i="146"/>
  <c r="AF50" i="146" s="1"/>
  <c r="H48" i="144"/>
  <c r="H50" i="144" s="1"/>
  <c r="H47" i="144"/>
  <c r="I47" i="144"/>
  <c r="C35" i="144"/>
  <c r="C46" i="144"/>
  <c r="B46" i="144"/>
  <c r="C47" i="144"/>
  <c r="K47" i="144"/>
  <c r="K48" i="144" s="1"/>
  <c r="K50" i="144" s="1"/>
  <c r="L47" i="144"/>
  <c r="L48" i="144" s="1"/>
  <c r="L50" i="144" s="1"/>
  <c r="B26" i="144"/>
  <c r="B28" i="144" s="1"/>
  <c r="E48" i="144"/>
  <c r="E50" i="144" s="1"/>
  <c r="C26" i="144"/>
  <c r="C28" i="144" s="1"/>
  <c r="D26" i="144"/>
  <c r="D28" i="144" s="1"/>
  <c r="J47" i="144"/>
  <c r="J48" i="144" s="1"/>
  <c r="J50" i="144" s="1"/>
  <c r="B35" i="144"/>
  <c r="B47" i="144" s="1"/>
  <c r="M47" i="144"/>
  <c r="M48" i="144" s="1"/>
  <c r="M50" i="144" s="1"/>
  <c r="G48" i="144"/>
  <c r="G50" i="144" s="1"/>
  <c r="F46" i="144"/>
  <c r="I48" i="144"/>
  <c r="I50" i="144" s="1"/>
  <c r="F35" i="144"/>
  <c r="D46" i="144"/>
  <c r="F8" i="144"/>
  <c r="D35" i="144"/>
  <c r="D47" i="144" s="1"/>
  <c r="D48" i="144" l="1"/>
  <c r="D50" i="144" s="1"/>
  <c r="C48" i="144"/>
  <c r="C50" i="144" s="1"/>
  <c r="B48" i="144"/>
  <c r="B50" i="144" s="1"/>
  <c r="F47" i="144"/>
  <c r="F26" i="144"/>
  <c r="F28" i="144" l="1"/>
  <c r="F48" i="144" l="1"/>
  <c r="F50" i="144" l="1"/>
  <c r="AC48" i="142" l="1"/>
  <c r="Z48" i="142"/>
  <c r="W48" i="142"/>
  <c r="P48" i="142"/>
  <c r="M48" i="142"/>
  <c r="AF47" i="142"/>
  <c r="AB47" i="142"/>
  <c r="AD47" i="142" s="1"/>
  <c r="Y47" i="142"/>
  <c r="AA47" i="142" s="1"/>
  <c r="V47" i="142"/>
  <c r="O47" i="142"/>
  <c r="Q47" i="142" s="1"/>
  <c r="L47" i="142"/>
  <c r="N47" i="142" s="1"/>
  <c r="I47" i="142"/>
  <c r="I48" i="142" s="1"/>
  <c r="H47" i="142"/>
  <c r="F47" i="142"/>
  <c r="F48" i="142" s="1"/>
  <c r="E47" i="142"/>
  <c r="C47" i="142"/>
  <c r="C48" i="142" s="1"/>
  <c r="B47" i="142"/>
  <c r="AF46" i="142"/>
  <c r="AB46" i="142"/>
  <c r="Y46" i="142"/>
  <c r="V46" i="142"/>
  <c r="X46" i="142" s="1"/>
  <c r="S46" i="142"/>
  <c r="O46" i="142"/>
  <c r="Q46" i="142" s="1"/>
  <c r="L46" i="142"/>
  <c r="N46" i="142" s="1"/>
  <c r="H46" i="142"/>
  <c r="J46" i="142" s="1"/>
  <c r="E46" i="142"/>
  <c r="G46" i="142" s="1"/>
  <c r="B46" i="142"/>
  <c r="AF45" i="142"/>
  <c r="AB45" i="142"/>
  <c r="AD45" i="142" s="1"/>
  <c r="Y45" i="142"/>
  <c r="V45" i="142"/>
  <c r="S45" i="142"/>
  <c r="O45" i="142"/>
  <c r="Q45" i="142" s="1"/>
  <c r="L45" i="142"/>
  <c r="H45" i="142"/>
  <c r="E45" i="142"/>
  <c r="G45" i="142" s="1"/>
  <c r="B45" i="142"/>
  <c r="AB43" i="142"/>
  <c r="AD43" i="142" s="1"/>
  <c r="Y43" i="142"/>
  <c r="AA43" i="142" s="1"/>
  <c r="X43" i="142"/>
  <c r="W43" i="142"/>
  <c r="AF43" i="142" s="1"/>
  <c r="V43" i="142"/>
  <c r="O43" i="142"/>
  <c r="L43" i="142"/>
  <c r="N43" i="142" s="1"/>
  <c r="H43" i="142"/>
  <c r="J43" i="142" s="1"/>
  <c r="F43" i="142"/>
  <c r="E43" i="142"/>
  <c r="C43" i="142"/>
  <c r="B43" i="142"/>
  <c r="AF41" i="142"/>
  <c r="AB41" i="142"/>
  <c r="Y41" i="142"/>
  <c r="AA41" i="142" s="1"/>
  <c r="V41" i="142"/>
  <c r="X41" i="142" s="1"/>
  <c r="S41" i="142"/>
  <c r="O41" i="142"/>
  <c r="Q41" i="142" s="1"/>
  <c r="L41" i="142"/>
  <c r="N41" i="142" s="1"/>
  <c r="H41" i="142"/>
  <c r="J41" i="142" s="1"/>
  <c r="E41" i="142"/>
  <c r="G41" i="142" s="1"/>
  <c r="B41" i="142"/>
  <c r="D41" i="142" s="1"/>
  <c r="AF39" i="142"/>
  <c r="AB39" i="142"/>
  <c r="AD39" i="142" s="1"/>
  <c r="Y39" i="142"/>
  <c r="AA39" i="142" s="1"/>
  <c r="V39" i="142"/>
  <c r="X39" i="142" s="1"/>
  <c r="O39" i="142"/>
  <c r="Q39" i="142" s="1"/>
  <c r="L39" i="142"/>
  <c r="N39" i="142" s="1"/>
  <c r="I39" i="142"/>
  <c r="H39" i="142"/>
  <c r="J39" i="142" s="1"/>
  <c r="F39" i="142"/>
  <c r="E39" i="142"/>
  <c r="G39" i="142" s="1"/>
  <c r="C39" i="142"/>
  <c r="S39" i="142" s="1"/>
  <c r="AI39" i="142" s="1"/>
  <c r="B39" i="142"/>
  <c r="AC37" i="142"/>
  <c r="Z37" i="142"/>
  <c r="W37" i="142"/>
  <c r="P37" i="142"/>
  <c r="P49" i="142" s="1"/>
  <c r="M37" i="142"/>
  <c r="M49" i="142" s="1"/>
  <c r="I37" i="142"/>
  <c r="AF36" i="142"/>
  <c r="AB36" i="142"/>
  <c r="AD36" i="142" s="1"/>
  <c r="Y36" i="142"/>
  <c r="AA36" i="142" s="1"/>
  <c r="V36" i="142"/>
  <c r="O36" i="142"/>
  <c r="Q36" i="142" s="1"/>
  <c r="L36" i="142"/>
  <c r="N36" i="142" s="1"/>
  <c r="H36" i="142"/>
  <c r="J36" i="142" s="1"/>
  <c r="F36" i="142"/>
  <c r="F37" i="142" s="1"/>
  <c r="E36" i="142"/>
  <c r="C36" i="142"/>
  <c r="C37" i="142" s="1"/>
  <c r="B36" i="142"/>
  <c r="AF35" i="142"/>
  <c r="AB35" i="142"/>
  <c r="AD35" i="142" s="1"/>
  <c r="Y35" i="142"/>
  <c r="AA35" i="142" s="1"/>
  <c r="V35" i="142"/>
  <c r="X35" i="142" s="1"/>
  <c r="S35" i="142"/>
  <c r="O35" i="142"/>
  <c r="Q35" i="142" s="1"/>
  <c r="L35" i="142"/>
  <c r="N35" i="142" s="1"/>
  <c r="H35" i="142"/>
  <c r="J35" i="142" s="1"/>
  <c r="E35" i="142"/>
  <c r="G35" i="142" s="1"/>
  <c r="B35" i="142"/>
  <c r="D35" i="142" s="1"/>
  <c r="AF34" i="142"/>
  <c r="AB34" i="142"/>
  <c r="AD34" i="142" s="1"/>
  <c r="Y34" i="142"/>
  <c r="AA34" i="142" s="1"/>
  <c r="V34" i="142"/>
  <c r="S34" i="142"/>
  <c r="O34" i="142"/>
  <c r="Q34" i="142" s="1"/>
  <c r="L34" i="142"/>
  <c r="N34" i="142" s="1"/>
  <c r="H34" i="142"/>
  <c r="J34" i="142" s="1"/>
  <c r="E34" i="142"/>
  <c r="G34" i="142" s="1"/>
  <c r="B34" i="142"/>
  <c r="AF33" i="142"/>
  <c r="AB33" i="142"/>
  <c r="Y33" i="142"/>
  <c r="V33" i="142"/>
  <c r="X33" i="142" s="1"/>
  <c r="S33" i="142"/>
  <c r="O33" i="142"/>
  <c r="O37" i="142" s="1"/>
  <c r="L33" i="142"/>
  <c r="N33" i="142" s="1"/>
  <c r="H33" i="142"/>
  <c r="J33" i="142" s="1"/>
  <c r="E33" i="142"/>
  <c r="B33" i="142"/>
  <c r="D33" i="142" s="1"/>
  <c r="AB29" i="142"/>
  <c r="AD29" i="142" s="1"/>
  <c r="Y29" i="142"/>
  <c r="W29" i="142"/>
  <c r="AF29" i="142" s="1"/>
  <c r="V29" i="142"/>
  <c r="X29" i="142" s="1"/>
  <c r="O29" i="142"/>
  <c r="Q29" i="142" s="1"/>
  <c r="L29" i="142"/>
  <c r="N29" i="142" s="1"/>
  <c r="I29" i="142"/>
  <c r="S29" i="142" s="1"/>
  <c r="H29" i="142"/>
  <c r="J29" i="142" s="1"/>
  <c r="E29" i="142"/>
  <c r="G29" i="142" s="1"/>
  <c r="B29" i="142"/>
  <c r="AC28" i="142"/>
  <c r="AC30" i="142" s="1"/>
  <c r="Z28" i="142"/>
  <c r="Z30" i="142" s="1"/>
  <c r="W28" i="142"/>
  <c r="P28" i="142"/>
  <c r="P30" i="142" s="1"/>
  <c r="M28" i="142"/>
  <c r="M30" i="142" s="1"/>
  <c r="AF27" i="142"/>
  <c r="AB27" i="142"/>
  <c r="AD27" i="142" s="1"/>
  <c r="Y27" i="142"/>
  <c r="AA27" i="142" s="1"/>
  <c r="V27" i="142"/>
  <c r="X27" i="142" s="1"/>
  <c r="O27" i="142"/>
  <c r="Q27" i="142" s="1"/>
  <c r="L27" i="142"/>
  <c r="N27" i="142" s="1"/>
  <c r="H27" i="142"/>
  <c r="J27" i="142" s="1"/>
  <c r="F27" i="142"/>
  <c r="E27" i="142"/>
  <c r="C27" i="142"/>
  <c r="S27" i="142" s="1"/>
  <c r="AI27" i="142" s="1"/>
  <c r="B27" i="142"/>
  <c r="AF26" i="142"/>
  <c r="AB26" i="142"/>
  <c r="AD26" i="142" s="1"/>
  <c r="Y26" i="142"/>
  <c r="AA26" i="142" s="1"/>
  <c r="V26" i="142"/>
  <c r="O26" i="142"/>
  <c r="Q26" i="142" s="1"/>
  <c r="L26" i="142"/>
  <c r="N26" i="142" s="1"/>
  <c r="H26" i="142"/>
  <c r="J26" i="142" s="1"/>
  <c r="F26" i="142"/>
  <c r="E26" i="142"/>
  <c r="C26" i="142"/>
  <c r="B26" i="142"/>
  <c r="AF25" i="142"/>
  <c r="AB25" i="142"/>
  <c r="AD25" i="142" s="1"/>
  <c r="Y25" i="142"/>
  <c r="AA25" i="142" s="1"/>
  <c r="V25" i="142"/>
  <c r="X25" i="142" s="1"/>
  <c r="O25" i="142"/>
  <c r="Q25" i="142" s="1"/>
  <c r="L25" i="142"/>
  <c r="N25" i="142" s="1"/>
  <c r="H25" i="142"/>
  <c r="J25" i="142" s="1"/>
  <c r="F25" i="142"/>
  <c r="G25" i="142" s="1"/>
  <c r="E25" i="142"/>
  <c r="C25" i="142"/>
  <c r="S25" i="142" s="1"/>
  <c r="B25" i="142"/>
  <c r="AF24" i="142"/>
  <c r="AB24" i="142"/>
  <c r="Y24" i="142"/>
  <c r="AA24" i="142" s="1"/>
  <c r="V24" i="142"/>
  <c r="X24" i="142" s="1"/>
  <c r="O24" i="142"/>
  <c r="Q24" i="142" s="1"/>
  <c r="L24" i="142"/>
  <c r="N24" i="142" s="1"/>
  <c r="H24" i="142"/>
  <c r="J24" i="142" s="1"/>
  <c r="F24" i="142"/>
  <c r="E24" i="142"/>
  <c r="C24" i="142"/>
  <c r="B24" i="142"/>
  <c r="D24" i="142" s="1"/>
  <c r="AF23" i="142"/>
  <c r="AB23" i="142"/>
  <c r="AD23" i="142" s="1"/>
  <c r="Y23" i="142"/>
  <c r="AA23" i="142" s="1"/>
  <c r="V23" i="142"/>
  <c r="X23" i="142" s="1"/>
  <c r="O23" i="142"/>
  <c r="Q23" i="142" s="1"/>
  <c r="L23" i="142"/>
  <c r="N23" i="142" s="1"/>
  <c r="H23" i="142"/>
  <c r="J23" i="142" s="1"/>
  <c r="F23" i="142"/>
  <c r="E23" i="142"/>
  <c r="C23" i="142"/>
  <c r="B23" i="142"/>
  <c r="AF22" i="142"/>
  <c r="AB22" i="142"/>
  <c r="AD22" i="142" s="1"/>
  <c r="Y22" i="142"/>
  <c r="AA22" i="142" s="1"/>
  <c r="V22" i="142"/>
  <c r="O22" i="142"/>
  <c r="Q22" i="142" s="1"/>
  <c r="L22" i="142"/>
  <c r="N22" i="142" s="1"/>
  <c r="H22" i="142"/>
  <c r="J22" i="142" s="1"/>
  <c r="F22" i="142"/>
  <c r="E22" i="142"/>
  <c r="C22" i="142"/>
  <c r="S22" i="142" s="1"/>
  <c r="AI22" i="142" s="1"/>
  <c r="B22" i="142"/>
  <c r="AF21" i="142"/>
  <c r="AB21" i="142"/>
  <c r="AD21" i="142" s="1"/>
  <c r="Y21" i="142"/>
  <c r="AA21" i="142" s="1"/>
  <c r="V21" i="142"/>
  <c r="X21" i="142" s="1"/>
  <c r="O21" i="142"/>
  <c r="Q21" i="142" s="1"/>
  <c r="L21" i="142"/>
  <c r="N21" i="142" s="1"/>
  <c r="I21" i="142"/>
  <c r="I28" i="142" s="1"/>
  <c r="H21" i="142"/>
  <c r="F21" i="142"/>
  <c r="E21" i="142"/>
  <c r="G21" i="142" s="1"/>
  <c r="C21" i="142"/>
  <c r="B21" i="142"/>
  <c r="AF20" i="142"/>
  <c r="AB20" i="142"/>
  <c r="AD20" i="142" s="1"/>
  <c r="Y20" i="142"/>
  <c r="AA20" i="142" s="1"/>
  <c r="V20" i="142"/>
  <c r="X20" i="142" s="1"/>
  <c r="O20" i="142"/>
  <c r="Q20" i="142" s="1"/>
  <c r="L20" i="142"/>
  <c r="N20" i="142" s="1"/>
  <c r="H20" i="142"/>
  <c r="J20" i="142" s="1"/>
  <c r="F20" i="142"/>
  <c r="E20" i="142"/>
  <c r="G20" i="142" s="1"/>
  <c r="C20" i="142"/>
  <c r="B20" i="142"/>
  <c r="R20" i="142" s="1"/>
  <c r="AF19" i="142"/>
  <c r="AB19" i="142"/>
  <c r="AD19" i="142" s="1"/>
  <c r="AA19" i="142"/>
  <c r="Y19" i="142"/>
  <c r="V19" i="142"/>
  <c r="X19" i="142" s="1"/>
  <c r="O19" i="142"/>
  <c r="Q19" i="142" s="1"/>
  <c r="L19" i="142"/>
  <c r="N19" i="142" s="1"/>
  <c r="H19" i="142"/>
  <c r="J19" i="142" s="1"/>
  <c r="F19" i="142"/>
  <c r="E19" i="142"/>
  <c r="C19" i="142"/>
  <c r="B19" i="142"/>
  <c r="D19" i="142" s="1"/>
  <c r="AF18" i="142"/>
  <c r="AB18" i="142"/>
  <c r="AD18" i="142" s="1"/>
  <c r="Y18" i="142"/>
  <c r="V18" i="142"/>
  <c r="X18" i="142" s="1"/>
  <c r="O18" i="142"/>
  <c r="Q18" i="142" s="1"/>
  <c r="L18" i="142"/>
  <c r="N18" i="142" s="1"/>
  <c r="H18" i="142"/>
  <c r="J18" i="142" s="1"/>
  <c r="F18" i="142"/>
  <c r="E18" i="142"/>
  <c r="G18" i="142" s="1"/>
  <c r="C18" i="142"/>
  <c r="S18" i="142" s="1"/>
  <c r="AI18" i="142" s="1"/>
  <c r="B18" i="142"/>
  <c r="AF17" i="142"/>
  <c r="AB17" i="142"/>
  <c r="AD17" i="142" s="1"/>
  <c r="Y17" i="142"/>
  <c r="AA17" i="142" s="1"/>
  <c r="V17" i="142"/>
  <c r="O17" i="142"/>
  <c r="Q17" i="142" s="1"/>
  <c r="L17" i="142"/>
  <c r="N17" i="142" s="1"/>
  <c r="H17" i="142"/>
  <c r="J17" i="142" s="1"/>
  <c r="F17" i="142"/>
  <c r="E17" i="142"/>
  <c r="G17" i="142" s="1"/>
  <c r="C17" i="142"/>
  <c r="B17" i="142"/>
  <c r="AF16" i="142"/>
  <c r="AB16" i="142"/>
  <c r="AD16" i="142" s="1"/>
  <c r="Y16" i="142"/>
  <c r="AA16" i="142" s="1"/>
  <c r="V16" i="142"/>
  <c r="X16" i="142" s="1"/>
  <c r="O16" i="142"/>
  <c r="Q16" i="142" s="1"/>
  <c r="L16" i="142"/>
  <c r="N16" i="142" s="1"/>
  <c r="H16" i="142"/>
  <c r="J16" i="142" s="1"/>
  <c r="F16" i="142"/>
  <c r="E16" i="142"/>
  <c r="C16" i="142"/>
  <c r="S16" i="142" s="1"/>
  <c r="AI16" i="142" s="1"/>
  <c r="B16" i="142"/>
  <c r="D16" i="142" s="1"/>
  <c r="AF15" i="142"/>
  <c r="AB15" i="142"/>
  <c r="AD15" i="142" s="1"/>
  <c r="Y15" i="142"/>
  <c r="AA15" i="142" s="1"/>
  <c r="V15" i="142"/>
  <c r="X15" i="142" s="1"/>
  <c r="O15" i="142"/>
  <c r="Q15" i="142" s="1"/>
  <c r="L15" i="142"/>
  <c r="N15" i="142" s="1"/>
  <c r="H15" i="142"/>
  <c r="J15" i="142" s="1"/>
  <c r="F15" i="142"/>
  <c r="E15" i="142"/>
  <c r="C15" i="142"/>
  <c r="B15" i="142"/>
  <c r="D15" i="142" s="1"/>
  <c r="AF14" i="142"/>
  <c r="AB14" i="142"/>
  <c r="AD14" i="142" s="1"/>
  <c r="Y14" i="142"/>
  <c r="AA14" i="142" s="1"/>
  <c r="V14" i="142"/>
  <c r="X14" i="142" s="1"/>
  <c r="O14" i="142"/>
  <c r="Q14" i="142" s="1"/>
  <c r="L14" i="142"/>
  <c r="N14" i="142" s="1"/>
  <c r="H14" i="142"/>
  <c r="J14" i="142" s="1"/>
  <c r="F14" i="142"/>
  <c r="E14" i="142"/>
  <c r="C14" i="142"/>
  <c r="B14" i="142"/>
  <c r="AF13" i="142"/>
  <c r="AB13" i="142"/>
  <c r="AD13" i="142" s="1"/>
  <c r="Y13" i="142"/>
  <c r="AA13" i="142" s="1"/>
  <c r="V13" i="142"/>
  <c r="O13" i="142"/>
  <c r="Q13" i="142" s="1"/>
  <c r="L13" i="142"/>
  <c r="N13" i="142" s="1"/>
  <c r="H13" i="142"/>
  <c r="J13" i="142" s="1"/>
  <c r="F13" i="142"/>
  <c r="E13" i="142"/>
  <c r="G13" i="142" s="1"/>
  <c r="C13" i="142"/>
  <c r="B13" i="142"/>
  <c r="AF12" i="142"/>
  <c r="AB12" i="142"/>
  <c r="AD12" i="142" s="1"/>
  <c r="Y12" i="142"/>
  <c r="AA12" i="142" s="1"/>
  <c r="V12" i="142"/>
  <c r="X12" i="142" s="1"/>
  <c r="O12" i="142"/>
  <c r="Q12" i="142" s="1"/>
  <c r="L12" i="142"/>
  <c r="N12" i="142" s="1"/>
  <c r="H12" i="142"/>
  <c r="J12" i="142" s="1"/>
  <c r="F12" i="142"/>
  <c r="E12" i="142"/>
  <c r="C12" i="142"/>
  <c r="S12" i="142" s="1"/>
  <c r="AI12" i="142" s="1"/>
  <c r="B12" i="142"/>
  <c r="AF11" i="142"/>
  <c r="AB11" i="142"/>
  <c r="AD11" i="142" s="1"/>
  <c r="Y11" i="142"/>
  <c r="AA11" i="142" s="1"/>
  <c r="V11" i="142"/>
  <c r="X11" i="142" s="1"/>
  <c r="O11" i="142"/>
  <c r="Q11" i="142" s="1"/>
  <c r="L11" i="142"/>
  <c r="N11" i="142" s="1"/>
  <c r="H11" i="142"/>
  <c r="J11" i="142" s="1"/>
  <c r="F11" i="142"/>
  <c r="E11" i="142"/>
  <c r="C11" i="142"/>
  <c r="B11" i="142"/>
  <c r="D11" i="142" s="1"/>
  <c r="AF10" i="142"/>
  <c r="AB10" i="142"/>
  <c r="AD10" i="142" s="1"/>
  <c r="Y10" i="142"/>
  <c r="V10" i="142"/>
  <c r="X10" i="142" s="1"/>
  <c r="O10" i="142"/>
  <c r="Q10" i="142" s="1"/>
  <c r="L10" i="142"/>
  <c r="H10" i="142"/>
  <c r="J10" i="142" s="1"/>
  <c r="F10" i="142"/>
  <c r="E10" i="142"/>
  <c r="G10" i="142" s="1"/>
  <c r="C10" i="142"/>
  <c r="B10" i="142"/>
  <c r="G12" i="142" l="1"/>
  <c r="G22" i="142"/>
  <c r="G43" i="142"/>
  <c r="AE45" i="142"/>
  <c r="G47" i="142"/>
  <c r="T35" i="142"/>
  <c r="S14" i="142"/>
  <c r="AI14" i="142" s="1"/>
  <c r="AE22" i="142"/>
  <c r="S36" i="142"/>
  <c r="AI36" i="142" s="1"/>
  <c r="D12" i="142"/>
  <c r="G14" i="142"/>
  <c r="D36" i="142"/>
  <c r="AE36" i="142"/>
  <c r="S13" i="142"/>
  <c r="AI13" i="142" s="1"/>
  <c r="S17" i="142"/>
  <c r="AI17" i="142" s="1"/>
  <c r="G23" i="142"/>
  <c r="W30" i="142"/>
  <c r="AF37" i="142"/>
  <c r="F49" i="142"/>
  <c r="S43" i="142"/>
  <c r="AI43" i="142" s="1"/>
  <c r="AH20" i="142"/>
  <c r="S24" i="142"/>
  <c r="AI24" i="142" s="1"/>
  <c r="B48" i="142"/>
  <c r="AE12" i="142"/>
  <c r="AE16" i="142"/>
  <c r="AE20" i="142"/>
  <c r="G27" i="142"/>
  <c r="AE29" i="142"/>
  <c r="W49" i="142"/>
  <c r="H37" i="142"/>
  <c r="M50" i="142"/>
  <c r="S19" i="142"/>
  <c r="AI19" i="142" s="1"/>
  <c r="S23" i="142"/>
  <c r="AI23" i="142" s="1"/>
  <c r="L48" i="142"/>
  <c r="AB48" i="142"/>
  <c r="T41" i="142"/>
  <c r="AG43" i="142"/>
  <c r="AE24" i="142"/>
  <c r="O28" i="142"/>
  <c r="O30" i="142" s="1"/>
  <c r="P50" i="142"/>
  <c r="X36" i="142"/>
  <c r="AG36" i="142" s="1"/>
  <c r="L28" i="142"/>
  <c r="L30" i="142" s="1"/>
  <c r="D20" i="142"/>
  <c r="T20" i="142" s="1"/>
  <c r="AE25" i="142"/>
  <c r="AI41" i="142"/>
  <c r="F28" i="142"/>
  <c r="F30" i="142" s="1"/>
  <c r="R25" i="142"/>
  <c r="S47" i="142"/>
  <c r="AI47" i="142" s="1"/>
  <c r="AG16" i="142"/>
  <c r="AG19" i="142"/>
  <c r="S20" i="142"/>
  <c r="AI20" i="142" s="1"/>
  <c r="Y37" i="142"/>
  <c r="Z49" i="142"/>
  <c r="N45" i="142"/>
  <c r="N48" i="142" s="1"/>
  <c r="AI46" i="142"/>
  <c r="I49" i="142"/>
  <c r="X45" i="142"/>
  <c r="R12" i="142"/>
  <c r="AH12" i="142" s="1"/>
  <c r="R21" i="142"/>
  <c r="AD24" i="142"/>
  <c r="AD28" i="142" s="1"/>
  <c r="AD30" i="142" s="1"/>
  <c r="AF48" i="142"/>
  <c r="R16" i="142"/>
  <c r="R27" i="142"/>
  <c r="AE39" i="142"/>
  <c r="AF28" i="142"/>
  <c r="AF30" i="142" s="1"/>
  <c r="S15" i="142"/>
  <c r="AI15" i="142" s="1"/>
  <c r="G16" i="142"/>
  <c r="T16" i="142" s="1"/>
  <c r="AJ16" i="142" s="1"/>
  <c r="D25" i="142"/>
  <c r="T25" i="142" s="1"/>
  <c r="S26" i="142"/>
  <c r="AI26" i="142" s="1"/>
  <c r="AE26" i="142"/>
  <c r="E37" i="142"/>
  <c r="AA33" i="142"/>
  <c r="AA37" i="142" s="1"/>
  <c r="AE43" i="142"/>
  <c r="Q48" i="142"/>
  <c r="D23" i="142"/>
  <c r="T23" i="142" s="1"/>
  <c r="D39" i="142"/>
  <c r="T39" i="142" s="1"/>
  <c r="AD46" i="142"/>
  <c r="AD48" i="142" s="1"/>
  <c r="J47" i="142"/>
  <c r="R17" i="142"/>
  <c r="S11" i="142"/>
  <c r="AI11" i="142" s="1"/>
  <c r="I30" i="142"/>
  <c r="I50" i="142" s="1"/>
  <c r="AE21" i="142"/>
  <c r="R23" i="142"/>
  <c r="G24" i="142"/>
  <c r="T24" i="142" s="1"/>
  <c r="AG25" i="142"/>
  <c r="G26" i="142"/>
  <c r="AI29" i="142"/>
  <c r="R39" i="142"/>
  <c r="AI45" i="142"/>
  <c r="G15" i="142"/>
  <c r="T15" i="142" s="1"/>
  <c r="R15" i="142"/>
  <c r="AH15" i="142" s="1"/>
  <c r="R29" i="142"/>
  <c r="D29" i="142"/>
  <c r="T29" i="142" s="1"/>
  <c r="N10" i="142"/>
  <c r="N28" i="142" s="1"/>
  <c r="N30" i="142" s="1"/>
  <c r="AE18" i="142"/>
  <c r="AA18" i="142"/>
  <c r="AG18" i="142" s="1"/>
  <c r="G19" i="142"/>
  <c r="R19" i="142"/>
  <c r="AI25" i="142"/>
  <c r="T19" i="142"/>
  <c r="Q28" i="142"/>
  <c r="Q30" i="142" s="1"/>
  <c r="AE17" i="142"/>
  <c r="X17" i="142"/>
  <c r="AG17" i="142" s="1"/>
  <c r="AG20" i="142"/>
  <c r="R26" i="142"/>
  <c r="D26" i="142"/>
  <c r="T26" i="142" s="1"/>
  <c r="AJ26" i="142" s="1"/>
  <c r="AB37" i="142"/>
  <c r="AB49" i="142" s="1"/>
  <c r="AD33" i="142"/>
  <c r="AD37" i="142" s="1"/>
  <c r="R18" i="142"/>
  <c r="D18" i="142"/>
  <c r="T18" i="142" s="1"/>
  <c r="AE13" i="142"/>
  <c r="X13" i="142"/>
  <c r="AG13" i="142" s="1"/>
  <c r="B28" i="142"/>
  <c r="B30" i="142" s="1"/>
  <c r="R10" i="142"/>
  <c r="D10" i="142"/>
  <c r="V28" i="142"/>
  <c r="V30" i="142" s="1"/>
  <c r="T12" i="142"/>
  <c r="S21" i="142"/>
  <c r="AI21" i="142" s="1"/>
  <c r="E28" i="142"/>
  <c r="E30" i="142" s="1"/>
  <c r="C28" i="142"/>
  <c r="C30" i="142" s="1"/>
  <c r="S10" i="142"/>
  <c r="AG11" i="142"/>
  <c r="R22" i="142"/>
  <c r="AH22" i="142" s="1"/>
  <c r="D22" i="142"/>
  <c r="T22" i="142" s="1"/>
  <c r="X26" i="142"/>
  <c r="AG26" i="142" s="1"/>
  <c r="AG27" i="142"/>
  <c r="Q33" i="142"/>
  <c r="Q37" i="142" s="1"/>
  <c r="AA46" i="142"/>
  <c r="AE46" i="142"/>
  <c r="AE10" i="142"/>
  <c r="Y28" i="142"/>
  <c r="Y30" i="142" s="1"/>
  <c r="AA10" i="142"/>
  <c r="AG10" i="142" s="1"/>
  <c r="R14" i="142"/>
  <c r="D14" i="142"/>
  <c r="AE14" i="142"/>
  <c r="AG21" i="142"/>
  <c r="D27" i="142"/>
  <c r="AB28" i="142"/>
  <c r="AB30" i="142" s="1"/>
  <c r="G11" i="142"/>
  <c r="T11" i="142" s="1"/>
  <c r="R11" i="142"/>
  <c r="AG12" i="142"/>
  <c r="R13" i="142"/>
  <c r="AH13" i="142" s="1"/>
  <c r="AG14" i="142"/>
  <c r="AG15" i="142"/>
  <c r="J21" i="142"/>
  <c r="J28" i="142" s="1"/>
  <c r="J30" i="142" s="1"/>
  <c r="X22" i="142"/>
  <c r="AG22" i="142" s="1"/>
  <c r="AG23" i="142"/>
  <c r="R24" i="142"/>
  <c r="AH24" i="142" s="1"/>
  <c r="AE47" i="142"/>
  <c r="X47" i="142"/>
  <c r="AI33" i="142"/>
  <c r="AI34" i="142"/>
  <c r="AI35" i="142"/>
  <c r="AE11" i="142"/>
  <c r="AE15" i="142"/>
  <c r="AE19" i="142"/>
  <c r="H28" i="142"/>
  <c r="H30" i="142" s="1"/>
  <c r="AA29" i="142"/>
  <c r="AG29" i="142" s="1"/>
  <c r="B37" i="142"/>
  <c r="B49" i="142" s="1"/>
  <c r="R33" i="142"/>
  <c r="R35" i="142"/>
  <c r="AC49" i="142"/>
  <c r="AC50" i="142" s="1"/>
  <c r="AG39" i="142"/>
  <c r="D13" i="142"/>
  <c r="T13" i="142" s="1"/>
  <c r="D17" i="142"/>
  <c r="T17" i="142" s="1"/>
  <c r="AJ17" i="142" s="1"/>
  <c r="D21" i="142"/>
  <c r="AE23" i="142"/>
  <c r="AE27" i="142"/>
  <c r="AE33" i="142"/>
  <c r="R34" i="142"/>
  <c r="D34" i="142"/>
  <c r="AE34" i="142"/>
  <c r="X34" i="142"/>
  <c r="AG34" i="142" s="1"/>
  <c r="AG35" i="142"/>
  <c r="C49" i="142"/>
  <c r="R36" i="142"/>
  <c r="AH36" i="142" s="1"/>
  <c r="R45" i="142"/>
  <c r="D45" i="142"/>
  <c r="AE41" i="142"/>
  <c r="AD41" i="142"/>
  <c r="AG41" i="142" s="1"/>
  <c r="E48" i="142"/>
  <c r="E49" i="142" s="1"/>
  <c r="Z50" i="142"/>
  <c r="J37" i="142"/>
  <c r="D43" i="142"/>
  <c r="R43" i="142"/>
  <c r="Q43" i="142"/>
  <c r="G48" i="142"/>
  <c r="Y48" i="142"/>
  <c r="R46" i="142"/>
  <c r="O48" i="142"/>
  <c r="O49" i="142" s="1"/>
  <c r="O50" i="142" s="1"/>
  <c r="N37" i="142"/>
  <c r="G36" i="142"/>
  <c r="T36" i="142" s="1"/>
  <c r="V37" i="142"/>
  <c r="R41" i="142"/>
  <c r="H48" i="142"/>
  <c r="H49" i="142" s="1"/>
  <c r="AA45" i="142"/>
  <c r="AG45" i="142" s="1"/>
  <c r="R47" i="142"/>
  <c r="D47" i="142"/>
  <c r="S37" i="142"/>
  <c r="V48" i="142"/>
  <c r="G33" i="142"/>
  <c r="AE35" i="142"/>
  <c r="L37" i="142"/>
  <c r="J45" i="142"/>
  <c r="D46" i="142"/>
  <c r="T46" i="142" s="1"/>
  <c r="N23" i="2"/>
  <c r="E7" i="11"/>
  <c r="N7" i="63"/>
  <c r="M7" i="63"/>
  <c r="L7" i="63"/>
  <c r="K7" i="63"/>
  <c r="J7" i="63"/>
  <c r="I7" i="63"/>
  <c r="H7" i="63"/>
  <c r="G7" i="63"/>
  <c r="N7" i="64"/>
  <c r="M7" i="64"/>
  <c r="L7" i="64"/>
  <c r="K7" i="64"/>
  <c r="J7" i="64"/>
  <c r="I7" i="64"/>
  <c r="H7" i="64"/>
  <c r="G7" i="64"/>
  <c r="K8" i="63"/>
  <c r="N8" i="63"/>
  <c r="L10" i="64"/>
  <c r="G33" i="23"/>
  <c r="G141" i="52"/>
  <c r="H141" i="52"/>
  <c r="I141" i="52"/>
  <c r="J141" i="52"/>
  <c r="F141" i="52"/>
  <c r="J140" i="52"/>
  <c r="E115" i="11"/>
  <c r="D116" i="11"/>
  <c r="E116" i="11"/>
  <c r="B116" i="11"/>
  <c r="F29" i="11"/>
  <c r="AJ25" i="142" l="1"/>
  <c r="T14" i="142"/>
  <c r="AJ35" i="142"/>
  <c r="AJ11" i="142"/>
  <c r="W50" i="142"/>
  <c r="AH17" i="142"/>
  <c r="G37" i="142"/>
  <c r="G49" i="142" s="1"/>
  <c r="AJ19" i="142"/>
  <c r="AE48" i="142"/>
  <c r="AJ13" i="142"/>
  <c r="Y49" i="142"/>
  <c r="AH16" i="142"/>
  <c r="T21" i="142"/>
  <c r="AJ21" i="142" s="1"/>
  <c r="AH39" i="142"/>
  <c r="L49" i="142"/>
  <c r="L50" i="142" s="1"/>
  <c r="T27" i="142"/>
  <c r="AJ27" i="142" s="1"/>
  <c r="AH29" i="142"/>
  <c r="AH25" i="142"/>
  <c r="AH43" i="142"/>
  <c r="AG24" i="142"/>
  <c r="AG28" i="142" s="1"/>
  <c r="AG30" i="142" s="1"/>
  <c r="AF49" i="142"/>
  <c r="AF50" i="142" s="1"/>
  <c r="F50" i="142"/>
  <c r="AJ36" i="142"/>
  <c r="AJ15" i="142"/>
  <c r="T47" i="142"/>
  <c r="N49" i="142"/>
  <c r="N50" i="142" s="1"/>
  <c r="B50" i="142"/>
  <c r="AH26" i="142"/>
  <c r="G28" i="142"/>
  <c r="G30" i="142" s="1"/>
  <c r="AH47" i="142"/>
  <c r="AG33" i="142"/>
  <c r="AG46" i="142"/>
  <c r="AJ46" i="142" s="1"/>
  <c r="T43" i="142"/>
  <c r="AJ43" i="142" s="1"/>
  <c r="AH21" i="142"/>
  <c r="AI48" i="142"/>
  <c r="S48" i="142"/>
  <c r="S49" i="142" s="1"/>
  <c r="AJ22" i="142"/>
  <c r="AH27" i="142"/>
  <c r="J48" i="142"/>
  <c r="J49" i="142" s="1"/>
  <c r="J50" i="142" s="1"/>
  <c r="AH41" i="142"/>
  <c r="AJ41" i="142"/>
  <c r="AH23" i="142"/>
  <c r="AJ23" i="142"/>
  <c r="AJ20" i="142"/>
  <c r="AI37" i="142"/>
  <c r="R28" i="142"/>
  <c r="R30" i="142" s="1"/>
  <c r="AH10" i="142"/>
  <c r="AG37" i="142"/>
  <c r="AG47" i="142"/>
  <c r="AJ47" i="142" s="1"/>
  <c r="X48" i="142"/>
  <c r="AJ14" i="142"/>
  <c r="V49" i="142"/>
  <c r="V50" i="142" s="1"/>
  <c r="AH46" i="142"/>
  <c r="T34" i="142"/>
  <c r="AJ34" i="142" s="1"/>
  <c r="D37" i="142"/>
  <c r="AH35" i="142"/>
  <c r="AH11" i="142"/>
  <c r="AH14" i="142"/>
  <c r="E50" i="142"/>
  <c r="T45" i="142"/>
  <c r="D48" i="142"/>
  <c r="AH34" i="142"/>
  <c r="AH33" i="142"/>
  <c r="R37" i="142"/>
  <c r="D28" i="142"/>
  <c r="D30" i="142" s="1"/>
  <c r="T10" i="142"/>
  <c r="R48" i="142"/>
  <c r="AH45" i="142"/>
  <c r="AE37" i="142"/>
  <c r="AE49" i="142" s="1"/>
  <c r="AB50" i="142"/>
  <c r="AA28" i="142"/>
  <c r="AA30" i="142" s="1"/>
  <c r="Q49" i="142"/>
  <c r="S28" i="142"/>
  <c r="S30" i="142" s="1"/>
  <c r="AI10" i="142"/>
  <c r="AJ18" i="142"/>
  <c r="AA48" i="142"/>
  <c r="AA49" i="142" s="1"/>
  <c r="AJ39" i="142"/>
  <c r="Y50" i="142"/>
  <c r="C50" i="142"/>
  <c r="AJ12" i="142"/>
  <c r="AH18" i="142"/>
  <c r="Q50" i="142"/>
  <c r="T33" i="142"/>
  <c r="X28" i="142"/>
  <c r="X30" i="142" s="1"/>
  <c r="AH19" i="142"/>
  <c r="X37" i="142"/>
  <c r="H50" i="142"/>
  <c r="AE28" i="142"/>
  <c r="AE30" i="142" s="1"/>
  <c r="AE50" i="142" s="1"/>
  <c r="AD49" i="142"/>
  <c r="AD50" i="142" s="1"/>
  <c r="AJ29" i="142"/>
  <c r="G50" i="23"/>
  <c r="AJ24" i="142" l="1"/>
  <c r="G50" i="142"/>
  <c r="X49" i="142"/>
  <c r="AG48" i="142"/>
  <c r="S50" i="142"/>
  <c r="D49" i="142"/>
  <c r="D50" i="142" s="1"/>
  <c r="AG49" i="142"/>
  <c r="AG50" i="142" s="1"/>
  <c r="X50" i="142"/>
  <c r="AJ45" i="142"/>
  <c r="T48" i="142"/>
  <c r="AI28" i="142"/>
  <c r="T28" i="142"/>
  <c r="T30" i="142" s="1"/>
  <c r="AJ10" i="142"/>
  <c r="R49" i="142"/>
  <c r="R50" i="142"/>
  <c r="T37" i="142"/>
  <c r="AJ33" i="142"/>
  <c r="AH28" i="142"/>
  <c r="AH37" i="142"/>
  <c r="AI49" i="142"/>
  <c r="AA50" i="142"/>
  <c r="AH48" i="142"/>
  <c r="E17" i="10"/>
  <c r="E7" i="10"/>
  <c r="E7" i="8"/>
  <c r="E11" i="7"/>
  <c r="E31" i="6"/>
  <c r="E30" i="6"/>
  <c r="E8" i="6"/>
  <c r="E7" i="6"/>
  <c r="AI30" i="142" l="1"/>
  <c r="AH30" i="142"/>
  <c r="AJ28" i="142"/>
  <c r="AJ48" i="142"/>
  <c r="AH49" i="142"/>
  <c r="T49" i="142"/>
  <c r="T50" i="142" s="1"/>
  <c r="AJ37" i="142"/>
  <c r="I108" i="52"/>
  <c r="AJ30" i="142" l="1"/>
  <c r="AH50" i="142"/>
  <c r="AJ49" i="142"/>
  <c r="AI50" i="142"/>
  <c r="E7" i="9"/>
  <c r="G37" i="23"/>
  <c r="J51" i="52"/>
  <c r="F113" i="11"/>
  <c r="J138" i="52"/>
  <c r="AJ50" i="142" l="1"/>
  <c r="J94" i="52"/>
  <c r="F112" i="11"/>
  <c r="J137" i="52"/>
  <c r="E27" i="17"/>
  <c r="F68" i="11"/>
  <c r="G36" i="23"/>
  <c r="F31" i="8"/>
  <c r="F35" i="8"/>
  <c r="E9" i="8"/>
  <c r="N17" i="2"/>
  <c r="G15" i="23"/>
  <c r="F52" i="23"/>
  <c r="G81" i="23"/>
  <c r="G76" i="23"/>
  <c r="G77" i="23"/>
  <c r="G74" i="23"/>
  <c r="G71" i="23"/>
  <c r="F43" i="11"/>
  <c r="J117" i="52"/>
  <c r="J116" i="52"/>
  <c r="I10" i="52"/>
  <c r="I9" i="52"/>
  <c r="F115" i="11" l="1"/>
  <c r="F62" i="11" l="1"/>
  <c r="F30" i="8" l="1"/>
  <c r="J39" i="52" l="1"/>
  <c r="J17" i="52"/>
  <c r="O50" i="2"/>
  <c r="O51" i="2"/>
  <c r="O52" i="2"/>
  <c r="O53" i="2"/>
  <c r="O54" i="2"/>
  <c r="O55" i="2"/>
  <c r="O56" i="2"/>
  <c r="O49" i="2"/>
  <c r="F31" i="6"/>
  <c r="F30" i="6"/>
  <c r="F12" i="6"/>
  <c r="O18" i="2"/>
  <c r="O19" i="2"/>
  <c r="O20" i="2"/>
  <c r="O21" i="2"/>
  <c r="O22" i="2"/>
  <c r="O23" i="2"/>
  <c r="O24" i="2"/>
  <c r="O17" i="2"/>
  <c r="H50" i="2"/>
  <c r="H51" i="2"/>
  <c r="H52" i="2"/>
  <c r="H53" i="2"/>
  <c r="H54" i="2"/>
  <c r="H55" i="2"/>
  <c r="H56" i="2"/>
  <c r="H49" i="2"/>
  <c r="G86" i="23"/>
  <c r="G26" i="23"/>
  <c r="G27" i="23"/>
  <c r="G28" i="23"/>
  <c r="G29" i="23"/>
  <c r="G30" i="23"/>
  <c r="G31" i="23"/>
  <c r="G32" i="23"/>
  <c r="G34" i="23"/>
  <c r="G35" i="23"/>
  <c r="G38" i="23"/>
  <c r="G39" i="23"/>
  <c r="G40" i="23"/>
  <c r="G41" i="23"/>
  <c r="G42" i="23"/>
  <c r="G44" i="23"/>
  <c r="G45" i="23"/>
  <c r="G46" i="23"/>
  <c r="G47" i="23"/>
  <c r="G48" i="23"/>
  <c r="G49" i="23"/>
  <c r="G52" i="23"/>
  <c r="G53" i="23"/>
  <c r="G54" i="23"/>
  <c r="G55" i="23"/>
  <c r="G56" i="23"/>
  <c r="G57" i="23"/>
  <c r="G58" i="23"/>
  <c r="G59" i="23"/>
  <c r="G60" i="23"/>
  <c r="G61" i="23"/>
  <c r="G62" i="23"/>
  <c r="G63" i="23"/>
  <c r="G64" i="23"/>
  <c r="G65" i="23"/>
  <c r="G66" i="23"/>
  <c r="G67" i="23"/>
  <c r="G68" i="23"/>
  <c r="G69" i="23"/>
  <c r="G70" i="23"/>
  <c r="G72" i="23"/>
  <c r="G73" i="23"/>
  <c r="G75" i="23"/>
  <c r="G78" i="23"/>
  <c r="G79" i="23"/>
  <c r="G80" i="23"/>
  <c r="G82" i="23"/>
  <c r="G83" i="23"/>
  <c r="G84" i="23"/>
  <c r="G25" i="23"/>
  <c r="G20" i="23"/>
  <c r="G21" i="23"/>
  <c r="G19" i="23"/>
  <c r="G12" i="23"/>
  <c r="G13" i="23"/>
  <c r="G14" i="23"/>
  <c r="G16" i="23"/>
  <c r="G11" i="23"/>
  <c r="G8" i="23"/>
  <c r="G7" i="23"/>
  <c r="G47" i="54"/>
  <c r="G48" i="54"/>
  <c r="G49" i="54"/>
  <c r="G50" i="54"/>
  <c r="G51" i="54"/>
  <c r="G52" i="54"/>
  <c r="G53" i="54"/>
  <c r="G54" i="54"/>
  <c r="G55" i="54"/>
  <c r="G56" i="54"/>
  <c r="G57" i="54"/>
  <c r="G46" i="54"/>
  <c r="G38" i="54"/>
  <c r="G39" i="54"/>
  <c r="G40" i="54"/>
  <c r="G41" i="54"/>
  <c r="G42" i="54"/>
  <c r="G43" i="54"/>
  <c r="G37" i="54"/>
  <c r="G30" i="54"/>
  <c r="G31" i="54"/>
  <c r="G32" i="54"/>
  <c r="G33" i="54"/>
  <c r="G29" i="54"/>
  <c r="G7" i="54"/>
  <c r="G8" i="54"/>
  <c r="G9" i="54"/>
  <c r="G10" i="54"/>
  <c r="G11" i="54"/>
  <c r="G12" i="54"/>
  <c r="G13" i="54"/>
  <c r="G14" i="54"/>
  <c r="G15" i="54"/>
  <c r="G16" i="54"/>
  <c r="G17" i="54"/>
  <c r="G18" i="54"/>
  <c r="G19" i="54"/>
  <c r="G20" i="54"/>
  <c r="G21" i="54"/>
  <c r="G22" i="54"/>
  <c r="G23" i="54"/>
  <c r="G24" i="54"/>
  <c r="G25" i="54"/>
  <c r="G26" i="54"/>
  <c r="G6" i="54"/>
  <c r="F8" i="17"/>
  <c r="F9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7" i="17"/>
  <c r="F36" i="16"/>
  <c r="F27" i="16"/>
  <c r="F28" i="16"/>
  <c r="F29" i="16"/>
  <c r="F26" i="16"/>
  <c r="F9" i="16"/>
  <c r="F10" i="16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8" i="16"/>
  <c r="F7" i="16"/>
  <c r="F9" i="128"/>
  <c r="F10" i="128"/>
  <c r="F11" i="128"/>
  <c r="F12" i="128"/>
  <c r="F13" i="128"/>
  <c r="F14" i="128"/>
  <c r="F15" i="128"/>
  <c r="F16" i="128"/>
  <c r="F17" i="128"/>
  <c r="F18" i="128"/>
  <c r="F19" i="128"/>
  <c r="F20" i="128"/>
  <c r="F21" i="128"/>
  <c r="F22" i="128"/>
  <c r="F23" i="128"/>
  <c r="F24" i="128"/>
  <c r="F25" i="128"/>
  <c r="F8" i="128"/>
  <c r="F7" i="128"/>
  <c r="F124" i="11"/>
  <c r="F123" i="11"/>
  <c r="D89" i="11"/>
  <c r="E89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5" i="11"/>
  <c r="F46" i="11"/>
  <c r="F48" i="11"/>
  <c r="F49" i="11"/>
  <c r="F50" i="11"/>
  <c r="F51" i="11"/>
  <c r="F52" i="11"/>
  <c r="F53" i="11"/>
  <c r="F55" i="11"/>
  <c r="F56" i="11"/>
  <c r="F57" i="11"/>
  <c r="F58" i="11"/>
  <c r="F59" i="11"/>
  <c r="F60" i="11"/>
  <c r="F61" i="11"/>
  <c r="F63" i="11"/>
  <c r="F64" i="11"/>
  <c r="F65" i="11"/>
  <c r="F67" i="11"/>
  <c r="F69" i="11"/>
  <c r="F70" i="11"/>
  <c r="F71" i="11"/>
  <c r="F72" i="11"/>
  <c r="F73" i="11"/>
  <c r="F74" i="11"/>
  <c r="F75" i="11"/>
  <c r="F76" i="11"/>
  <c r="F77" i="11"/>
  <c r="F78" i="11"/>
  <c r="F79" i="11"/>
  <c r="F80" i="11"/>
  <c r="F82" i="11"/>
  <c r="F83" i="11"/>
  <c r="F84" i="11"/>
  <c r="F85" i="11"/>
  <c r="F86" i="11"/>
  <c r="F88" i="11"/>
  <c r="F91" i="11"/>
  <c r="F92" i="11"/>
  <c r="F93" i="11"/>
  <c r="F94" i="11"/>
  <c r="F95" i="11"/>
  <c r="F96" i="11"/>
  <c r="F97" i="11"/>
  <c r="F98" i="11"/>
  <c r="F99" i="11"/>
  <c r="F100" i="11"/>
  <c r="F101" i="11"/>
  <c r="F102" i="11"/>
  <c r="F103" i="11"/>
  <c r="F104" i="11"/>
  <c r="F105" i="11"/>
  <c r="F106" i="11"/>
  <c r="F107" i="11"/>
  <c r="F108" i="11"/>
  <c r="F109" i="11"/>
  <c r="F110" i="11"/>
  <c r="F111" i="11"/>
  <c r="F114" i="11"/>
  <c r="F16" i="11"/>
  <c r="F11" i="11"/>
  <c r="F12" i="11"/>
  <c r="F13" i="11"/>
  <c r="F10" i="11"/>
  <c r="F7" i="11"/>
  <c r="F6" i="11"/>
  <c r="F17" i="10"/>
  <c r="F10" i="10"/>
  <c r="F9" i="10"/>
  <c r="F7" i="10"/>
  <c r="F25" i="9"/>
  <c r="F10" i="9"/>
  <c r="F11" i="9"/>
  <c r="F12" i="9"/>
  <c r="F13" i="9"/>
  <c r="F14" i="9"/>
  <c r="F15" i="9"/>
  <c r="F16" i="9"/>
  <c r="F17" i="9"/>
  <c r="F9" i="9"/>
  <c r="F7" i="9"/>
  <c r="F44" i="8"/>
  <c r="F25" i="8"/>
  <c r="F26" i="8"/>
  <c r="F27" i="8"/>
  <c r="F28" i="8"/>
  <c r="F29" i="8"/>
  <c r="F32" i="8"/>
  <c r="F33" i="8"/>
  <c r="F34" i="8"/>
  <c r="F36" i="8"/>
  <c r="F37" i="8"/>
  <c r="F23" i="8"/>
  <c r="F24" i="8"/>
  <c r="F12" i="8"/>
  <c r="F13" i="8"/>
  <c r="F14" i="8"/>
  <c r="F15" i="8"/>
  <c r="F16" i="8"/>
  <c r="F17" i="8"/>
  <c r="F18" i="8"/>
  <c r="F19" i="8"/>
  <c r="F20" i="8"/>
  <c r="F21" i="8"/>
  <c r="F22" i="8"/>
  <c r="F11" i="8"/>
  <c r="F10" i="8"/>
  <c r="F9" i="8"/>
  <c r="F7" i="8"/>
  <c r="F74" i="7"/>
  <c r="F73" i="7"/>
  <c r="F72" i="7"/>
  <c r="F71" i="7"/>
  <c r="F62" i="7"/>
  <c r="F63" i="7"/>
  <c r="F61" i="7"/>
  <c r="F56" i="7"/>
  <c r="F57" i="7"/>
  <c r="F55" i="7"/>
  <c r="F51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46" i="7"/>
  <c r="F47" i="7"/>
  <c r="F48" i="7"/>
  <c r="F49" i="7"/>
  <c r="F28" i="7"/>
  <c r="F21" i="7"/>
  <c r="F22" i="7"/>
  <c r="F20" i="7"/>
  <c r="F19" i="7"/>
  <c r="F15" i="7"/>
  <c r="F16" i="7"/>
  <c r="F17" i="7"/>
  <c r="F14" i="7"/>
  <c r="F11" i="7"/>
  <c r="F10" i="7"/>
  <c r="F9" i="7"/>
  <c r="F8" i="7"/>
  <c r="F16" i="6"/>
  <c r="F17" i="6"/>
  <c r="F18" i="6"/>
  <c r="F19" i="6"/>
  <c r="F20" i="6"/>
  <c r="F21" i="6"/>
  <c r="F22" i="6"/>
  <c r="F23" i="6"/>
  <c r="F15" i="6"/>
  <c r="F14" i="6"/>
  <c r="F13" i="6"/>
  <c r="F11" i="6"/>
  <c r="F10" i="6"/>
  <c r="F8" i="6"/>
  <c r="F7" i="6"/>
  <c r="J144" i="52"/>
  <c r="J145" i="52"/>
  <c r="J146" i="52"/>
  <c r="J147" i="52"/>
  <c r="J148" i="52"/>
  <c r="J149" i="52"/>
  <c r="J150" i="52"/>
  <c r="J151" i="52"/>
  <c r="J152" i="52"/>
  <c r="J153" i="52"/>
  <c r="J154" i="52"/>
  <c r="J143" i="52"/>
  <c r="J119" i="52"/>
  <c r="J120" i="52"/>
  <c r="J121" i="52"/>
  <c r="J122" i="52"/>
  <c r="J123" i="52"/>
  <c r="J124" i="52"/>
  <c r="J125" i="52"/>
  <c r="J126" i="52"/>
  <c r="J127" i="52"/>
  <c r="J128" i="52"/>
  <c r="J129" i="52"/>
  <c r="J130" i="52"/>
  <c r="J131" i="52"/>
  <c r="J132" i="52"/>
  <c r="J133" i="52"/>
  <c r="J134" i="52"/>
  <c r="J135" i="52"/>
  <c r="J136" i="52"/>
  <c r="J139" i="52"/>
  <c r="J118" i="52"/>
  <c r="J114" i="52"/>
  <c r="J77" i="52"/>
  <c r="J78" i="52"/>
  <c r="J79" i="52"/>
  <c r="J80" i="52"/>
  <c r="J81" i="52"/>
  <c r="J82" i="52"/>
  <c r="J83" i="52"/>
  <c r="J84" i="52"/>
  <c r="J85" i="52"/>
  <c r="J86" i="52"/>
  <c r="J87" i="52"/>
  <c r="J88" i="52"/>
  <c r="J89" i="52"/>
  <c r="J90" i="52"/>
  <c r="J91" i="52"/>
  <c r="J92" i="52"/>
  <c r="J93" i="52"/>
  <c r="J95" i="52"/>
  <c r="J96" i="52"/>
  <c r="J97" i="52"/>
  <c r="J98" i="52"/>
  <c r="J99" i="52"/>
  <c r="J100" i="52"/>
  <c r="J101" i="52"/>
  <c r="J102" i="52"/>
  <c r="J103" i="52"/>
  <c r="J104" i="52"/>
  <c r="J105" i="52"/>
  <c r="J106" i="52"/>
  <c r="J107" i="52"/>
  <c r="J108" i="52"/>
  <c r="J109" i="52"/>
  <c r="J110" i="52"/>
  <c r="J76" i="52"/>
  <c r="J63" i="52"/>
  <c r="J64" i="52"/>
  <c r="J65" i="52"/>
  <c r="J66" i="52"/>
  <c r="J67" i="52"/>
  <c r="J68" i="52"/>
  <c r="J69" i="52"/>
  <c r="J70" i="52"/>
  <c r="J71" i="52"/>
  <c r="J72" i="52"/>
  <c r="J62" i="52"/>
  <c r="J42" i="52"/>
  <c r="J43" i="52"/>
  <c r="J44" i="52"/>
  <c r="J45" i="52"/>
  <c r="J46" i="52"/>
  <c r="J47" i="52"/>
  <c r="J48" i="52"/>
  <c r="J49" i="52"/>
  <c r="J50" i="52"/>
  <c r="J52" i="52"/>
  <c r="J53" i="52"/>
  <c r="J54" i="52"/>
  <c r="J55" i="52"/>
  <c r="J56" i="52"/>
  <c r="J57" i="52"/>
  <c r="J41" i="52"/>
  <c r="J38" i="52"/>
  <c r="J35" i="52"/>
  <c r="J31" i="52"/>
  <c r="J30" i="52"/>
  <c r="J23" i="52"/>
  <c r="J24" i="52"/>
  <c r="J25" i="52"/>
  <c r="J26" i="52"/>
  <c r="J27" i="52"/>
  <c r="J22" i="52"/>
  <c r="J19" i="52"/>
  <c r="J18" i="52"/>
  <c r="J14" i="52"/>
  <c r="J13" i="52"/>
  <c r="J9" i="52"/>
  <c r="J10" i="52"/>
  <c r="J11" i="52"/>
  <c r="J8" i="52"/>
  <c r="M57" i="2"/>
  <c r="N57" i="2"/>
  <c r="M32" i="2"/>
  <c r="M33" i="2"/>
  <c r="M34" i="2"/>
  <c r="N34" i="2"/>
  <c r="M35" i="2"/>
  <c r="N35" i="2"/>
  <c r="M36" i="2"/>
  <c r="N36" i="2"/>
  <c r="M38" i="2"/>
  <c r="N38" i="2"/>
  <c r="M44" i="2"/>
  <c r="N44" i="2"/>
  <c r="M25" i="2"/>
  <c r="N25" i="2"/>
  <c r="M13" i="2"/>
  <c r="M15" i="2"/>
  <c r="F57" i="2"/>
  <c r="G57" i="2"/>
  <c r="F31" i="2"/>
  <c r="G31" i="2"/>
  <c r="F32" i="2"/>
  <c r="F33" i="2"/>
  <c r="F34" i="2"/>
  <c r="E85" i="23"/>
  <c r="M43" i="2" s="1"/>
  <c r="F85" i="23"/>
  <c r="N43" i="2" s="1"/>
  <c r="E22" i="23"/>
  <c r="M42" i="2" s="1"/>
  <c r="F22" i="23"/>
  <c r="N42" i="2" s="1"/>
  <c r="E17" i="23"/>
  <c r="M41" i="2" s="1"/>
  <c r="F17" i="23"/>
  <c r="N41" i="2" s="1"/>
  <c r="E9" i="23"/>
  <c r="M40" i="2" s="1"/>
  <c r="F9" i="23"/>
  <c r="N40" i="2" s="1"/>
  <c r="E59" i="54"/>
  <c r="E44" i="54"/>
  <c r="F44" i="54"/>
  <c r="G33" i="2" s="1"/>
  <c r="E34" i="54"/>
  <c r="F34" i="54"/>
  <c r="G32" i="2" s="1"/>
  <c r="E27" i="54"/>
  <c r="F27" i="54"/>
  <c r="D28" i="17"/>
  <c r="E28" i="17"/>
  <c r="N15" i="2" s="1"/>
  <c r="D31" i="16"/>
  <c r="D38" i="16" s="1"/>
  <c r="D30" i="16"/>
  <c r="E30" i="16"/>
  <c r="D25" i="16"/>
  <c r="E25" i="16"/>
  <c r="E31" i="16" s="1"/>
  <c r="E38" i="16" s="1"/>
  <c r="D26" i="128"/>
  <c r="E26" i="128"/>
  <c r="N13" i="2" s="1"/>
  <c r="D125" i="11"/>
  <c r="M37" i="2" s="1"/>
  <c r="E125" i="11"/>
  <c r="N37" i="2" s="1"/>
  <c r="D14" i="11"/>
  <c r="E14" i="11"/>
  <c r="D8" i="11"/>
  <c r="E8" i="11"/>
  <c r="D11" i="10"/>
  <c r="E11" i="10"/>
  <c r="E12" i="10" s="1"/>
  <c r="N11" i="2" s="1"/>
  <c r="D12" i="10"/>
  <c r="M11" i="2" s="1"/>
  <c r="D18" i="9"/>
  <c r="E18" i="9"/>
  <c r="E19" i="9" s="1"/>
  <c r="D19" i="9"/>
  <c r="D27" i="9" s="1"/>
  <c r="D38" i="8"/>
  <c r="D39" i="8" s="1"/>
  <c r="E38" i="8"/>
  <c r="E39" i="8" s="1"/>
  <c r="E46" i="8" s="1"/>
  <c r="D52" i="7"/>
  <c r="D75" i="7"/>
  <c r="D64" i="7"/>
  <c r="E64" i="7"/>
  <c r="D58" i="7"/>
  <c r="D59" i="7" s="1"/>
  <c r="E58" i="7"/>
  <c r="E53" i="7"/>
  <c r="F53" i="7" s="1"/>
  <c r="E52" i="7"/>
  <c r="D50" i="7"/>
  <c r="E50" i="7"/>
  <c r="D23" i="7"/>
  <c r="D18" i="7"/>
  <c r="D24" i="7" s="1"/>
  <c r="E18" i="7"/>
  <c r="D12" i="7"/>
  <c r="D32" i="6"/>
  <c r="D24" i="6"/>
  <c r="D9" i="6"/>
  <c r="D25" i="6" s="1"/>
  <c r="M7" i="2" s="1"/>
  <c r="H155" i="52"/>
  <c r="F11" i="2" s="1"/>
  <c r="F10" i="2"/>
  <c r="H111" i="52"/>
  <c r="F9" i="2" s="1"/>
  <c r="H73" i="52"/>
  <c r="F8" i="2" s="1"/>
  <c r="H58" i="52"/>
  <c r="H40" i="52"/>
  <c r="H36" i="52"/>
  <c r="H32" i="52"/>
  <c r="H28" i="52"/>
  <c r="H20" i="52"/>
  <c r="H15" i="52"/>
  <c r="M14" i="2" l="1"/>
  <c r="F116" i="11"/>
  <c r="D19" i="10"/>
  <c r="M10" i="2"/>
  <c r="D25" i="7"/>
  <c r="E59" i="7"/>
  <c r="E65" i="7" s="1"/>
  <c r="D65" i="7"/>
  <c r="D66" i="7" s="1"/>
  <c r="D34" i="6"/>
  <c r="E87" i="23"/>
  <c r="H33" i="52"/>
  <c r="H37" i="52" s="1"/>
  <c r="H59" i="52" s="1"/>
  <c r="F89" i="11"/>
  <c r="D46" i="8"/>
  <c r="M9" i="2"/>
  <c r="F46" i="2"/>
  <c r="M45" i="2"/>
  <c r="M39" i="2"/>
  <c r="N45" i="2"/>
  <c r="F87" i="23"/>
  <c r="N14" i="2"/>
  <c r="D117" i="11"/>
  <c r="D118" i="11" s="1"/>
  <c r="E117" i="11"/>
  <c r="E118" i="11" s="1"/>
  <c r="N12" i="2" s="1"/>
  <c r="E19" i="10"/>
  <c r="N10" i="2"/>
  <c r="E27" i="9"/>
  <c r="N9" i="2"/>
  <c r="N8" i="64"/>
  <c r="M8" i="64"/>
  <c r="F7" i="63"/>
  <c r="L8" i="63"/>
  <c r="L8" i="64"/>
  <c r="H10" i="64"/>
  <c r="M8" i="2" l="1"/>
  <c r="D77" i="7"/>
  <c r="F7" i="2"/>
  <c r="F26" i="2" s="1"/>
  <c r="H156" i="52"/>
  <c r="M46" i="2"/>
  <c r="D127" i="11"/>
  <c r="M12" i="2"/>
  <c r="M26" i="2" s="1"/>
  <c r="E127" i="11"/>
  <c r="F60" i="2" l="1"/>
  <c r="M60" i="2"/>
  <c r="D17" i="23"/>
  <c r="C17" i="23"/>
  <c r="B25" i="16"/>
  <c r="L38" i="2"/>
  <c r="K38" i="2"/>
  <c r="O38" i="2"/>
  <c r="G20" i="52"/>
  <c r="I20" i="52"/>
  <c r="F20" i="52"/>
  <c r="C30" i="16" l="1"/>
  <c r="B30" i="16"/>
  <c r="B31" i="16" s="1"/>
  <c r="B38" i="16" s="1"/>
  <c r="E23" i="7" l="1"/>
  <c r="B23" i="7"/>
  <c r="B18" i="7"/>
  <c r="G40" i="52"/>
  <c r="I40" i="52"/>
  <c r="F40" i="52"/>
  <c r="E24" i="7" l="1"/>
  <c r="B24" i="7"/>
  <c r="C14" i="11" l="1"/>
  <c r="B14" i="11"/>
  <c r="K44" i="2"/>
  <c r="K34" i="2"/>
  <c r="K35" i="2"/>
  <c r="K36" i="2"/>
  <c r="D44" i="54" l="1"/>
  <c r="C44" i="54"/>
  <c r="I73" i="52" l="1"/>
  <c r="G8" i="2" s="1"/>
  <c r="F73" i="52"/>
  <c r="C85" i="23" l="1"/>
  <c r="K43" i="2" s="1"/>
  <c r="C22" i="23"/>
  <c r="K42" i="2" s="1"/>
  <c r="K41" i="2"/>
  <c r="C9" i="23"/>
  <c r="K40" i="2" s="1"/>
  <c r="C58" i="54"/>
  <c r="D34" i="2" s="1"/>
  <c r="D33" i="2"/>
  <c r="C34" i="54"/>
  <c r="D32" i="2" s="1"/>
  <c r="C27" i="54"/>
  <c r="D31" i="2" s="1"/>
  <c r="B28" i="17"/>
  <c r="K15" i="2" s="1"/>
  <c r="B26" i="128"/>
  <c r="K13" i="2" s="1"/>
  <c r="B8" i="11"/>
  <c r="B89" i="11"/>
  <c r="B125" i="11"/>
  <c r="K37" i="2" s="1"/>
  <c r="B11" i="10"/>
  <c r="B12" i="10" s="1"/>
  <c r="K11" i="2" s="1"/>
  <c r="B18" i="9"/>
  <c r="B19" i="9" s="1"/>
  <c r="K10" i="2" s="1"/>
  <c r="B38" i="8"/>
  <c r="B39" i="8" s="1"/>
  <c r="K9" i="2" s="1"/>
  <c r="B75" i="7"/>
  <c r="K33" i="2" s="1"/>
  <c r="B64" i="7"/>
  <c r="B58" i="7"/>
  <c r="B59" i="7" s="1"/>
  <c r="B50" i="7"/>
  <c r="B52" i="7" s="1"/>
  <c r="B12" i="7"/>
  <c r="B32" i="6"/>
  <c r="B24" i="6"/>
  <c r="B9" i="6"/>
  <c r="F155" i="52"/>
  <c r="D10" i="2"/>
  <c r="F111" i="52"/>
  <c r="D9" i="2" s="1"/>
  <c r="D8" i="2"/>
  <c r="F58" i="52"/>
  <c r="F36" i="52"/>
  <c r="F32" i="52"/>
  <c r="F28" i="52"/>
  <c r="F12" i="52"/>
  <c r="F15" i="52" s="1"/>
  <c r="K57" i="2"/>
  <c r="K25" i="2"/>
  <c r="D57" i="2"/>
  <c r="K32" i="2" l="1"/>
  <c r="K39" i="2" s="1"/>
  <c r="B25" i="7"/>
  <c r="K45" i="2"/>
  <c r="C87" i="23"/>
  <c r="C59" i="54"/>
  <c r="B19" i="10"/>
  <c r="B27" i="9"/>
  <c r="B46" i="8"/>
  <c r="B65" i="7"/>
  <c r="B25" i="6"/>
  <c r="B34" i="6"/>
  <c r="F33" i="52"/>
  <c r="F37" i="52" s="1"/>
  <c r="F59" i="52" s="1"/>
  <c r="D46" i="2"/>
  <c r="B117" i="11"/>
  <c r="B118" i="11" s="1"/>
  <c r="K12" i="2" s="1"/>
  <c r="K7" i="2"/>
  <c r="D11" i="2"/>
  <c r="B66" i="7" l="1"/>
  <c r="K8" i="2" s="1"/>
  <c r="K46" i="2"/>
  <c r="D7" i="2"/>
  <c r="D26" i="2" s="1"/>
  <c r="F156" i="52"/>
  <c r="B127" i="11"/>
  <c r="D60" i="2" l="1"/>
  <c r="B77" i="7"/>
  <c r="E55" i="2"/>
  <c r="E57" i="2" s="1"/>
  <c r="L24" i="2"/>
  <c r="L23" i="2"/>
  <c r="L19" i="2"/>
  <c r="L18" i="2"/>
  <c r="L17" i="2"/>
  <c r="G17" i="23"/>
  <c r="D52" i="23"/>
  <c r="D46" i="23"/>
  <c r="C27" i="17"/>
  <c r="C21" i="17"/>
  <c r="C15" i="16"/>
  <c r="C13" i="16"/>
  <c r="C9" i="16"/>
  <c r="C8" i="16"/>
  <c r="C22" i="128"/>
  <c r="C18" i="128"/>
  <c r="C14" i="128"/>
  <c r="C12" i="128"/>
  <c r="C11" i="128"/>
  <c r="C8" i="128"/>
  <c r="C7" i="128"/>
  <c r="C91" i="11"/>
  <c r="C116" i="11" s="1"/>
  <c r="C82" i="11"/>
  <c r="C71" i="11"/>
  <c r="C69" i="11"/>
  <c r="C59" i="11"/>
  <c r="C56" i="11"/>
  <c r="C55" i="11"/>
  <c r="C46" i="11"/>
  <c r="C38" i="11"/>
  <c r="C20" i="11"/>
  <c r="C17" i="11"/>
  <c r="C7" i="11"/>
  <c r="C6" i="11"/>
  <c r="C124" i="11"/>
  <c r="C10" i="10"/>
  <c r="C7" i="10"/>
  <c r="C17" i="10"/>
  <c r="C17" i="9"/>
  <c r="C16" i="9"/>
  <c r="C15" i="9"/>
  <c r="C7" i="9"/>
  <c r="C26" i="8"/>
  <c r="C23" i="8"/>
  <c r="C20" i="8"/>
  <c r="C7" i="8"/>
  <c r="C55" i="7"/>
  <c r="C49" i="7"/>
  <c r="C48" i="7"/>
  <c r="C42" i="7"/>
  <c r="C40" i="7"/>
  <c r="C39" i="7"/>
  <c r="C38" i="7"/>
  <c r="C37" i="7"/>
  <c r="C36" i="7"/>
  <c r="C34" i="7"/>
  <c r="C32" i="7"/>
  <c r="C31" i="7"/>
  <c r="C30" i="7"/>
  <c r="C20" i="7"/>
  <c r="C15" i="7"/>
  <c r="C14" i="7"/>
  <c r="C11" i="7"/>
  <c r="C10" i="7"/>
  <c r="C9" i="7"/>
  <c r="C8" i="7"/>
  <c r="C17" i="6"/>
  <c r="C15" i="6"/>
  <c r="C8" i="6"/>
  <c r="C7" i="6"/>
  <c r="J40" i="52"/>
  <c r="G154" i="52"/>
  <c r="G152" i="52"/>
  <c r="G151" i="52"/>
  <c r="G150" i="52"/>
  <c r="G149" i="52"/>
  <c r="G147" i="52"/>
  <c r="G146" i="52"/>
  <c r="G145" i="52"/>
  <c r="G144" i="52"/>
  <c r="G143" i="52"/>
  <c r="G107" i="52"/>
  <c r="G76" i="52"/>
  <c r="G66" i="52"/>
  <c r="G64" i="52"/>
  <c r="G42" i="52"/>
  <c r="G41" i="52"/>
  <c r="G14" i="52"/>
  <c r="G13" i="52"/>
  <c r="G11" i="52"/>
  <c r="G10" i="52"/>
  <c r="G9" i="52"/>
  <c r="G8" i="52"/>
  <c r="F23" i="7" l="1"/>
  <c r="C23" i="7"/>
  <c r="F18" i="7"/>
  <c r="C18" i="7"/>
  <c r="C24" i="7" s="1"/>
  <c r="C25" i="16"/>
  <c r="J20" i="52"/>
  <c r="F25" i="16"/>
  <c r="C31" i="16"/>
  <c r="C38" i="16" s="1"/>
  <c r="H57" i="2"/>
  <c r="G44" i="54"/>
  <c r="F30" i="16"/>
  <c r="F14" i="11"/>
  <c r="J73" i="52"/>
  <c r="G73" i="52"/>
  <c r="F24" i="7" l="1"/>
  <c r="F31" i="16"/>
  <c r="F38" i="16" s="1"/>
  <c r="G27" i="54" l="1"/>
  <c r="D27" i="54"/>
  <c r="F7" i="64"/>
  <c r="E7" i="64"/>
  <c r="D7" i="64"/>
  <c r="C7" i="64"/>
  <c r="C10" i="63"/>
  <c r="M8" i="63" l="1"/>
  <c r="C10" i="64"/>
  <c r="E7" i="63"/>
  <c r="D7" i="63"/>
  <c r="C7" i="63"/>
  <c r="D17" i="77" l="1"/>
  <c r="E17" i="77"/>
  <c r="D13" i="77"/>
  <c r="E13" i="77"/>
  <c r="E18" i="77" s="1"/>
  <c r="E20" i="77" s="1"/>
  <c r="F19" i="77"/>
  <c r="F16" i="77"/>
  <c r="F15" i="77"/>
  <c r="F14" i="77"/>
  <c r="F9" i="77"/>
  <c r="F10" i="77"/>
  <c r="F11" i="77"/>
  <c r="F12" i="77"/>
  <c r="D18" i="77" l="1"/>
  <c r="D20" i="77" s="1"/>
  <c r="F17" i="77"/>
  <c r="L35" i="2"/>
  <c r="I28" i="52" l="1"/>
  <c r="J28" i="52"/>
  <c r="G28" i="52"/>
  <c r="O57" i="2" l="1"/>
  <c r="L57" i="2"/>
  <c r="C12" i="7" l="1"/>
  <c r="E12" i="7"/>
  <c r="F12" i="7" l="1"/>
  <c r="I58" i="52" l="1"/>
  <c r="J58" i="52"/>
  <c r="G58" i="52"/>
  <c r="C8" i="11" l="1"/>
  <c r="C13" i="77" l="1"/>
  <c r="F8" i="11" l="1"/>
  <c r="F26" i="128" l="1"/>
  <c r="C26" i="128"/>
  <c r="O13" i="2" l="1"/>
  <c r="L13" i="2"/>
  <c r="G9" i="23" l="1"/>
  <c r="D9" i="23"/>
  <c r="G22" i="23"/>
  <c r="D22" i="23"/>
  <c r="E9" i="6"/>
  <c r="F9" i="6"/>
  <c r="E25" i="7" l="1"/>
  <c r="E66" i="7" s="1"/>
  <c r="N8" i="2" s="1"/>
  <c r="F25" i="7" l="1"/>
  <c r="O35" i="2" l="1"/>
  <c r="D85" i="23"/>
  <c r="L42" i="2"/>
  <c r="L41" i="2"/>
  <c r="L40" i="2"/>
  <c r="F9" i="63"/>
  <c r="F11" i="63" s="1"/>
  <c r="C18" i="64" s="1"/>
  <c r="L9" i="63"/>
  <c r="L11" i="63" s="1"/>
  <c r="C24" i="64" s="1"/>
  <c r="K9" i="63"/>
  <c r="K11" i="63" s="1"/>
  <c r="C23" i="64" s="1"/>
  <c r="H9" i="63"/>
  <c r="H11" i="63" s="1"/>
  <c r="C20" i="64" s="1"/>
  <c r="G9" i="63"/>
  <c r="G11" i="63" s="1"/>
  <c r="C19" i="64" s="1"/>
  <c r="J9" i="63"/>
  <c r="J11" i="63" s="1"/>
  <c r="C22" i="64" s="1"/>
  <c r="C9" i="63"/>
  <c r="C11" i="63" s="1"/>
  <c r="C15" i="64" s="1"/>
  <c r="G16" i="77"/>
  <c r="G15" i="77"/>
  <c r="G14" i="77"/>
  <c r="G19" i="77"/>
  <c r="B10" i="63" s="1"/>
  <c r="F125" i="11"/>
  <c r="O42" i="2"/>
  <c r="F8" i="77"/>
  <c r="F13" i="77" s="1"/>
  <c r="F18" i="77" s="1"/>
  <c r="F20" i="77" s="1"/>
  <c r="M8" i="77"/>
  <c r="N8" i="77" s="1"/>
  <c r="G9" i="77"/>
  <c r="M9" i="77"/>
  <c r="G10" i="77"/>
  <c r="M10" i="77"/>
  <c r="N10" i="77" s="1"/>
  <c r="G11" i="77"/>
  <c r="M11" i="77"/>
  <c r="N11" i="77" s="1"/>
  <c r="G12" i="77"/>
  <c r="M12" i="77"/>
  <c r="N12" i="77" s="1"/>
  <c r="J13" i="77"/>
  <c r="K13" i="77"/>
  <c r="L13" i="77"/>
  <c r="M14" i="77"/>
  <c r="N14" i="77" s="1"/>
  <c r="M15" i="77"/>
  <c r="N15" i="77" s="1"/>
  <c r="M16" i="77"/>
  <c r="N16" i="77" s="1"/>
  <c r="C17" i="77"/>
  <c r="J17" i="77"/>
  <c r="K17" i="77"/>
  <c r="L17" i="77"/>
  <c r="M19" i="77"/>
  <c r="N19" i="77" s="1"/>
  <c r="B10" i="64" s="1"/>
  <c r="C9" i="64"/>
  <c r="D9" i="64"/>
  <c r="D11" i="64" s="1"/>
  <c r="D16" i="64" s="1"/>
  <c r="E9" i="64"/>
  <c r="E11" i="64" s="1"/>
  <c r="D17" i="64" s="1"/>
  <c r="F9" i="64"/>
  <c r="F11" i="64" s="1"/>
  <c r="D18" i="64" s="1"/>
  <c r="G9" i="64"/>
  <c r="G11" i="64" s="1"/>
  <c r="D19" i="64" s="1"/>
  <c r="H9" i="64"/>
  <c r="H11" i="64" s="1"/>
  <c r="D20" i="64" s="1"/>
  <c r="I9" i="64"/>
  <c r="I11" i="64" s="1"/>
  <c r="D21" i="64" s="1"/>
  <c r="J9" i="64"/>
  <c r="J11" i="64" s="1"/>
  <c r="D22" i="64" s="1"/>
  <c r="K9" i="64"/>
  <c r="K11" i="64" s="1"/>
  <c r="D23" i="64" s="1"/>
  <c r="L9" i="64"/>
  <c r="L11" i="64" s="1"/>
  <c r="D24" i="64" s="1"/>
  <c r="M9" i="64"/>
  <c r="M11" i="64" s="1"/>
  <c r="D25" i="64" s="1"/>
  <c r="N9" i="64"/>
  <c r="N11" i="64" s="1"/>
  <c r="D26" i="64" s="1"/>
  <c r="D9" i="63"/>
  <c r="D11" i="63" s="1"/>
  <c r="C16" i="64" s="1"/>
  <c r="I9" i="63"/>
  <c r="I11" i="63" s="1"/>
  <c r="C21" i="64" s="1"/>
  <c r="M9" i="63"/>
  <c r="M11" i="63" s="1"/>
  <c r="C25" i="64" s="1"/>
  <c r="O40" i="2"/>
  <c r="O41" i="2"/>
  <c r="G85" i="23"/>
  <c r="G87" i="23" s="1"/>
  <c r="G34" i="54"/>
  <c r="D34" i="54"/>
  <c r="E32" i="2" s="1"/>
  <c r="E33" i="2"/>
  <c r="H33" i="2"/>
  <c r="D58" i="54"/>
  <c r="E34" i="2" s="1"/>
  <c r="F58" i="54"/>
  <c r="G58" i="54"/>
  <c r="C11" i="10"/>
  <c r="C12" i="10" s="1"/>
  <c r="F11" i="10"/>
  <c r="F12" i="10" s="1"/>
  <c r="O34" i="2"/>
  <c r="C75" i="7"/>
  <c r="E75" i="7"/>
  <c r="N33" i="2" s="1"/>
  <c r="E24" i="6"/>
  <c r="C32" i="6"/>
  <c r="E32" i="6"/>
  <c r="N32" i="2" s="1"/>
  <c r="F32" i="6"/>
  <c r="G12" i="52"/>
  <c r="I12" i="52"/>
  <c r="I15" i="52" s="1"/>
  <c r="J12" i="52"/>
  <c r="G32" i="52"/>
  <c r="I32" i="52"/>
  <c r="J32" i="52"/>
  <c r="G36" i="52"/>
  <c r="I36" i="52"/>
  <c r="J36" i="52"/>
  <c r="I111" i="52"/>
  <c r="G9" i="2" s="1"/>
  <c r="E10" i="2"/>
  <c r="G10" i="2"/>
  <c r="H10" i="2"/>
  <c r="I155" i="52"/>
  <c r="G11" i="2" s="1"/>
  <c r="L34" i="2"/>
  <c r="L36" i="2"/>
  <c r="O36" i="2"/>
  <c r="L44" i="2"/>
  <c r="O44" i="2"/>
  <c r="F75" i="7"/>
  <c r="N39" i="2" l="1"/>
  <c r="N46" i="2" s="1"/>
  <c r="G34" i="2"/>
  <c r="G46" i="2" s="1"/>
  <c r="F59" i="54"/>
  <c r="G17" i="77"/>
  <c r="L43" i="2"/>
  <c r="D87" i="23"/>
  <c r="L32" i="2"/>
  <c r="K18" i="77"/>
  <c r="K20" i="77" s="1"/>
  <c r="H34" i="2"/>
  <c r="C18" i="77"/>
  <c r="C20" i="77" s="1"/>
  <c r="L18" i="77"/>
  <c r="L20" i="77" s="1"/>
  <c r="C9" i="6"/>
  <c r="C25" i="7"/>
  <c r="C125" i="11"/>
  <c r="L37" i="2" s="1"/>
  <c r="O33" i="2"/>
  <c r="O32" i="2"/>
  <c r="O37" i="2"/>
  <c r="C38" i="8"/>
  <c r="F28" i="17"/>
  <c r="C18" i="9"/>
  <c r="C19" i="9" s="1"/>
  <c r="C27" i="9" s="1"/>
  <c r="F38" i="8"/>
  <c r="F39" i="8" s="1"/>
  <c r="C28" i="17"/>
  <c r="L15" i="2" s="1"/>
  <c r="C24" i="6"/>
  <c r="F24" i="6"/>
  <c r="F117" i="11"/>
  <c r="F18" i="9"/>
  <c r="C64" i="7"/>
  <c r="L11" i="2"/>
  <c r="E8" i="2"/>
  <c r="C19" i="10"/>
  <c r="M17" i="77"/>
  <c r="F64" i="7"/>
  <c r="E31" i="2"/>
  <c r="G155" i="52"/>
  <c r="E11" i="2" s="1"/>
  <c r="N9" i="63"/>
  <c r="N11" i="63" s="1"/>
  <c r="C26" i="64" s="1"/>
  <c r="C89" i="11"/>
  <c r="N17" i="77"/>
  <c r="B8" i="64" s="1"/>
  <c r="E25" i="6"/>
  <c r="N7" i="2" s="1"/>
  <c r="N26" i="2" s="1"/>
  <c r="E34" i="6"/>
  <c r="I33" i="52"/>
  <c r="I37" i="52" s="1"/>
  <c r="I59" i="52" s="1"/>
  <c r="G7" i="2" s="1"/>
  <c r="G26" i="2" s="1"/>
  <c r="F50" i="7"/>
  <c r="C50" i="7"/>
  <c r="C52" i="7" s="1"/>
  <c r="F58" i="7"/>
  <c r="C58" i="7"/>
  <c r="C59" i="7" s="1"/>
  <c r="L25" i="2"/>
  <c r="J155" i="52"/>
  <c r="G111" i="52"/>
  <c r="E9" i="2" s="1"/>
  <c r="E9" i="63"/>
  <c r="E11" i="63" s="1"/>
  <c r="C17" i="64" s="1"/>
  <c r="G15" i="52"/>
  <c r="J18" i="77"/>
  <c r="J20" i="77" s="1"/>
  <c r="C11" i="64"/>
  <c r="D15" i="64" s="1"/>
  <c r="E15" i="64" s="1"/>
  <c r="E16" i="64" s="1"/>
  <c r="G8" i="77"/>
  <c r="M13" i="77"/>
  <c r="N9" i="77"/>
  <c r="N13" i="77" s="1"/>
  <c r="O43" i="2"/>
  <c r="O45" i="2" s="1"/>
  <c r="J111" i="52"/>
  <c r="H32" i="2"/>
  <c r="O25" i="2"/>
  <c r="L33" i="2"/>
  <c r="J15" i="52"/>
  <c r="N60" i="2" l="1"/>
  <c r="G60" i="2"/>
  <c r="L39" i="2"/>
  <c r="O39" i="2"/>
  <c r="O46" i="2" s="1"/>
  <c r="L45" i="2"/>
  <c r="G13" i="77"/>
  <c r="G18" i="77" s="1"/>
  <c r="G20" i="77" s="1"/>
  <c r="F19" i="9"/>
  <c r="F27" i="9" s="1"/>
  <c r="F118" i="11"/>
  <c r="C117" i="11"/>
  <c r="C118" i="11" s="1"/>
  <c r="C127" i="11" s="1"/>
  <c r="B8" i="63"/>
  <c r="D27" i="64"/>
  <c r="C27" i="64"/>
  <c r="H31" i="2"/>
  <c r="H46" i="2" s="1"/>
  <c r="C39" i="8"/>
  <c r="C25" i="6"/>
  <c r="L7" i="2"/>
  <c r="F25" i="6"/>
  <c r="C34" i="6"/>
  <c r="F34" i="6"/>
  <c r="F59" i="7"/>
  <c r="E46" i="2"/>
  <c r="D59" i="54"/>
  <c r="E17" i="64"/>
  <c r="E18" i="64" s="1"/>
  <c r="E19" i="64" s="1"/>
  <c r="E20" i="64" s="1"/>
  <c r="E21" i="64" s="1"/>
  <c r="E22" i="64" s="1"/>
  <c r="E23" i="64" s="1"/>
  <c r="E24" i="64" s="1"/>
  <c r="E25" i="64" s="1"/>
  <c r="E26" i="64" s="1"/>
  <c r="M18" i="77"/>
  <c r="M20" i="77" s="1"/>
  <c r="H8" i="2"/>
  <c r="F52" i="7"/>
  <c r="C65" i="7"/>
  <c r="E77" i="7"/>
  <c r="H11" i="2"/>
  <c r="G33" i="52"/>
  <c r="G37" i="52" s="1"/>
  <c r="I156" i="52"/>
  <c r="B7" i="64"/>
  <c r="N18" i="77"/>
  <c r="N20" i="77" s="1"/>
  <c r="O11" i="2"/>
  <c r="F19" i="10"/>
  <c r="L10" i="2"/>
  <c r="O15" i="2"/>
  <c r="J33" i="52"/>
  <c r="G59" i="54"/>
  <c r="H9" i="2"/>
  <c r="B7" i="63" l="1"/>
  <c r="B9" i="63" s="1"/>
  <c r="L14" i="2"/>
  <c r="O10" i="2"/>
  <c r="E27" i="64"/>
  <c r="L12" i="2"/>
  <c r="L9" i="2"/>
  <c r="C46" i="8"/>
  <c r="O14" i="2"/>
  <c r="O9" i="2"/>
  <c r="F65" i="7"/>
  <c r="O12" i="2"/>
  <c r="O7" i="2"/>
  <c r="F127" i="11"/>
  <c r="F46" i="8"/>
  <c r="C66" i="7"/>
  <c r="C77" i="7" s="1"/>
  <c r="J37" i="52"/>
  <c r="L46" i="2"/>
  <c r="B9" i="64"/>
  <c r="F66" i="7" l="1"/>
  <c r="L8" i="2"/>
  <c r="B11" i="64"/>
  <c r="J59" i="52"/>
  <c r="B11" i="63"/>
  <c r="F77" i="7" l="1"/>
  <c r="O8" i="2"/>
  <c r="L26" i="2"/>
  <c r="H7" i="2"/>
  <c r="H26" i="2" s="1"/>
  <c r="J156" i="52"/>
  <c r="O26" i="2" l="1"/>
  <c r="L60" i="2"/>
  <c r="H60" i="2"/>
  <c r="O60" i="2" l="1"/>
  <c r="B12" i="64" s="1"/>
  <c r="B13" i="63"/>
  <c r="G59" i="52" l="1"/>
  <c r="E7" i="2" l="1"/>
  <c r="G156" i="52"/>
  <c r="E26" i="2" l="1"/>
  <c r="E60" i="2" l="1"/>
  <c r="K14" i="2" l="1"/>
  <c r="K26" i="2" s="1"/>
  <c r="K60" i="2" l="1"/>
</calcChain>
</file>

<file path=xl/sharedStrings.xml><?xml version="1.0" encoding="utf-8"?>
<sst xmlns="http://schemas.openxmlformats.org/spreadsheetml/2006/main" count="1697" uniqueCount="895">
  <si>
    <t>Lakás bérleti díj támogatás</t>
  </si>
  <si>
    <t>Hézagkiöntés</t>
  </si>
  <si>
    <t>Hídfenntartás</t>
  </si>
  <si>
    <t>Idegenforgalmi adó</t>
  </si>
  <si>
    <t>Polgármesteri Hivatal</t>
  </si>
  <si>
    <t>Önkormányzat egyéb kiadásai</t>
  </si>
  <si>
    <t>Önkormányzat egyéb kiadásai (Főépítészi kiadások)</t>
  </si>
  <si>
    <t>Önkormányzat egyéb kiadásai (Hatósági kiadások)</t>
  </si>
  <si>
    <t>Önkormányzat egyéb kiadásai (informatikai kiadások)</t>
  </si>
  <si>
    <t>Informatikai fejlesztések</t>
  </si>
  <si>
    <t>Környezetvédelmi birság</t>
  </si>
  <si>
    <t>Tartalékok</t>
  </si>
  <si>
    <t xml:space="preserve"> </t>
  </si>
  <si>
    <t>Egyesített Bölcsődei Intézmény</t>
  </si>
  <si>
    <t>MŰKÖDÉSI BEVÉTELEK</t>
  </si>
  <si>
    <t>MŰKÖDÉSI KIADÁSOK</t>
  </si>
  <si>
    <t>Egyéb fejlesztések</t>
  </si>
  <si>
    <t>Egyéb adó és bírságok, pótlékok</t>
  </si>
  <si>
    <t>Szociális hét</t>
  </si>
  <si>
    <t>Nagyprojektek, projektek</t>
  </si>
  <si>
    <t>Posta költség</t>
  </si>
  <si>
    <t>TERMÉK ÉS SZOLGÁLTATÁSOK ADÓI</t>
  </si>
  <si>
    <t>JÖVEDELEMADÓK</t>
  </si>
  <si>
    <t>VAGYONI TÍPUSÚ ADÓK</t>
  </si>
  <si>
    <t>EGYÉB KÖZHATALMI BEVÉTELEK</t>
  </si>
  <si>
    <t>ÖNKORMÁNYZATOK MŰKÖDÉSI TÁMOGATÁSAI</t>
  </si>
  <si>
    <t>Kiszámlázott általános forgalmi adó és áfa visszatérítése</t>
  </si>
  <si>
    <t>Kamatbevételek</t>
  </si>
  <si>
    <t>Office 365 rendszer működtetése</t>
  </si>
  <si>
    <t>Felhalmozási célú visszatérítendő támogatások, kölcsönök visszatérülése államháztartáson kívülről</t>
  </si>
  <si>
    <t>Egyéb felhalmozási célú átvett pénzeszközök</t>
  </si>
  <si>
    <t>Működési célú visszatérítendő támogatások, kölcsönök visszatérülése államháztartáson kívülről</t>
  </si>
  <si>
    <t>Egyéb működési célú átvett pénzeszközök</t>
  </si>
  <si>
    <t>Munkáltatói kölcsön</t>
  </si>
  <si>
    <t>Állami és önkormányzati adatbázisok használati, továbbvezetési, karbantartási és szolgáltatási díja</t>
  </si>
  <si>
    <t>Működési kiadások</t>
  </si>
  <si>
    <t>Tartalékok össszesen</t>
  </si>
  <si>
    <t>Gyöngyöshermán-Szentkirályi Polgári Kör</t>
  </si>
  <si>
    <t>Herényi Kulturális és Sportegyesület</t>
  </si>
  <si>
    <t>Petőfi Telepért Egyesület</t>
  </si>
  <si>
    <t>Vásárok, rendezvények, karácsonyi díszkivilágítás</t>
  </si>
  <si>
    <t xml:space="preserve">Önkormányzati oktatási kiadások összesen </t>
  </si>
  <si>
    <t>Egyéb feladatok</t>
  </si>
  <si>
    <t>Kátyúkár - önerő biztosítása</t>
  </si>
  <si>
    <t>EGYÉB MŰKÖDÉSI CÉLÚ TÁMOGATÁSOK BEVÉTELEI ÁLLAMHÁZTARTÁSON BELÜLRŐL</t>
  </si>
  <si>
    <t>ELVONÁSOK ÉS BEFIZETÉSEK BEVÉTELEI</t>
  </si>
  <si>
    <t>Internet alapú városi hálózat</t>
  </si>
  <si>
    <t>Víziközmű és szennyvízközmű használati díjbevételhez kapcsolódó áfa visszaigénylés</t>
  </si>
  <si>
    <t>Működési célú költségvetési támogatások és kiegészítő támogatások</t>
  </si>
  <si>
    <t>Köztemetés költségeinek megtérítése</t>
  </si>
  <si>
    <t>Működési bevételek</t>
  </si>
  <si>
    <t>Oktatási ágazat kiadásai</t>
  </si>
  <si>
    <t>Szociális ágazat kiadásai</t>
  </si>
  <si>
    <t>Egészségügyi ágazat kiadásai</t>
  </si>
  <si>
    <t>Arany János ösztöndíj</t>
  </si>
  <si>
    <t>Capella Savaria</t>
  </si>
  <si>
    <t>Ferrum Színházi Társulat</t>
  </si>
  <si>
    <t>FELHALMOZÁSI BEVÉTELEK</t>
  </si>
  <si>
    <t>FELHALMOZÁSI BEVÉTELEK ÖSSZESEN</t>
  </si>
  <si>
    <t>FELHALMZÁSI CÉLÚ TÁMOGATÁSOK ÁLLAMHÁZTARTÁSON BELÜLRŐL</t>
  </si>
  <si>
    <t>KÖLTSÉGVETÉSI SZERVEK MŰKÖDÉSI BEVÉTELEI</t>
  </si>
  <si>
    <t>KÖLTSÉGVETÉSI SZERVEK MŰKÖDÉSI BEVÉTELEI ÖSSZESEN</t>
  </si>
  <si>
    <t>KÖLTSÉGVETÉSI SZERVEK FELHALMOZÁSI BEVÉTELEI ÖSSZESEN</t>
  </si>
  <si>
    <t>FELHALMZÁSI CÉLÚ TÁMOGATÁSOK ÁLLAMHÁZTARTÁSON BELÜLRŐL ÖSSZESEN</t>
  </si>
  <si>
    <t>FELHALMOZÁSI CÉLÚ ÁTVETT PÉNZESZKÖZÖK</t>
  </si>
  <si>
    <t>FELHALMOZÁSI CÉLÚ ÁTVETT PÉNZESZKÖZÖK ÖSSZESEN</t>
  </si>
  <si>
    <t>Felhalmozási bevételek</t>
  </si>
  <si>
    <t>Felhalmozási célú támogatások államháztartáson belülről</t>
  </si>
  <si>
    <t>Felhalmozási célú átvett péneszközök</t>
  </si>
  <si>
    <t>FELHALMOZÁSI KIADÁSOK</t>
  </si>
  <si>
    <t xml:space="preserve">" Szombathely visszavár" ösztöndíjrendszer </t>
  </si>
  <si>
    <t>Pálos K. Szociális Szolgáltató Központ és Gyermekjóléti Szolgálat</t>
  </si>
  <si>
    <t>Kötelező feladat</t>
  </si>
  <si>
    <t>Nem kötelező feladat</t>
  </si>
  <si>
    <t>Csaba úti felüljáró fenntartása, karbantartása</t>
  </si>
  <si>
    <t>Burkolati jelek festése</t>
  </si>
  <si>
    <t xml:space="preserve">Egészségügyi civil szervezetek támogatása </t>
  </si>
  <si>
    <t>Helyiségek és lakások bérleti díja</t>
  </si>
  <si>
    <t>Földhaszonbérlet</t>
  </si>
  <si>
    <t xml:space="preserve">Polgárőr szervezetek támogatása </t>
  </si>
  <si>
    <t>Felhalmozási kiadások</t>
  </si>
  <si>
    <t>Áfa visszaigénylés</t>
  </si>
  <si>
    <t>Folyékony hulladékgyűjtés</t>
  </si>
  <si>
    <t>Költségvetési szervek működési bevételei</t>
  </si>
  <si>
    <t>Költségvetési szervek felhalmozási bevételei</t>
  </si>
  <si>
    <t>Víziközmű és szennyvízközmű használati díjbevétel</t>
  </si>
  <si>
    <t>Jelzőtáblák (forgalmi rend változás)</t>
  </si>
  <si>
    <t>Savaria Szimfonikus Zenekar összesen</t>
  </si>
  <si>
    <t xml:space="preserve">Kommunális, városüzemeltetési és környezetvédelmi kiadások  </t>
  </si>
  <si>
    <t>Kommunális és városüzemeltetési kiadások összesen</t>
  </si>
  <si>
    <t>Környezetvédelmi kiadások</t>
  </si>
  <si>
    <t>Kommunális, városüzemeltetési és környezetvédelmi kiadások</t>
  </si>
  <si>
    <t>Esőemberke Alapítvány támogatása</t>
  </si>
  <si>
    <t>Működési célú nagyprojektek, projektek</t>
  </si>
  <si>
    <t>Éves hídvizsgálat</t>
  </si>
  <si>
    <t>Működési célú maradvány</t>
  </si>
  <si>
    <t>Mesebolt Bábszínház</t>
  </si>
  <si>
    <t>Mesebolt Bábszínház összesen</t>
  </si>
  <si>
    <t>MŰKÖDÉSI CÉLÚ TÁMOGATÁSOK ÁLLAMHÁZTARTÁSON BELÜLRŐL</t>
  </si>
  <si>
    <t>MŰKÖDÉSI CÉLÚ ÁTVETT PÉNZESZKÖZÖK</t>
  </si>
  <si>
    <t>KÖZHATALMI BEVÉTELEK</t>
  </si>
  <si>
    <t>Út-híd fenntartási kiadások</t>
  </si>
  <si>
    <t>KÖLTSÉGVETÉSI SZERVEK BEVÉTELEI</t>
  </si>
  <si>
    <t>MŰKÖDÉSI BEVÉTELEK ÖSSZESEN</t>
  </si>
  <si>
    <t>Költségvetési működési bevételek</t>
  </si>
  <si>
    <t>Működési célú támogatások ÁH-on belülről</t>
  </si>
  <si>
    <t>Működési célú átvett pénzeszközök</t>
  </si>
  <si>
    <t>Berzsenyi Dániel Könyvtár összesen</t>
  </si>
  <si>
    <t xml:space="preserve">Savaria Múzeum </t>
  </si>
  <si>
    <t>Versenyek, rendezvények, támogatások</t>
  </si>
  <si>
    <t>Önkormányzati napközis tábor megszervezése</t>
  </si>
  <si>
    <t>Bérleti díj</t>
  </si>
  <si>
    <t>Lakáskölcsöntörlesztés</t>
  </si>
  <si>
    <t>Szolgalmi joggal terhelt épületrész karbantartása</t>
  </si>
  <si>
    <t>Városfejlesztési alap</t>
  </si>
  <si>
    <t>Egyéb, más ágazathoz nem sorolható intézmények összesen</t>
  </si>
  <si>
    <t>Önkormányzati egyéb, más ágazathoz nem sorolható kiadások összesen</t>
  </si>
  <si>
    <t xml:space="preserve">  Kiadások és finanszírozási műveletek összesen</t>
  </si>
  <si>
    <t>Finanszírozási műveletek összesen</t>
  </si>
  <si>
    <t>Rendőrség támogatása</t>
  </si>
  <si>
    <t>Egyéb, más ágazathoz nem sorolható intézmények és feladatok kiadásai</t>
  </si>
  <si>
    <t>Nemzetiségi Önkormányzatok támogatása</t>
  </si>
  <si>
    <t>Integrált pénzügyi rendszer üzemeltetés az intézményekben</t>
  </si>
  <si>
    <t xml:space="preserve">Felhalmozási célú maradvány </t>
  </si>
  <si>
    <t>Költségvetési szervek beruházásai és felújításai összesen:</t>
  </si>
  <si>
    <t>ISIS Big Band támogatása</t>
  </si>
  <si>
    <t>Parkolásgazdálkodási kiadás</t>
  </si>
  <si>
    <t>Vagyongazdálkodásból származó bevétel</t>
  </si>
  <si>
    <t>Pénzeszközátadás</t>
  </si>
  <si>
    <t>Munkáltatói kölcsön visszatérülése</t>
  </si>
  <si>
    <t xml:space="preserve"> Működési célú bevételek összesen :</t>
  </si>
  <si>
    <t>Petz ösztöndíj</t>
  </si>
  <si>
    <t>Felhalmozási célú bevételek</t>
  </si>
  <si>
    <t>Ungaresca Táncegyüttes</t>
  </si>
  <si>
    <t>Polgármesteri keret</t>
  </si>
  <si>
    <t>Általános tartalék</t>
  </si>
  <si>
    <t>Egészség-hét</t>
  </si>
  <si>
    <t>Vagyongazdálkodás összesen</t>
  </si>
  <si>
    <t>Beruházások</t>
  </si>
  <si>
    <t>Szombathelyi Hospice Alapítvány</t>
  </si>
  <si>
    <t>Egészségügyi ágazat</t>
  </si>
  <si>
    <t>Útigénybevételi díj</t>
  </si>
  <si>
    <t>Finanszírozási műveletek</t>
  </si>
  <si>
    <t xml:space="preserve">  Bevételek és finanszírozási műveletek összesen</t>
  </si>
  <si>
    <t>Szociális ágazat</t>
  </si>
  <si>
    <t xml:space="preserve">Önkormányzat </t>
  </si>
  <si>
    <t>Savaria Múzeum összesen</t>
  </si>
  <si>
    <t>Horvát nemzetiségi nap támogatás</t>
  </si>
  <si>
    <t>Közterület foglalás</t>
  </si>
  <si>
    <t xml:space="preserve"> Működési célú kiadások összesen :</t>
  </si>
  <si>
    <t xml:space="preserve">      Felhalmozási célú bevételek összesen :</t>
  </si>
  <si>
    <t xml:space="preserve">      Felhalmozási célú kiadások összesen :</t>
  </si>
  <si>
    <t>Sport</t>
  </si>
  <si>
    <t>Pénzeszközátadás összesen:</t>
  </si>
  <si>
    <t>Költségvetési szervek beruházásai és felújításai</t>
  </si>
  <si>
    <t>Megnevezés</t>
  </si>
  <si>
    <t>Épitményadó</t>
  </si>
  <si>
    <t xml:space="preserve">Önkormányzati felhalmozási kiadások </t>
  </si>
  <si>
    <t>Intézményi felhalmozási kiadások</t>
  </si>
  <si>
    <t>Intézményi felhalmozási kiadások össszesen</t>
  </si>
  <si>
    <t>Önkormányzati felhalmozási kiadások össszesen</t>
  </si>
  <si>
    <t>MŰKÖDÉSI CÉLÚ ÁTVETT PÉNZESZKÖZÖK ÖSSZESEN</t>
  </si>
  <si>
    <t>KÖZHATALMI BEVÉTELEK ÖSSZESEN</t>
  </si>
  <si>
    <t xml:space="preserve">Közlekedés, útépítés, közvilágítás, hídfelújítás </t>
  </si>
  <si>
    <t>Közművesítés</t>
  </si>
  <si>
    <t>Egyéb beruházások</t>
  </si>
  <si>
    <t>1.</t>
  </si>
  <si>
    <t>2.</t>
  </si>
  <si>
    <t>3.</t>
  </si>
  <si>
    <t>4.</t>
  </si>
  <si>
    <t>Vagyongazdálkodás</t>
  </si>
  <si>
    <t>5.</t>
  </si>
  <si>
    <t>6.</t>
  </si>
  <si>
    <t>7.</t>
  </si>
  <si>
    <t>8.</t>
  </si>
  <si>
    <t xml:space="preserve">Technikai, bevétellel 100%-ig fedezett tételek </t>
  </si>
  <si>
    <t>Kiszámlázott és befizetendő áfa</t>
  </si>
  <si>
    <t>Helyreállítások (teljes pályaszerkezet csere)</t>
  </si>
  <si>
    <t>Járdafenntartás</t>
  </si>
  <si>
    <t>Óvodák</t>
  </si>
  <si>
    <t>Közhatalmi bevételek</t>
  </si>
  <si>
    <t xml:space="preserve">Háziorvosi rendelők karbantartása </t>
  </si>
  <si>
    <t>Szökőkutak előre nem látható hibaelhárítása</t>
  </si>
  <si>
    <t>Termőföld bérbeadásából szárm.jöv.adó</t>
  </si>
  <si>
    <t>Helyi iparűzési adó</t>
  </si>
  <si>
    <t>Egyéb működési célú bevétel</t>
  </si>
  <si>
    <t>összesen</t>
  </si>
  <si>
    <t>Út-híd fenntartás</t>
  </si>
  <si>
    <t>Szombathelyi Egészségügyi és Kulturális Intézmények GESZ</t>
  </si>
  <si>
    <t>Önkormányzati konferenciák, rendezvények, fogadások</t>
  </si>
  <si>
    <t xml:space="preserve">     Beruházások  összesen</t>
  </si>
  <si>
    <t>Áfa befizetés (saját bevételből)</t>
  </si>
  <si>
    <t>Intézményi vagyonbiztosítások</t>
  </si>
  <si>
    <t>Oktatási intézmények összesen:</t>
  </si>
  <si>
    <t>Szombathely Város Fúvószenekar támogatása</t>
  </si>
  <si>
    <t xml:space="preserve">Oktatási ágazat </t>
  </si>
  <si>
    <t>Lakás és helyiségüzemeltetés (bevétellel)</t>
  </si>
  <si>
    <t xml:space="preserve">Egyéb tagdijak </t>
  </si>
  <si>
    <t xml:space="preserve">Egyéb önkormányzati kitüntetések </t>
  </si>
  <si>
    <t xml:space="preserve"> összesen</t>
  </si>
  <si>
    <t>BEVÉTELEK</t>
  </si>
  <si>
    <t>ezer forintban</t>
  </si>
  <si>
    <t>Savaria Történelmi Karnevál Közhasznú Közalapítvány működési támogatása</t>
  </si>
  <si>
    <t>március</t>
  </si>
  <si>
    <t>április</t>
  </si>
  <si>
    <t>május</t>
  </si>
  <si>
    <t>szeptember</t>
  </si>
  <si>
    <t>Egyéb kiadások</t>
  </si>
  <si>
    <t>október</t>
  </si>
  <si>
    <t>Szombathely Megyei Jogú Város Önkormányzata</t>
  </si>
  <si>
    <t>9.</t>
  </si>
  <si>
    <t>10.</t>
  </si>
  <si>
    <t>11.</t>
  </si>
  <si>
    <t>12.</t>
  </si>
  <si>
    <t>Közterület-felügyelet átjátszó bérleti díj</t>
  </si>
  <si>
    <t>Víznyelők tisztítása</t>
  </si>
  <si>
    <t>Mindösszesen</t>
  </si>
  <si>
    <t>bevételek</t>
  </si>
  <si>
    <t>hónap</t>
  </si>
  <si>
    <t>Működési bevételek összesen</t>
  </si>
  <si>
    <t>Felhalmozási bevételek összesen</t>
  </si>
  <si>
    <t>KÖLTSÉGVETÉSI BEVÉTELEK ÖSSZESEN</t>
  </si>
  <si>
    <t>Finanszírozási bevételek</t>
  </si>
  <si>
    <t>MINDÖSSZESEN BEVÉTELEK</t>
  </si>
  <si>
    <t>KIADÁSOK</t>
  </si>
  <si>
    <t>kiadások</t>
  </si>
  <si>
    <t>Működési kiadások összesen</t>
  </si>
  <si>
    <t>Felhalmozási kiadások összesen</t>
  </si>
  <si>
    <t>KÖLTSÉGVETÉSI KIADÁSOK ÖSSZESEN</t>
  </si>
  <si>
    <t>Finanszírozási kiadások</t>
  </si>
  <si>
    <t>MINDÖSSZESEN KIADÁSOK</t>
  </si>
  <si>
    <t>pénzfogalmi bevételek</t>
  </si>
  <si>
    <t>pénzfogalmi kiadások</t>
  </si>
  <si>
    <t>időszaki pénzkészlet</t>
  </si>
  <si>
    <t>január</t>
  </si>
  <si>
    <t>február</t>
  </si>
  <si>
    <t>június</t>
  </si>
  <si>
    <t>július</t>
  </si>
  <si>
    <t>augusztus</t>
  </si>
  <si>
    <t>november</t>
  </si>
  <si>
    <t>december</t>
  </si>
  <si>
    <t>Működési célú támogatások államháztartáson belülről</t>
  </si>
  <si>
    <t>Személyi juttatások</t>
  </si>
  <si>
    <t>Munkaadókat terhelő járulékok és szociális hozzájárulási adó</t>
  </si>
  <si>
    <t>Dologi kiadások</t>
  </si>
  <si>
    <t>Ellátottak pénzbeli juttatásai</t>
  </si>
  <si>
    <t>Felújítások</t>
  </si>
  <si>
    <t>Felhalmozási célú átvett pénzeszközök</t>
  </si>
  <si>
    <t>Egyéb felhalmozási célú kiadások</t>
  </si>
  <si>
    <t>Környezetállapot értékelés (talaj, víz, levegő)</t>
  </si>
  <si>
    <t>Lakás és helyiségüzemeltetés veszteségpótlás</t>
  </si>
  <si>
    <t>Szünidei gyermekétkeztetés</t>
  </si>
  <si>
    <t xml:space="preserve">Egészségügyi dolgozók kitüntetése </t>
  </si>
  <si>
    <t xml:space="preserve">Kulturális kitüntetés díja, Év Civil Szervezete díja …. </t>
  </si>
  <si>
    <t>Gyermek és ifjúsági kitüntetések</t>
  </si>
  <si>
    <t>Szociális önkormányzati kitüntetések</t>
  </si>
  <si>
    <t>Érzékenyítő programok - Helyi esélyegyenlőségi program keretében</t>
  </si>
  <si>
    <t>Elvonások és befizetések bevételei</t>
  </si>
  <si>
    <t>Működési célú költségvetési támogatások és kiegészítő támogatások össszesen</t>
  </si>
  <si>
    <t>Elszámolásból származó bevételek összesen</t>
  </si>
  <si>
    <t xml:space="preserve">Elszámolásból származó bevételek </t>
  </si>
  <si>
    <t>a.)</t>
  </si>
  <si>
    <t>b.)</t>
  </si>
  <si>
    <t>c.)</t>
  </si>
  <si>
    <t>MŰKÖDÉSI CÉLÚ TÁMOGATÁSOK ÁLLAMHÁZTARTÁSON BELÜLRŐL ÖSSZESEN (a.) + b.) + c.))</t>
  </si>
  <si>
    <t>Szombathelyi Kézilabda Klub és Akadémia támogatása</t>
  </si>
  <si>
    <t>Vízközmű- és szennyvízközmű használati díj terhére végzett beruházás</t>
  </si>
  <si>
    <t>I. Helyi önkormányzatok működésének általános támogatása</t>
  </si>
  <si>
    <t>Településrendezési terv felülvizsgálata</t>
  </si>
  <si>
    <t>II. Települési önkormányzatok egyes köznevelési feladatainak támogatása</t>
  </si>
  <si>
    <t>OKTATÁSI MŰKÖDÉSI CÉLÚ KIADÁSOK ÖSSZESEN</t>
  </si>
  <si>
    <t>OKTATÁSI FELHALMOZÁSI CÉLÚ KIADÁSOK ÖSSZESEN</t>
  </si>
  <si>
    <t>OKTATÁSI ÁGAZAT KIADÁSAI MINDÖSSZESEN</t>
  </si>
  <si>
    <t>Kulturális ágazat, média kiadásai</t>
  </si>
  <si>
    <t>Kulturális ágazat, média</t>
  </si>
  <si>
    <t>SZOCIÁLIS MŰKÖDÉSI CÉLÚ KIADÁSOK ÖSSZESEN</t>
  </si>
  <si>
    <t>SZOCIÁLIS ÁGAZAT KIADÁSAI MINDÖSSZESEN</t>
  </si>
  <si>
    <t>KULTURÁLIS ÁGAZAT, MÉDAI KIADÁSAI MINDÖSSZESEN</t>
  </si>
  <si>
    <t>EGÉSZSÉGÜGYI MŰKÖDÉSI CÉLÚ KIADÁSOK ÖSSZESEN</t>
  </si>
  <si>
    <t>EGÉSZSÉGÜGYI ÁGAZAT KIADÁSAI MINDÖSSZESEN</t>
  </si>
  <si>
    <t>GYERMEKVÉDELMI MŰKÖDÉSI CÉLÚ KIADÁSOK ÖSSZESEN</t>
  </si>
  <si>
    <t>GYERMEKVÉDELMI ÁGAZAT KIADÁSAI MINDÖSSZESEN</t>
  </si>
  <si>
    <t>Gyermekvédelmi ágazat kiadásai</t>
  </si>
  <si>
    <t>Gyermekvédelemi ágazat</t>
  </si>
  <si>
    <t>Egyéb más ágazathoz nem sorolható intézmények és feladatok</t>
  </si>
  <si>
    <t>EGYÉB, MÁS ÁGAZATHOZ NEM SOROLHATÓ INTÉZMÉNYEK ÉS FELADATOK FELHALMOZÁSI CÉLÚ KIADÁSAI ÖSSZESEN</t>
  </si>
  <si>
    <t>EGYÉB, MÁS ÁGAZATHOZ NEM SOROLHATÓ INTÉZMÉNYEK ÉS FELADATOK MŰKÖDÉSI CÉLÚ KIADÁSAI ÖSSZESEN</t>
  </si>
  <si>
    <t>EGYÉB, MÁS ÁGAZATHOZ NEM SOROLHATÓ INÉTZMÉNYEK ÉS FELADATOK KIADÁSAI MINDÖSSZESEN</t>
  </si>
  <si>
    <t>KOMMUNÁLIS, VÁROSÜZEMELTETÉSI ÉS KÖRNYEZETVÉDELMI KIADÁSOK MINDÖSSZESEN</t>
  </si>
  <si>
    <t>ÚT-HÍD FENNTARTÁSI KIADÁSOK MINDÖSSZESEN</t>
  </si>
  <si>
    <t>FELHALMOZÁSI CÉLÚ BEVÉTELEK MINDÖSSZESEN</t>
  </si>
  <si>
    <t>ÖNKORMÁNYZATI FELHALMOZÁSI KIADÁSOK MINDÖSSZESEN</t>
  </si>
  <si>
    <t>Kerékpárút fenntartás</t>
  </si>
  <si>
    <t>Nyílt árok tisztítás, árokrendezés (árvízvédelmi művek, berendezések, karbantartása)</t>
  </si>
  <si>
    <t>KULTURÁLIS INTÉZMÉNYEK FELHALMOZÁSI KIADÁSAI ÖSSZESEN</t>
  </si>
  <si>
    <t>Szent Márton Esélyegyenlőségi Támogatási Program</t>
  </si>
  <si>
    <t>KÖLTSÉGVETÉSI MŰKÖDÉSI BEVÉTELEK MINDÖSSZESEN</t>
  </si>
  <si>
    <t>Illegális hulladéklerakás</t>
  </si>
  <si>
    <t xml:space="preserve">Költségvetési </t>
  </si>
  <si>
    <t>Önkormányzat</t>
  </si>
  <si>
    <t>szervek bevételei</t>
  </si>
  <si>
    <t>szervek kiadásai</t>
  </si>
  <si>
    <t>Kiemelt előirányzatok átcsoportosítása számviteli változások miatt</t>
  </si>
  <si>
    <t>kiadásai</t>
  </si>
  <si>
    <t xml:space="preserve">KÖLTSÉGVETÉSI BEVÉTELEK </t>
  </si>
  <si>
    <t>KÖLTSÉGVETÉSI KIADÁSOK</t>
  </si>
  <si>
    <t>B1</t>
  </si>
  <si>
    <t>K1</t>
  </si>
  <si>
    <t>B3</t>
  </si>
  <si>
    <t>K2</t>
  </si>
  <si>
    <t>B4</t>
  </si>
  <si>
    <t>Működési bevétel</t>
  </si>
  <si>
    <t>K3</t>
  </si>
  <si>
    <t>B6</t>
  </si>
  <si>
    <t>K4</t>
  </si>
  <si>
    <t>K5</t>
  </si>
  <si>
    <t>Egyéb működési célú kiadások</t>
  </si>
  <si>
    <t>B2</t>
  </si>
  <si>
    <t>K6</t>
  </si>
  <si>
    <t>B5</t>
  </si>
  <si>
    <t>K7</t>
  </si>
  <si>
    <t>B7</t>
  </si>
  <si>
    <t>K8</t>
  </si>
  <si>
    <t>B8</t>
  </si>
  <si>
    <t>K9</t>
  </si>
  <si>
    <t>Joskar-Ola Alapítvány</t>
  </si>
  <si>
    <t>Vasi Honvéd Bajtársi Egyesület támogatása</t>
  </si>
  <si>
    <t>Kátyúzás</t>
  </si>
  <si>
    <t>Vásárok bevétele</t>
  </si>
  <si>
    <t xml:space="preserve">Berzsenyi Dániel Könyvtár </t>
  </si>
  <si>
    <t>SZMJV Diákönkormányzat - rendezvények, programok, támogatások, egyéb kiadások</t>
  </si>
  <si>
    <t>eredeti előirányzat</t>
  </si>
  <si>
    <t>Olad Városrészért Egyesület</t>
  </si>
  <si>
    <t>Hátrányos Helyzetű Roma Fiatalokat Támogató Közhasznú Egyesület támogatása</t>
  </si>
  <si>
    <t>Térfigyelő kamerarendszer üzemeltetése és adatátviteli hálózat üzemeltetése</t>
  </si>
  <si>
    <t>Önkormányzati pavilonok tárolása, felújítása</t>
  </si>
  <si>
    <t>Önkormányzati tulajdonú területek kaszálása</t>
  </si>
  <si>
    <t>Vas Megyei Tudományos Ismeretterjesztő Egyesület támogatása - közművelődési megállapodás</t>
  </si>
  <si>
    <t>Savaria Városfejlesztési Nonprofit Kft. támogatása</t>
  </si>
  <si>
    <t>Óvoda intézményi karbantartás</t>
  </si>
  <si>
    <t>Egységes ügyiratkezelő szoftver az önkormányzat által müködtetett intézményekben</t>
  </si>
  <si>
    <t>ÖSSZESEN</t>
  </si>
  <si>
    <t>Vagyongazdálkodási kiadások (ingatlan kisajátítás, vásárlás)</t>
  </si>
  <si>
    <t>HÁROFIT Közhasznú Egyesület - közfoglalkoztatás támogatása</t>
  </si>
  <si>
    <t>módosított előirányzat</t>
  </si>
  <si>
    <t>Közvilágítás pénzügyi lízing - kamat</t>
  </si>
  <si>
    <t>Közvilágítás díja</t>
  </si>
  <si>
    <t>Állatvédők Vasi Egyesülete és a Kutyamenhely Alapítvány által közösen működtetett állatmenhely fenntartási költségei, 1 fő alkalmazott bér és járulékainak költsége a Kutyamenhely Alapítvány részére</t>
  </si>
  <si>
    <t>Bursa Hungarica felsőoktatási ösztöndíj</t>
  </si>
  <si>
    <t>Kéményseprő ipari közszolgáltatás ellátásának támogatása</t>
  </si>
  <si>
    <t xml:space="preserve">Közösségi Bérlakás Rendszer                               </t>
  </si>
  <si>
    <t>Kariatida tanulmányi támogatás rendszerének működtetése - "Szombathely Szent Márton városa" Gyebrovszki János Alapítvány</t>
  </si>
  <si>
    <t>"Szombathely Szent Márton városa " Gyebrovszki János Alapítvány támogatása</t>
  </si>
  <si>
    <t>Hatósági díjak, egyéb kiadások, szakértői feladatok</t>
  </si>
  <si>
    <t>Aktív időskor Szombathelyen program</t>
  </si>
  <si>
    <t>Tervezések hatósági díja lejáró engedélyekhez, egyéb díjak</t>
  </si>
  <si>
    <t>Szent Márton plasztik kártya készítés</t>
  </si>
  <si>
    <t>Háziorvosi életpálya modell</t>
  </si>
  <si>
    <t>Bankköltség</t>
  </si>
  <si>
    <t>Bűnmegelőzési és katasztrófavédelmi kiadások</t>
  </si>
  <si>
    <t>Szombathely, a segítés városa program</t>
  </si>
  <si>
    <t>ELTE támogatás és gazdaságfejlesztés</t>
  </si>
  <si>
    <t>Padkarendezés</t>
  </si>
  <si>
    <t>Szegélyek javítása, akadálymentesítés</t>
  </si>
  <si>
    <t>ELTE támogatás</t>
  </si>
  <si>
    <t>Finanszírozási kiadás - közvilágítás pénzügyi lízing tőke</t>
  </si>
  <si>
    <t>Önkormányzati fenntartású Weöres Sándor Színház közös működtetési támogatása</t>
  </si>
  <si>
    <t>Önkormányzati fenntartású Mesebolt Bábszínház közös működtetési támogatása</t>
  </si>
  <si>
    <t>Önkormányzat egyéb kiadásai (Városüzemeltetési, vagyongazdálkodási kiadások)</t>
  </si>
  <si>
    <t>Cserkészház  - bérleti díj támogatás - Boldogulás Ösvényein Alapítvány részére</t>
  </si>
  <si>
    <t>Városi pedagógus nap, tanévnyitó ünnepség</t>
  </si>
  <si>
    <t>SZOVA Zrt. parkolásgazdálkodásból származó bevétel</t>
  </si>
  <si>
    <t>SZOVA Zrt. parkolásgazdálkodásból származó ÁFA visszatérülés</t>
  </si>
  <si>
    <t>Önkormányzati nagyrendezvények</t>
  </si>
  <si>
    <t>Sport nagyrendezvények</t>
  </si>
  <si>
    <t>Szent Márton Smartcity városkártya és portálrendszer üzemeltetése</t>
  </si>
  <si>
    <t>Köztemetés költségeinek megtérítése más önkormányzatoktól</t>
  </si>
  <si>
    <t>Közösségi Bérlakás Rendszer lakbér bevétele</t>
  </si>
  <si>
    <t>Egyéb sportcélú kiadások, támogatások</t>
  </si>
  <si>
    <t>Parkfenntartás - SZOMPARK Kft.</t>
  </si>
  <si>
    <t>Előző évi maradvány terhére teljesíthető működési célú projekt kiadások</t>
  </si>
  <si>
    <t>Előző évi maradvány terhére teljesíthető felhalmozási célú projekt kiadások</t>
  </si>
  <si>
    <t xml:space="preserve">Pedagógus kitüntetések </t>
  </si>
  <si>
    <t>Közösségi közlekedés (buszmegállók kialakítása, leszálló szigetek helyreállítása, kialakítás)</t>
  </si>
  <si>
    <t xml:space="preserve">KISZ Lakótelepért Egyesület </t>
  </si>
  <si>
    <t xml:space="preserve">SZOMBATHELY MEGYEI JOGÚ VÁROS ÖNKORMÁNYZATÁNAK  PÉNZÜGYI  MÉRLEGE        </t>
  </si>
  <si>
    <t xml:space="preserve">III. </t>
  </si>
  <si>
    <t xml:space="preserve">IV. </t>
  </si>
  <si>
    <t>Települési önkormányzatok gyermekétkeztetési  feladatainak támogatása</t>
  </si>
  <si>
    <t>V. Települési önkormányzatok kulturális feladatainak támogatása</t>
  </si>
  <si>
    <t>ÖSSZESEN (I.+II.+III.+IV.+V.)</t>
  </si>
  <si>
    <t>Zeneművészeti szervek támogatása - Savaria Szimfónikus zenekar központi támogatása</t>
  </si>
  <si>
    <t>Helyi önkormányzatok kiegészítő támogatásai összesen</t>
  </si>
  <si>
    <t>VOLÁNBUSZ  Zrt. - megállapodás alapján helyközi autóbuszjáratok helyi tarifával történő igénybevétele-Szombathely, Petőfi telep</t>
  </si>
  <si>
    <t>Helyi önkormányzatok kiegészítő támogatásai</t>
  </si>
  <si>
    <t>Települési önkormányzatok kulturális feladatainak támogatásai összesen</t>
  </si>
  <si>
    <t>Települési önkormányzatok kulturális feladatainak támogatása</t>
  </si>
  <si>
    <t>Települési önkormányzatok egyes szociális és gyermekjóléti feladatainak támogatása</t>
  </si>
  <si>
    <t>Könyvtári érdekeltségnövelő támogatás</t>
  </si>
  <si>
    <t>Szociális ágazati összevont pótlék</t>
  </si>
  <si>
    <t>Biztosító térítése, egyéb kártérítés, kötbér</t>
  </si>
  <si>
    <t>Támogatások elszámolása ÁH-on kívülről</t>
  </si>
  <si>
    <t>Közszolgáltatási szerződés helyi közlekedés</t>
  </si>
  <si>
    <t>Zanati Kulturális Egyesület</t>
  </si>
  <si>
    <t>Óvodai ellátó rendszerben prognosztizált munkaerő-hiány kezelése</t>
  </si>
  <si>
    <t>Tavak haszonbérbe adása</t>
  </si>
  <si>
    <t>Szociális és köznevelési intézmények év végi karácsonyi ajándékozás és rászoruló kiskorú gyermekeket nevelő családok év végi karácsonyi ajándékozása</t>
  </si>
  <si>
    <t>Szombathelyi Neumann J.Ált.Isk.területén 3 db műfüves labdarúgó pálya éves karbantartás</t>
  </si>
  <si>
    <t>JUSTNature projekt</t>
  </si>
  <si>
    <t>Egyéb kulturális rendezvények</t>
  </si>
  <si>
    <t>Egyéb lakásgazdálkodási és szociális kiadások</t>
  </si>
  <si>
    <t>Szombathelyi Szabadidősport rendezvények</t>
  </si>
  <si>
    <t>Évközi tervezések, útfelújítás tervezések, egyéb tervezések</t>
  </si>
  <si>
    <t>Állatvédők Vasi Egyesülete működési támogatás</t>
  </si>
  <si>
    <t xml:space="preserve">Vas megyei Szakképzési Centrum működési hozzájárulás </t>
  </si>
  <si>
    <t>Nemzetközi kapcsolatok</t>
  </si>
  <si>
    <t>Lelkisegély szolgálat támogatása (szerződés) - Telehumanitas Szombathelyi Mentálhigiénés Egyesület</t>
  </si>
  <si>
    <t>2025. évi</t>
  </si>
  <si>
    <t xml:space="preserve">Szombathelyi Nemzetiségi nap </t>
  </si>
  <si>
    <t>Laktanya terület út építési kötelezettség</t>
  </si>
  <si>
    <t>Veszélyhelyzet ideje alatt a szomszédos országban fennálló humanitárius katasztrófára tekintettel érkező személyek elhelyezésének támogatása</t>
  </si>
  <si>
    <t>Szombathelyi Neumann J.Ált.Isk.területén 3 db műfüves labdarúgó pálya éves karbantartási, továbbszámlázott költségének megtérítése</t>
  </si>
  <si>
    <t>Vásárokhoz kapcsolódó közterület foglalási díjbevétel</t>
  </si>
  <si>
    <t>Adventi vásár díszkivilágítás támogatása</t>
  </si>
  <si>
    <t>Országos tanulmányi versenyeken eredményesen szereplő diákok és tanáraik jutalmazása</t>
  </si>
  <si>
    <t>Veszélyhelyzet ideje alatt a szomszédos országban fennálló humanitárius katasztrófára tekintettel érkező személyek elhelyezésének támogatása (központi támogatásból)</t>
  </si>
  <si>
    <t>Savaria Karnevál megrendezése, kulturális rendezvények, fesztiválok megrendezése (Savaria Turizmus Nkft., egyéb kiadások, stb.)</t>
  </si>
  <si>
    <t>Bűnmegelőzési és katasztrófavédelmi kiadások; egyéb kiadások, támogatások</t>
  </si>
  <si>
    <t>Csapadékvíz elvezetés (üzemeltetés)</t>
  </si>
  <si>
    <t>RRF-1.1.2-21-2021-0007 Demográfiai és köznevelési bölcsődei nevelés fejlesztése - Új bölcsőde építése Szombathely Szentkirályi városrészen</t>
  </si>
  <si>
    <t>Erdei iskola utcai csapadékcsatorna építése</t>
  </si>
  <si>
    <t>Északi iparterület - közművesítések finanszírozása, fejlesztések finanszírozása, tanulmányterv készítése</t>
  </si>
  <si>
    <t xml:space="preserve">Vasi Tekesportért Alapítvány </t>
  </si>
  <si>
    <t>Fáklyavívők Egyesülete támogatás - Szombathelyi Alkotótábor megrendezése</t>
  </si>
  <si>
    <t>Könyvkiadás</t>
  </si>
  <si>
    <t>Erdő és vadgazdálkodási költség</t>
  </si>
  <si>
    <t>SZOVA, Szompark, AGORA, Turizmus Kft, Sportközpont Kft közös raktározás</t>
  </si>
  <si>
    <t>Fonyódi gyermektábor</t>
  </si>
  <si>
    <t>2026. évi</t>
  </si>
  <si>
    <t>TOP Plusz 1.3.1.-00001 Fenntartható városfejlesztés</t>
  </si>
  <si>
    <t>Továbbszámlázott költségek megtérítése</t>
  </si>
  <si>
    <t>INTERREG Europe OD4GROWTH pályázat</t>
  </si>
  <si>
    <t xml:space="preserve">Identitás program </t>
  </si>
  <si>
    <t>HÁROFIT Közhasznú Egyesület -Rászoruló családoknak nyújtott tanévkezdési támogatás</t>
  </si>
  <si>
    <t xml:space="preserve">INTERREG Europe OD4GROWTH pályázat </t>
  </si>
  <si>
    <t>Hajdú utca burkolat javítás</t>
  </si>
  <si>
    <t>Ekata rendszer havi díj</t>
  </si>
  <si>
    <t>VDKSZ  működtetés</t>
  </si>
  <si>
    <t>Szombathelypont működtetés</t>
  </si>
  <si>
    <t>Szociális térkép</t>
  </si>
  <si>
    <t>Egyéb rendezvények</t>
  </si>
  <si>
    <t>2024. évi útfelújítási program</t>
  </si>
  <si>
    <t>Nyugíjas Bérlők Háza befizetés</t>
  </si>
  <si>
    <t>Savaria Múzeum</t>
  </si>
  <si>
    <t xml:space="preserve">1000 fa program </t>
  </si>
  <si>
    <t>Fenntarthatósági és klímapolitikai célok megvalósulása</t>
  </si>
  <si>
    <t>Jelzőlámpák üzemeltetése és cseréje</t>
  </si>
  <si>
    <t>Közvilágítási elemek karbantartása, kiegészítése</t>
  </si>
  <si>
    <t>Szombathelyi Egyházmegyei Karitász - Hársfa-ház Pszichiátriai- és Szenvedélybetegek Nappali Ellátója és Átmeneti Otthona, RÉV Szenvedélybeteg-segítő Szolgálat és Közösségi Gondozó</t>
  </si>
  <si>
    <t>Vas Vármegyei Markusovszky Egyetemi Oktatókórház (parkoló bérlet díj támogatás)</t>
  </si>
  <si>
    <t xml:space="preserve">Szombathelyi Szépítő Egyesület támogatása </t>
  </si>
  <si>
    <t>Ingatlancseréből származó bevétel</t>
  </si>
  <si>
    <t>Ingatlancsere</t>
  </si>
  <si>
    <t>Japán nap támogatása</t>
  </si>
  <si>
    <t xml:space="preserve">City-to-City Exchanges (Városok közötti csereprogram) projekt </t>
  </si>
  <si>
    <t>Működési célú maradvány - projektekhez</t>
  </si>
  <si>
    <t>Felhalmozási célú maradvány - projektekhez</t>
  </si>
  <si>
    <t xml:space="preserve">Segély önkormányzati támogatásból </t>
  </si>
  <si>
    <t>Vas Vármegyei Katasztrófavédelmi Igazgatóság - Tűzoltóság támogatása</t>
  </si>
  <si>
    <t>Pálos Károly Szociális Szolgáltató Központ és Gyermekjóléti Szolgálat</t>
  </si>
  <si>
    <t>Szombathelyi Egyesített Bölcsődei Intézmény</t>
  </si>
  <si>
    <t>Szombathely Városi Vásárcsarnok</t>
  </si>
  <si>
    <t>Fekete István Állatvédő Egyesület támogatása</t>
  </si>
  <si>
    <t>Weöres Sándor Színház Nkft. összesen</t>
  </si>
  <si>
    <t xml:space="preserve">1. Városi kulturális intézmények </t>
  </si>
  <si>
    <t>2. Önkormányzati gazdasági társaságok</t>
  </si>
  <si>
    <t xml:space="preserve">Savaria Turizmus Nkft  támogatása </t>
  </si>
  <si>
    <t>2. Önkormányzati gazdasági társaságok összesen</t>
  </si>
  <si>
    <t>I. VÁROSI KULTURÁLIS INTÉZMÉNYEK ÉS ÖNKORMÁNYZATI GAZDASÁGI TÁRSASÁGOK MINDÖSSZESEN (1+2)</t>
  </si>
  <si>
    <t>ÖNKORMÁNYZATI KULTURÁLIS KIADÁSOK</t>
  </si>
  <si>
    <t>3. Kulturális és civil szervezetek támogatása</t>
  </si>
  <si>
    <t>3. Kulturális és civil szervezetek támogatása összesen</t>
  </si>
  <si>
    <t>4. Kulturális és civil alap</t>
  </si>
  <si>
    <t>II. KULTURÁLIS ÉS CIVIL SZERVEZETEK TÁMOGATÁSA ÉS KULTURÁLIS ÉS CIVIL ALAP MINDÖSSZESEN (3+4)</t>
  </si>
  <si>
    <t>5. Városi nagyrendezvények</t>
  </si>
  <si>
    <t>6. Egyéb kulturális rendezvények, programok</t>
  </si>
  <si>
    <t>6. Egyéb kulturális rendezvények, programok összesen</t>
  </si>
  <si>
    <t>III. KULTURÁLIS RENDEZVÉNYEK MINDÖSSZESEN (5+6)</t>
  </si>
  <si>
    <t>EGYÉB KULTURÁLIS KIADÁSOK</t>
  </si>
  <si>
    <t>V. ÖNKORMÁNYZATI KULTURÁLIS KIADÁSOK MINDÖSSZESEN (II+III+IV)</t>
  </si>
  <si>
    <t>VI. KULTURÁLIS ÁGAZAT MŰKÖDÉSI CÉLÚ KIADÁSOK MINDÖSSZESEN (I+V)</t>
  </si>
  <si>
    <t xml:space="preserve">Nyugat-dunántúli Regionális Hulladékgazdálkodási Önkormányzati Társulástól támogatás </t>
  </si>
  <si>
    <t>JustClimate projekt</t>
  </si>
  <si>
    <t>Megyei Jogú Városok Szövetsége támogatás</t>
  </si>
  <si>
    <t>Nyugdíjas Bérlők Háza - használatba vételi díj visszafizetése</t>
  </si>
  <si>
    <t>Nyugat-dunántúli Regionális Hulladékgazdálkodási Önkormányzati Társulás működési hozzájárulás</t>
  </si>
  <si>
    <t>Fenntartható Energia és Klímavédelmi Cselekvési Terv felülvizsgálata (SECAP)</t>
  </si>
  <si>
    <t>Vízközmű- és szennyvízközmű beruházáshoz kapcsolódóan - gördülő fejlesztési tervmódosítás költségei</t>
  </si>
  <si>
    <t>Zanati városrész útjainak felújításához (Áfonya u., Eper u., Korpás u., Fenyő u.) terület vásárlás, járda felújítás, csapadékvíz szikkasztó medence átalakítása, vízjogi és üzemeltetési engedélyek stb.</t>
  </si>
  <si>
    <t>Egyéb finanszírozási célú bevétel a 2025. évi költségvetési támogatási előleghez</t>
  </si>
  <si>
    <t>Egyéb finanszírozási célú kiadás - 2025.évi költségvetési támogatási előleg</t>
  </si>
  <si>
    <t>Szolidarítási hozzájárulás</t>
  </si>
  <si>
    <t xml:space="preserve">IV. EGYÉB KULTURÁLIS KIADÁSOK MINDÖSSSZESEN </t>
  </si>
  <si>
    <t>Magyar - magyar közösségi tevékenységek támogatása - Közös értékek találkozása Vajdahunyadon projekt</t>
  </si>
  <si>
    <t xml:space="preserve">Kiszámlázott és befizetendő áfa bevétel (PRENOR Kft. bérleti díj után) </t>
  </si>
  <si>
    <t>PRENOR Kft.tagi kölcsön, bérleti díj után járó kamatbevétel</t>
  </si>
  <si>
    <t>CERV-2023-CITIZENS-TOWN-TT projekt - Testre szabott energia</t>
  </si>
  <si>
    <t>Horizon Europe WeGenerate ("Társ város") projekt</t>
  </si>
  <si>
    <t>Pécsi Tudományegyetem támogatás</t>
  </si>
  <si>
    <t>Prenor Kft.tagi kölcsön nyújtása</t>
  </si>
  <si>
    <t xml:space="preserve">Viktória FC támogatása </t>
  </si>
  <si>
    <t xml:space="preserve">Mesebolt Bábszínház </t>
  </si>
  <si>
    <t xml:space="preserve">Savaria Szimfonikus Zenekar </t>
  </si>
  <si>
    <t>1. Városi kulturális intézmények működési kiadásai össezesen</t>
  </si>
  <si>
    <t>Akadálymentesítési koncepció - szakmérnöki vélemények</t>
  </si>
  <si>
    <t xml:space="preserve">Szombathelyi Egyesített Bölcsődei Intézmény </t>
  </si>
  <si>
    <t>Önkormányzati szociális ágazati kiadások összesen</t>
  </si>
  <si>
    <t>Önkormányzati szociális ágazati kiadások</t>
  </si>
  <si>
    <t>Önkormányzati egyészségügyi ágazati kiadásai</t>
  </si>
  <si>
    <t>Önkormányzati egészségügyi ágazati kiadások összesen</t>
  </si>
  <si>
    <t>Önkormányzati gyermekvédelmi ágazati kiadások</t>
  </si>
  <si>
    <t>Önkormányzati gyermekvédelmi ágazati kiadások összesen</t>
  </si>
  <si>
    <t>JustNature projekt</t>
  </si>
  <si>
    <t>Sárdi-éri iparterületen megvalósuló útfejlesztéshez kapcsolódó ingatlan kisajátítás kiadásai</t>
  </si>
  <si>
    <t>Települési hulladékkezelés és köztisztasági tevékenység, síkosság mentesítés</t>
  </si>
  <si>
    <t>SPORT ÁGAZAT KIADÁSAI MINDÖSSZESEN</t>
  </si>
  <si>
    <t>Önkormányzati sport kitüntetések</t>
  </si>
  <si>
    <t>Szombathelyi Pingvinek Jégkorong Klub támogatása</t>
  </si>
  <si>
    <t>Szombathelyi  Asztalitenisz Klub támogatása - asztalitenisz csarnok éves bérleti díj finanszírozására</t>
  </si>
  <si>
    <t>Szombathelyi Vívó Akadémia Egyesület támogatása - vívócsarnok éves bérleti díj finanszírozására</t>
  </si>
  <si>
    <t>Szombathelyi Sportközpont és Sportiskola Nonprofit Kft. támogatása</t>
  </si>
  <si>
    <t>FALCO KC Kft. támogatása</t>
  </si>
  <si>
    <t>Gyermek és ifjúsági sport támogatása</t>
  </si>
  <si>
    <t>Sport ágazat kiadásai</t>
  </si>
  <si>
    <t>ELAMEN Zrt. bérleti díj</t>
  </si>
  <si>
    <t>Haladás 1919 Labdarúgó Kft. támogatása</t>
  </si>
  <si>
    <t>HVSE támogatása</t>
  </si>
  <si>
    <t xml:space="preserve">Söpte Önkormányzatának járó juttatás SZMJV önkormányzati területek után </t>
  </si>
  <si>
    <t>VASIVÍZ ZRt.- Szombathelyi Fedett Uszoda és Termálfürdő  működési támogatása</t>
  </si>
  <si>
    <t>Vármegyei hatókörű városi múzeumok feladatainak támogatása - Savaria Múzeum feladatainak támogatása</t>
  </si>
  <si>
    <t>Vármegyei hatókörű városi könyvtárak feladatainak támogatása - Berzsenyi Dániel könyvtár feladatainak támogatása</t>
  </si>
  <si>
    <t>Szombathely, Akacs M. u. 7. épület utáni bérleti díjbevétel</t>
  </si>
  <si>
    <t>Vármegyeszékhely megyei jogú városok kulturális feladatainak támogatása</t>
  </si>
  <si>
    <t>Vármegyei hatókörű városi könyvtár kistelepülési könyvtári célú kiegészítő támogatása</t>
  </si>
  <si>
    <t>Egyéb különféle működési célú bevétel</t>
  </si>
  <si>
    <t>Szent Márton kártya értékesítése</t>
  </si>
  <si>
    <t>iSi Automotive Hungary Kft. támogatása a 3H jelű autóbusz járat működtetéséhez</t>
  </si>
  <si>
    <t>Szociális Szolgáltatók Közhasznú Egyesület részére támogatás (rászorulók karácsonyi ajándékozása)</t>
  </si>
  <si>
    <t>Alpokalja Nagycsaládos Egyesület Szombathely részére támogatás</t>
  </si>
  <si>
    <t xml:space="preserve">Polgármesteri Hivatal épület felújítás I. ütem - balesetveszély elhárítása </t>
  </si>
  <si>
    <t>Dobó SE támogatása</t>
  </si>
  <si>
    <t>Tartalék - városi cégek, intézmények, szolgáltatások működésére</t>
  </si>
  <si>
    <t xml:space="preserve">Derkovits Városrészért Kulturális és Szociális Egyesület </t>
  </si>
  <si>
    <t>Közlekedési infrastruktúra fejlesztése, fenntartása</t>
  </si>
  <si>
    <t>Önkormányzat működéséhez kapcsolódó, jogszabályon alapuló kiadások, egyéb kiadások</t>
  </si>
  <si>
    <t>Tartalék - a városi kistelepülési célú könyvtárakat megillető kiegészítő állami támogatás - kötött felhasználású támogatás a Berzsenyi D. könyvtár részére</t>
  </si>
  <si>
    <t xml:space="preserve">Tartalék - kulturális intézményekben és cégekben foglalkoztatottak jogszabály szerinti bérjellegű kiadásaira kapott állami támogatás tartaléka </t>
  </si>
  <si>
    <t>Bölcsődék karbantartási kiadásai, játszótéri eszközök beszerzése, cseréje</t>
  </si>
  <si>
    <t>Egyéb finanszírozási célú bevétel a 2026. évi költségvetési támogatási előleghez</t>
  </si>
  <si>
    <t>Egyéb finanszírozási célú kiadás - 2026.évi költségvetési támogatási előleg</t>
  </si>
  <si>
    <t>Települési önkormányzatok kulturális feladatainak bérjellegű támogatása (682/2021.(XII.6.) korm.rend.szerinti 20% és minimálbér és garantált bérminimum emelés)</t>
  </si>
  <si>
    <t>Pénzügyi megállapodás a MÁV Személyszállítási Zrt-vel - törlesztő részlet</t>
  </si>
  <si>
    <t>Versenyképes Járások Program</t>
  </si>
  <si>
    <t>Fogyatékossággal Élőket és Hajléktalanokat Ellátó Közhasznú Nkft. támogatása</t>
  </si>
  <si>
    <t>Fogyatékossággal Élőket és Hajléktalanokat Ellátó Közhasznú Nkft. támogatása (célja: tüzifa vásárlás)</t>
  </si>
  <si>
    <t>Szombathelyi Parkfenntartó Intézmény</t>
  </si>
  <si>
    <t>2025. évi helyi iparűzési adóbevétel többlete alapján meghatározott fizetési kötelezettség visszatérítése</t>
  </si>
  <si>
    <t>Támogatások elszámolása államháztartáson belülről</t>
  </si>
  <si>
    <t>Energiaügyi Minisztérium - "Zöld óvoda" program támogatás</t>
  </si>
  <si>
    <t>INTERREG VI-A AT-HU 0200115  program - Közös drogprevenció képzési program és megvalósítása az osztrák-magyar határtérségben</t>
  </si>
  <si>
    <t xml:space="preserve">Szombathelyi Fedett Uszoda és Termálfürdő fejlesztése és fenntartása </t>
  </si>
  <si>
    <t>Településképi bírság</t>
  </si>
  <si>
    <t>Prenor Kft. bérleti díj megtérítése 2024. évre</t>
  </si>
  <si>
    <t>Hulladékgazdálkodási feladatok ellátásához kapcsolódó önkormányatot megillető pénzügyi juttatás (MOHU-tól)</t>
  </si>
  <si>
    <t>Önkormányzat - lekötött Önkormányzati Magyar Államkötvény után</t>
  </si>
  <si>
    <t>Bloomsday fesztivál támogatása</t>
  </si>
  <si>
    <t>Alpok Energia Kereskedelmi és Szolgáltató kft.támogatása</t>
  </si>
  <si>
    <t>Vasutas Települések Szövetsége támogatás</t>
  </si>
  <si>
    <t xml:space="preserve">Szombathelyi Zsidó Hitközségtől kapott támogatás </t>
  </si>
  <si>
    <t>Interreg CE Program - Green LaMiS projekt - ERFA támogatás</t>
  </si>
  <si>
    <t>EUI (Európai Települési Kezdeményezés) Peer Review projekt</t>
  </si>
  <si>
    <t>Interreg Austria-Hungary NextRegion projekt - támogatás</t>
  </si>
  <si>
    <t>TOP Plusz-3.2.1-23-SH1-2025-00001 Közösségfejlesztés Szombathelyen</t>
  </si>
  <si>
    <t>TOP Plusz-3.2.1-23-SH1-2025-00003 Identitáserősítő folyamatok támogatása, programok megvalósítása</t>
  </si>
  <si>
    <t>TOP Plusz-3.2.1-23-SH1-2025-00002 Helyi humán fejlesztéseket célzó programok megvalósítása</t>
  </si>
  <si>
    <t>Savaria Szimfónikus Zenekar</t>
  </si>
  <si>
    <t>Energiaügyi Minisztérium "Zöld óvoda" program támogatás (Mocorgó Óvoda)</t>
  </si>
  <si>
    <t>Települési önkormányzatok kulturális feladatainak bérjellegű támogatása a 682/2021. (XII.6.) korm.rend.-hez kapcsolódó 20% -  központi támogatás</t>
  </si>
  <si>
    <t xml:space="preserve">Közösségi Bérlakás Rendszert népszerűsítő kampány                            </t>
  </si>
  <si>
    <t>Megállapodás alapján helyközi autóbuszjáratok helyi tarifával történő igénybevétele-Szombathely, Petőfi telep</t>
  </si>
  <si>
    <t>Pénzügyi megállapodás a MÁV Személyszállítási Zrt-vel - járulékos kiadások</t>
  </si>
  <si>
    <t xml:space="preserve">Helyi iparűzési adóbevétel többlete alapján meghatározott fizetési kötelezettség </t>
  </si>
  <si>
    <t>Önkormányzati Magyar Államkötvény vásárlása - névértéken kívüli felhalmozott kamat</t>
  </si>
  <si>
    <t xml:space="preserve">Apáczai Csere János Alapítvány támogatása </t>
  </si>
  <si>
    <t>Pénzeszköz átadás a Nyugat-dunántúli Vízügyi Igazgatóság részére  - Pap árok mederrendezés</t>
  </si>
  <si>
    <t>TOP Plusz 1.3.1.-00001 Fenntartható városfejlesztés - hozzájárulás</t>
  </si>
  <si>
    <t>INTERREG VI-A AT-HU program - Közös drogprevenciós képzési program kialakítása és megvalósítása az osztrák-magyar határtérségben  - támogatás és hozzájárulás</t>
  </si>
  <si>
    <t>Interreg Austria-Hungary NextRegion projekt hozzájárulás</t>
  </si>
  <si>
    <t>NetZeroCities Tanulóvárosi projekt</t>
  </si>
  <si>
    <t>Hulladékkezelési díj</t>
  </si>
  <si>
    <t xml:space="preserve">Parkoló kialakítása </t>
  </si>
  <si>
    <t>TOP – PLUSZ -3.4.1-23-SH1-2024-00003 – Bölcsődék fejlesztése Szombathelyen</t>
  </si>
  <si>
    <t>TOP – PLUSZ -3.4.1-23-SH1-2024-00006 – Gyermekjóléti és szociális alapszolgáltatások fejlesztése</t>
  </si>
  <si>
    <t>TOP – PLUSZ -3.4.1-23-SH1-2024-00005 – Óvoda fejlesztések Szombathelyen</t>
  </si>
  <si>
    <t>TOP – PLUSZ -3.4.1-23-SH1-2024-00004 – Szociális alapszolgáltatások minőségi fejlesztése</t>
  </si>
  <si>
    <t>TOP – PLUSZ -3.4.1-23-SH1-2024-00001 – Szociális alapszolgáltatások fejlesztése</t>
  </si>
  <si>
    <t>TOP – PLUSZ -3.4.1-23-SH1-2024-00002 – Egészségügyi alapellátás fejlesztése</t>
  </si>
  <si>
    <t>TOP – PLUSZ -6.2.1-23-SH1-2024-00001 – Sárdi-éri iparterület fejlesztése, kivezető út építése</t>
  </si>
  <si>
    <t>TOP – PLUSZ -1.3.2-23-SH1-2025-00001 – Parkolási infrastruktúra- és zöldfejlesztés a Derkovits városrészen</t>
  </si>
  <si>
    <t>TOP – PLUSZ -1.3.2-23-SH1-2025-00007 - Zöldfelületfejlesztés Szombathelyen</t>
  </si>
  <si>
    <t>TOP – PLUSZ -1.3.2-23-SH1-2025-00004 – Hunyadi út felújítása Szombathelyen I.ütem</t>
  </si>
  <si>
    <t>TOP – PLUSZ -1.3.2-23-SH1-2025-00005 - Kodály Z. u. felújítása Szombathelyen</t>
  </si>
  <si>
    <t>TOP – PLUSZ -1.3.2-23-SH1-2025-00012 –Belterületi úthálózat fejlesztése</t>
  </si>
  <si>
    <t>TOP – PLUSZ -1.3.2-23-SH1-2025-00002 – Kerékpárosbarát fejlesztések a déli városrészen</t>
  </si>
  <si>
    <t>TOP – PLUSZ -1.3.2-23-SH1-2025-00013 – Közúti infrastruktúra fejlesztése</t>
  </si>
  <si>
    <t>TOP – PLUSZ -1.3.2-23-SH1-2025-00009 - Belterületi utak fejlesztése Szombathelyen</t>
  </si>
  <si>
    <t>TOP – PLUSZ -1.3.2-23-SH1-2025-00003 - Kerékpárosbarát fejlesztések Szombathelyen</t>
  </si>
  <si>
    <t>TOP – PLUSZ -1.3.2-23-SH1-2025-00006 - Belterületi útfelújítások</t>
  </si>
  <si>
    <t>TOP – PLUSZ -1.3.2-23-SH1-2025-00010 – Belterületi utak korszerűsítése</t>
  </si>
  <si>
    <t>TOP – PLUSZ -1.3.2-23-SH1-2025-00011 –Markusovszky L. u. felújítása</t>
  </si>
  <si>
    <t>TOP – PLUSZ -1.3.2-23-SH1-2025-00014 - Bartók B.krt. híd felújítása</t>
  </si>
  <si>
    <t>TOP – PLUSZ -1.3.2-23-SH1-2025-00008 –Hunyadi utca felújítása Szombathelyen II.ütem</t>
  </si>
  <si>
    <t>Haladás 1919 Kft. üzletrész értékesítés</t>
  </si>
  <si>
    <t>Önkormányzati szociális bérlakás értékesítés</t>
  </si>
  <si>
    <t>Felhalmozáci célú pénzeszköz átvétel az MVM Zrt-től a Kálvária utca közműkivigtelezés utáni helyreállítás céljából megállapodás alapján</t>
  </si>
  <si>
    <t>Széll K. u. 51. sz. térfigyelő kamera telepítéséhez társasházak hozzájárulása</t>
  </si>
  <si>
    <t>Polgármesteri Hivatal épület felújítás I. ütem - balesetveszély elhárítása - fordított áfa kiadás</t>
  </si>
  <si>
    <t>Zanati városrész útjainak felújításához (Áfonya u., Eper u., Korpás u., Fenyő u.) terület vásárlás, járda felújítás, csapadékvíz szikkasztó medence átalakítása, vízjogi és üzemeltetési engedélyek stb. - fordított áfa kiadás</t>
  </si>
  <si>
    <t>Széll K. u. 51. sz. térfigyelő kamera telepítése</t>
  </si>
  <si>
    <t>Térfigyelő kamerarendszer tárhely bővítés</t>
  </si>
  <si>
    <t xml:space="preserve">Tartalék - önkormányzati szociális bérlakás értékesítéséből származó bevételből </t>
  </si>
  <si>
    <t>Tartalék a 2026. évi költségvetéshez</t>
  </si>
  <si>
    <t>Egyéb finanszírozási célú kiadás - Önkormányzati Magyar Államkötvény vásárlása</t>
  </si>
  <si>
    <t>Egyéb finanszírozási célú bevétel - Önkormányzati Magyar Államkötvény visszaváltása</t>
  </si>
  <si>
    <t xml:space="preserve">Polgármesteri Hivatal épület felújítás II. ütem </t>
  </si>
  <si>
    <t>JustNature projekt - szenzor állomások működtetése (időjárás állomások üzemeltetése)</t>
  </si>
  <si>
    <t xml:space="preserve">TARTALÉK - projekt önerő - Interreg DANUBE program - DanubesChillCities pályázat </t>
  </si>
  <si>
    <t xml:space="preserve">TARTALÉK - projekt önerő - Interreg Central Europe SUNFLOWER projekt </t>
  </si>
  <si>
    <t>Választási kiadások</t>
  </si>
  <si>
    <t>Forgalomszámláló szenzorok üzemeltetése</t>
  </si>
  <si>
    <t xml:space="preserve">Forgalomszámláló szenzorok beszerzése </t>
  </si>
  <si>
    <t xml:space="preserve">éves hídvizsgálat alapján híd javítás, felújítás </t>
  </si>
  <si>
    <t>2025. évi helyi iparűzési adóbevétel többletéből központilag vissza kapott támogatás</t>
  </si>
  <si>
    <t>Vízkészlet használati járulék</t>
  </si>
  <si>
    <t>Önkormányzati és intézményi informatikai fejlesztések</t>
  </si>
  <si>
    <t>Projektek, TOP projektek - önerő, hozzájárulás, előkészítés, egyéb beruházási feladatok</t>
  </si>
  <si>
    <t xml:space="preserve">Szombathelyi Szabadidősport Szövetség támogatása </t>
  </si>
  <si>
    <t>Zárt csapadék csatorna fenntartása, mosatása</t>
  </si>
  <si>
    <t>Vas Vármegye és Szombathely Megyei Jogú Város Nyugdíjas Szövetsége támogatása</t>
  </si>
  <si>
    <t>Tulajdonosi bevételek</t>
  </si>
  <si>
    <t>Herényi Kulturális és Sportegyesület - Alkotótábor megrendezése</t>
  </si>
  <si>
    <t>Tartalék - Felsőcsatári gyerektábor tervezési költségeire</t>
  </si>
  <si>
    <t>Működési célú maradvány (intézményekhez kapcsolódóan)</t>
  </si>
  <si>
    <t>Kulturális 15%-os illetmény emeléshez normatív támogatás - kulturális intézmények</t>
  </si>
  <si>
    <t>Kulturális 15%-os illetmény emeléshez normatív támogatás - kulturális gazdasági társaságok</t>
  </si>
  <si>
    <t>Tartalék - kulturális gazdasági társaságok 15%-os béremelésének tartaléka</t>
  </si>
  <si>
    <t>Táncverseny</t>
  </si>
  <si>
    <t xml:space="preserve">Munkáltató kölcsön </t>
  </si>
  <si>
    <r>
      <t>Weöres Sándor Színház Nkft.</t>
    </r>
    <r>
      <rPr>
        <b/>
        <i/>
        <sz val="16"/>
        <rFont val="Calibri"/>
        <family val="2"/>
        <charset val="238"/>
        <scheme val="minor"/>
      </rPr>
      <t xml:space="preserve"> önkormányzati támogatása</t>
    </r>
  </si>
  <si>
    <r>
      <t xml:space="preserve">Önkormányzati fenntartású Weöres Sándor Színház Nkft. </t>
    </r>
    <r>
      <rPr>
        <i/>
        <sz val="16"/>
        <rFont val="Calibri"/>
        <family val="2"/>
        <charset val="238"/>
        <scheme val="minor"/>
      </rPr>
      <t>közös működtetési támogatása</t>
    </r>
  </si>
  <si>
    <t xml:space="preserve">Szombathelyi Egészségügyi és Kulturális Intézmények GESZ </t>
  </si>
  <si>
    <t>Egyéb működési bevételek</t>
  </si>
  <si>
    <t>2026. évi I.sz.</t>
  </si>
  <si>
    <t xml:space="preserve">Javasolt </t>
  </si>
  <si>
    <t>módosítás</t>
  </si>
  <si>
    <t>teljesítés</t>
  </si>
  <si>
    <t>Szombathelyi Köznevelési GAMESZ</t>
  </si>
  <si>
    <t>Kálvária utca közműkivitelezés utáni helyreállítása megállapodás alapján</t>
  </si>
  <si>
    <t>TOP – PLUSZ -6.2.1-23-SH1-2024-00001 – Sárdi-éri iparterület fejlesztése, kivezető út építése - hozzájárulás</t>
  </si>
  <si>
    <t>Központi támogatás elszámolása alapján</t>
  </si>
  <si>
    <t>TOP – PLUSZ -1.3.2-23-SH1-2025-00001 – Parkolási infrastruktúra- és zöldfejlesztés a Derkovits városrészen - hozzájárulás</t>
  </si>
  <si>
    <t>TOP – PLUSZ -1.3.2-23-SH1-2025-00012 –Belterületi úthálózat fejlesztése - hozzájárulás</t>
  </si>
  <si>
    <t xml:space="preserve">Járási igényeket kiszolgáló közösségi közlekedés fejlesztése és fenntartása </t>
  </si>
  <si>
    <t xml:space="preserve">Minőségi közétkeztetés biztosítása a járásban élő, szombathelyi köznevelési intézményekben ellátott gyermekek részére </t>
  </si>
  <si>
    <t xml:space="preserve">Laborjárat és a betegirányító, diszpécser „szolgáltatás” működtetési költségeinek finanszírozása </t>
  </si>
  <si>
    <t xml:space="preserve">Felsőcsatári gyerektábor tervezési költségeinek finanszírozása </t>
  </si>
  <si>
    <t>2025. évi helyi iparűzési adóbevétel többlet elszámolásával kapcsolatos visszatérítés</t>
  </si>
  <si>
    <t>Interreg CE Program - Green LaMiS projekt - hozzájárulás</t>
  </si>
  <si>
    <t>AGORA Savaria Kulturális és Médiaközpont Nkft. Támogatása összesen</t>
  </si>
  <si>
    <t>Kulturális gazdasági társaságokban foglalkoztatottak 15%-os béremelésének központi támogatása</t>
  </si>
  <si>
    <r>
      <t xml:space="preserve">AGORA Savaria Kulturális és Médiaközpont Nkft.  </t>
    </r>
    <r>
      <rPr>
        <b/>
        <i/>
        <sz val="16"/>
        <rFont val="Calibri"/>
        <family val="2"/>
        <charset val="238"/>
        <scheme val="minor"/>
      </rPr>
      <t>önkormányzai támogatása</t>
    </r>
  </si>
  <si>
    <t>Környezetvédelmi kiadások összesen</t>
  </si>
  <si>
    <t>Elektromos gépjármű töltőberendezések üzemeltetése</t>
  </si>
  <si>
    <t>Kiegészítő szociális ágazati pótlék</t>
  </si>
  <si>
    <t>Otthontámogatás</t>
  </si>
  <si>
    <t>KOMMUNÁLIS, VÁROSÜZEMELTETÉSI ÉS KÖRNYEZETVÉDELMI MŰKÖDÉSI KIADÁSOK MINDÖSSZESEN</t>
  </si>
  <si>
    <t>FÉHE Nkft-től a Green LaMiS projekthez</t>
  </si>
  <si>
    <t>2024 évi beszámolóhoz kapcsolódó kamat visszautalása Magyar Államkincstártól</t>
  </si>
  <si>
    <t>Elektromos töltőállomás bérleti díja</t>
  </si>
  <si>
    <t>Micimackó Óvoda inverter beszerzés</t>
  </si>
  <si>
    <t>Újperint SE támogatás</t>
  </si>
  <si>
    <t>Polgármesteri Hivatal épület felújítás II. ütem - fordított áfa kiadás</t>
  </si>
  <si>
    <t>OTP Bank Nyrt támogatása - vis maior védekezési költségekhez</t>
  </si>
  <si>
    <t>Vis maior védekezési költségek</t>
  </si>
  <si>
    <t>TOP – PLUSZ -1.3.2-23-SH1-2025-00008 –Hunyadi utca felújítása Szombathelyen II.ütem - hozzájárulás</t>
  </si>
  <si>
    <t>Szombathelyi Fő tér - fásítási tervek készítése</t>
  </si>
  <si>
    <t>Illés Akadémia - híd felújítás</t>
  </si>
  <si>
    <t>2026. évi II.sz.</t>
  </si>
  <si>
    <t xml:space="preserve">2026. évi II. sz. módosított bevételei  kiemelt előirányzatonként </t>
  </si>
  <si>
    <t>LIFE2025 Super GREENBlocks  - "Az integrált zöld átállás előmozdítása városi területeken" projekt</t>
  </si>
  <si>
    <t>Interreg Austria-Hungary NextRegion projekt támogatás és hozzájárulás</t>
  </si>
  <si>
    <t>EUI03-195 "EffiComfort" projekt támogatás és hozzájárulás</t>
  </si>
  <si>
    <t>Savaria Városfejlesztési Nonprofit Kft. támogatása - tagi kölcsön visszatérülés</t>
  </si>
  <si>
    <t>Savaria Városfejlesztési Nonprofit Kft. - pótbefizetés</t>
  </si>
  <si>
    <t>Vis maior védekezési költségek - fordított áfa kiadás</t>
  </si>
  <si>
    <t>Állami és önkormányzati adatbázisok használati, továbbvezetési, karbantartási és szolgáltatási díja - fordított áfa kiadás</t>
  </si>
  <si>
    <t>INTERREG VI-A AT-HU-0200224 program - Közös drogprevenciós képzési program kialakítása és megvalósítása az osztrák-magyar határtérségben  - támogatás és hozzájárulás</t>
  </si>
  <si>
    <t>Közgyűlési döntés alapján ingatlanok növényzetére vonatkozó eljárás rend szerinti bevétel</t>
  </si>
  <si>
    <t>Aranyhíd EGYMI - fejlesztő játszótéri eszközök felújításához nyújtott támogatás</t>
  </si>
  <si>
    <t>Aranyhíd EGYMI fejlesztő játszótéri eszközök felújításához adott támogatás</t>
  </si>
  <si>
    <t>TOP – PLUSZ -3.4.1-23-SH1-2024-00003 – Bölcsődék fejlesztése Szombathelyen - hozzájárulás</t>
  </si>
  <si>
    <t>TOP – PLUSZ -3.4.1-23-SH1-2024-00005 – Óvoda fejlesztések Szombathelyen - hozzájárulás</t>
  </si>
  <si>
    <t>TOP – PLUSZ -3.4.1-23-SH1-2024-00004 – Szociális alapszolgáltatások minőségi fejlesztése - hozzájárulás</t>
  </si>
  <si>
    <t>TOP – PLUSZ -6.5.1-15-SH1-2016-00003 – Neumann János Általános Iskola felújítása - hozzájárulás</t>
  </si>
  <si>
    <t>Barátság u. 22. (idősek otthona) tetőszerkezet javítása</t>
  </si>
  <si>
    <t>HÁROFIT Közhasznú Egyesület - kirándulás költségeinek támogatása</t>
  </si>
  <si>
    <t>Szalézi Rendház Szombathely támogatása (nyári napközis, ifjúsági tábor)</t>
  </si>
  <si>
    <t>Szent Kvirin Szalézi Plébánia nyári ifjúsági napközis tábor - étkeztetési költségének támogatása</t>
  </si>
  <si>
    <t>HÁROFIT Közhasznú Egyesület - iskolakezdési támogatás nyújtása</t>
  </si>
  <si>
    <t>Interreg CE Program - Green LaMiS projekt támogatás és hozzájárulás</t>
  </si>
  <si>
    <t>Prenor Kft. bérleti díj megtérítése 2025. évre</t>
  </si>
  <si>
    <t xml:space="preserve">EUI03-195 "EffiComfort" projekt </t>
  </si>
  <si>
    <t>Azbeszttel szennyezett területek mentesítésére, védelmi költségeire kapott központi támogatás</t>
  </si>
  <si>
    <t xml:space="preserve">Azbeszttel szennyezett területek mentesítése, védekezési költségei </t>
  </si>
  <si>
    <t>Forgalomszámláló szenzorok beszerzése - fordított áfa kiadás</t>
  </si>
  <si>
    <t>,</t>
  </si>
  <si>
    <t>Szent Gellért utca felújításának előkészítési feladatai</t>
  </si>
  <si>
    <t xml:space="preserve">2026. évi  II. sz. módosított kiadásai kiemelt előirányzatonként </t>
  </si>
  <si>
    <t>Nemzeti Tudósképző Akadémia támogatása</t>
  </si>
  <si>
    <t>Szombathely Megyei Jogú Város Önkormányzata 2026. évi II. sz. módosított előirányzat felhasználási terve</t>
  </si>
  <si>
    <t>Szombathely Megyei  Jogú Város Önkormányzata 2026. évi II. sz. módosított előirányzat felhasználási terve</t>
  </si>
  <si>
    <t>Költségvetési szervek 2026. évi kiadásai</t>
  </si>
  <si>
    <t>I N T É Z M É N Y</t>
  </si>
  <si>
    <t>Beruházás</t>
  </si>
  <si>
    <t>Felújítás</t>
  </si>
  <si>
    <t>Költségvetési kiadások összesen</t>
  </si>
  <si>
    <t>2026.</t>
  </si>
  <si>
    <t>2026. évi I. sz. módosított előirányzat</t>
  </si>
  <si>
    <t>Javasolt módosítás</t>
  </si>
  <si>
    <t>2026. évi II. sz. módosított előirányzat</t>
  </si>
  <si>
    <t>Ó v o d á k</t>
  </si>
  <si>
    <t>Aréna Óvoda</t>
  </si>
  <si>
    <t>Barátság  Óvoda</t>
  </si>
  <si>
    <t xml:space="preserve">Pipitér Óvoda </t>
  </si>
  <si>
    <t xml:space="preserve">Hétszínvirág Óvoda </t>
  </si>
  <si>
    <t xml:space="preserve">Szivárvány Óvoda </t>
  </si>
  <si>
    <t xml:space="preserve">Donászy Magda Óvoda </t>
  </si>
  <si>
    <t xml:space="preserve">Mesevár Ovoda </t>
  </si>
  <si>
    <t xml:space="preserve">Játéksziget  Óvoda </t>
  </si>
  <si>
    <t>Kőrösi Csoma Sándor Utcai Óvoda</t>
  </si>
  <si>
    <t xml:space="preserve">Gazdag Erzsi Óvoda  </t>
  </si>
  <si>
    <t>Maros  Óvoda</t>
  </si>
  <si>
    <t>Vadvirág Óvoda</t>
  </si>
  <si>
    <t xml:space="preserve">Margaréta Óvoda  </t>
  </si>
  <si>
    <t>Napsugár  Óvoda</t>
  </si>
  <si>
    <t>Szűrcsapó Óvoda</t>
  </si>
  <si>
    <t xml:space="preserve">Mocorgó Óvoda </t>
  </si>
  <si>
    <t>Benczúr Gyula Utcai Óvoda</t>
  </si>
  <si>
    <t xml:space="preserve">Weöres Sándor  Óvoda </t>
  </si>
  <si>
    <t>Óvodák  összesen</t>
  </si>
  <si>
    <t>Oktatási intézmények összesen</t>
  </si>
  <si>
    <t>Nem oktatási intézmények</t>
  </si>
  <si>
    <t>Kulturális intézmények</t>
  </si>
  <si>
    <t>Savaria Szimfonikus Zenekar</t>
  </si>
  <si>
    <t>Berzsenyi Dániel Könyvtár</t>
  </si>
  <si>
    <t xml:space="preserve">Összesen                             </t>
  </si>
  <si>
    <t>Szociális intézmény</t>
  </si>
  <si>
    <t>Szociális intézmények</t>
  </si>
  <si>
    <t>Egészségügyi intézmény</t>
  </si>
  <si>
    <t>Szombathelyi Egészségügyi és Kulturális GESZ</t>
  </si>
  <si>
    <t>Gyermekvédelmi intézmény</t>
  </si>
  <si>
    <t>Egyéb intézmények</t>
  </si>
  <si>
    <t>Egyéb intézmény</t>
  </si>
  <si>
    <t xml:space="preserve">Összesen                                 </t>
  </si>
  <si>
    <t>Nem oktatási intézmények összesen</t>
  </si>
  <si>
    <t>Intézmények mindösszesen</t>
  </si>
  <si>
    <t>Költségvetési szervek 2026. évi bevételei</t>
  </si>
  <si>
    <t xml:space="preserve">I N T É Z M É N Y                               </t>
  </si>
  <si>
    <t>Működési célú átvett  pénzeszközök</t>
  </si>
  <si>
    <t>Saját bevételek összesen</t>
  </si>
  <si>
    <t>Előző év költségvetési maradványának igénybevétele</t>
  </si>
  <si>
    <t xml:space="preserve">Központi irányítószervtől kapott támogatás </t>
  </si>
  <si>
    <t xml:space="preserve">     Költségvetési bevételek összesen</t>
  </si>
  <si>
    <t xml:space="preserve">Mesevár Óvoda </t>
  </si>
  <si>
    <t>Szombathely Megyei Jogú Város Önkormányzatának</t>
  </si>
  <si>
    <t>2026. évi  engedélyezett létszámelőirányzata</t>
  </si>
  <si>
    <t>fő</t>
  </si>
  <si>
    <t>Intézmény</t>
  </si>
  <si>
    <t>2026. évi II. sz. módosított előirányzat funkciócsoportokba sorolt létszám megoszlása bérrendszerek szerint</t>
  </si>
  <si>
    <t>2025. évi záró előirányzat</t>
  </si>
  <si>
    <t>2026. évi eredeti előirányzat</t>
  </si>
  <si>
    <t>Köztisztviselők</t>
  </si>
  <si>
    <t>Egészségügyi szolgálati jogviszonyban foglalkoztatottak</t>
  </si>
  <si>
    <t>Közalkalmazottak</t>
  </si>
  <si>
    <t>Pedagógus életpálya alapján foglalkoztatottak</t>
  </si>
  <si>
    <t>Munka Törvénykönyve hatálya alá tartozók</t>
  </si>
  <si>
    <t>Választott tisztségviselők</t>
  </si>
  <si>
    <t>ebből: közfoglalkoztatottak</t>
  </si>
  <si>
    <t>Ó v o d á k :</t>
  </si>
  <si>
    <t>Kőrösi Csoma Sándor utcai Óvoda</t>
  </si>
  <si>
    <t>Óvodák  összesen:</t>
  </si>
  <si>
    <t xml:space="preserve">Oktatási intézmények összesen:                                       </t>
  </si>
  <si>
    <t>Nem oktatási intézmények:</t>
  </si>
  <si>
    <t>Kulturális intézmény</t>
  </si>
  <si>
    <t xml:space="preserve">Összesen:                                       </t>
  </si>
  <si>
    <t xml:space="preserve">Összesen                                       </t>
  </si>
  <si>
    <t>Szombathely Megyei Jogú Város Önkormányzata általános működésének és ágazati feladatainak támogatása</t>
  </si>
  <si>
    <t>és a helyi önkormányzatok kiegészítő támogatásai</t>
  </si>
  <si>
    <t>ezer Forinban</t>
  </si>
  <si>
    <t>Önkormányzat általános működésének és ágazati feladatainak támogatása (Költségvetési törvény 2. melléklet)</t>
  </si>
  <si>
    <t>2025. év  teljesítés</t>
  </si>
  <si>
    <t xml:space="preserve">2026. év  eredeti előirányzat </t>
  </si>
  <si>
    <t xml:space="preserve">2026. év  I. sz. módosított előirányzat </t>
  </si>
  <si>
    <t xml:space="preserve">javasolt módosítás                 </t>
  </si>
  <si>
    <t xml:space="preserve">2026. év  II. sz. módosított előirányzat </t>
  </si>
  <si>
    <t>1.1. TELEPÜLÉSI ÖNKORMÁNYZATOK MŰKÖDÉSÉNEK ÁLTALÁNOS TÁMOGATÁSA</t>
  </si>
  <si>
    <t>1.1.1. Önkormányzati hivatal működésének támogatása</t>
  </si>
  <si>
    <t>1.1.2. Településüzemeltetés - zöldterület gazdálkodás támogatása</t>
  </si>
  <si>
    <t>1.1.3. Településüzemeltetés - közvilágítás támogatása</t>
  </si>
  <si>
    <t>1.1.4. Településüzemeltetés - köztemető támogatása</t>
  </si>
  <si>
    <t>1.1.5. Településüzemeltetés - közutak támogatása</t>
  </si>
  <si>
    <t>1.1.6. Egyéb önkormányzati feladatok támogatása</t>
  </si>
  <si>
    <t>1.1.7. Lakott külterülettel kapcsolatos feladatok támogatása</t>
  </si>
  <si>
    <t>1.1.8. Nem közművel összegyűjtött háztartási szennyvíz ártalmatlanítása</t>
  </si>
  <si>
    <t>A HELYI ÖNKORMÁNYZATOK MŰKÖDÉSÉNEK ÁLTALÁNOS TÁMOGATÁSA ÖSSZESEN</t>
  </si>
  <si>
    <t>1.2. A TELEPÜLÉSI ÖNKORMÁNYZATOK EGYES KÖZNEVELÉSI FELADATAINAK TÁMOGATÁSA</t>
  </si>
  <si>
    <t>1.2.1. Óvodaműködtetési támogatás</t>
  </si>
  <si>
    <t>1.2.1.1. Óvoda működtetési támogatás - Óvoda napi nyitvatartási ideje eléri a 8 órát</t>
  </si>
  <si>
    <t>1.2.2. Az óvodában foglalkoztatott pedagógusok átlagbéralapú támogatása</t>
  </si>
  <si>
    <t>1.2.2.1 Pedagógusok átlagbéralapú támogatása</t>
  </si>
  <si>
    <t>1.2.3. Kiegészítő támogatás a pedagógusok és a pedagógus szakképzettséggel rendelkező segítők  minosítésébol adódó többletkiadásaihoz</t>
  </si>
  <si>
    <t>1.2.3.1. Napi 8 órát elérő nyitvatartási idővel rendelkező óvodában foglalkoztatott</t>
  </si>
  <si>
    <t>1.2.3.1.1.Alapfokozatú végzettségű</t>
  </si>
  <si>
    <t>1.2.3.1.1.1. Pedagógus II.kategóriába sorolt pedagógusok , ped.szakképzettséggel rendelkező segítők kiegészítő támogatása</t>
  </si>
  <si>
    <t xml:space="preserve">                               ebből  - óvodák</t>
  </si>
  <si>
    <t xml:space="preserve">                                          -  Egyesített Bölcsődei Intézmény</t>
  </si>
  <si>
    <t>1.2.3.1.1.2. Mesterpedagógus, kutatótanár kategóriába sorolt pedagógusok kiegészítő támogatása</t>
  </si>
  <si>
    <t>1.2.3.1.2. Mesterfokú végzettségű</t>
  </si>
  <si>
    <t>1.2.3.1.2.1. Pedagógus II.kategóriába sorolt pedagógusok , ped.szakképzettséggel rendelkező segítők kiegészítő támogatása</t>
  </si>
  <si>
    <t>1.2.3.1.2.2. Mesterpedagógus, kutatótanár kategóriába sorolt pedagógusok kiegészítő támogatása</t>
  </si>
  <si>
    <t>1.2.4. Nemzetiségi pótlék</t>
  </si>
  <si>
    <t>1.2.4.1. Napi 8 órát elérő nyitvatartási idővel rendelkező óvodában foglalkoztatott</t>
  </si>
  <si>
    <t>1.2.4.1.1.Nemzetiségi pótlékban részesülő pedagógus - pótlék felső határa</t>
  </si>
  <si>
    <t>1.2.5. Az óvodában foglalkoztatott pedagógusok nevelőmunkáját közvetlenül segítők átlagbéralapú támogatása</t>
  </si>
  <si>
    <t>1.2.5.1. Napi 8 órát elérő nyitvatartási idővel rendelkező óvodában foglalkoztatott</t>
  </si>
  <si>
    <t>1.2.5.1.1.pedagógus szakképzettséggel nem rendelkező segítők átlagbéralapú támogatása</t>
  </si>
  <si>
    <t>1.2.5.1.2.pedagógus szakképzettséggel rendelkező segítők átlagbéralapú támogatása</t>
  </si>
  <si>
    <t>1.2.7. Diabétesz ellátási pótlék</t>
  </si>
  <si>
    <t>1.2. A TELEPÜLÉSI ÖNKORMÁNYZATOK EGYES KÖZNEVELÉSI FELADATAINAK TÁMOGATÁSA ÖSSZESEN</t>
  </si>
  <si>
    <t>1.3. TELEPÜLÉSI ÖNKORMÁNYZATOK EGYES SZOCIÁLIS ÉS GYERMEKJÓLÉTI FELADATAINAK TÁMOGATÁSA</t>
  </si>
  <si>
    <t>1.3.2. Egyes szociális és gyermekjóléti feladatok támogatása</t>
  </si>
  <si>
    <t xml:space="preserve">1.3.2.1.Család- és gyermekjóléti szolgálat </t>
  </si>
  <si>
    <t>1.3.2.2.1.Család- és gyermekjóléti központ</t>
  </si>
  <si>
    <t>1.3.2.2.2.Család- és gyermekjóléti központ-óvodai és iskolai szociális segítő tevékenység támogatása</t>
  </si>
  <si>
    <t>1.3.2.3.1. Szociális étkeztetés - önálló feladat ellátás</t>
  </si>
  <si>
    <t xml:space="preserve">1.3.2.4.1. Házi segítségnyújtás- szociális segítés </t>
  </si>
  <si>
    <t>1.3.2.4.2. Házi segítségnyújtás- személyi gondozás -önálló feladatellátás</t>
  </si>
  <si>
    <t>1.3.2.6.1. Időskorúak nappali intézményi ellátása  - önálló feladat ellátás</t>
  </si>
  <si>
    <t>1.3.2.8.1. Demens személyek nappali intézményi ellátása - önálló feladat ellátás</t>
  </si>
  <si>
    <t>1.3.3. Bölcsőde, mini bölcsőde támogatása</t>
  </si>
  <si>
    <t>1.3.3.1. Bölcsődei bértámogatás</t>
  </si>
  <si>
    <t>1.3.3.1.1. Felsőfokú végzettségű kisgyermeknevelők, szaktanácsadók bértámogatása</t>
  </si>
  <si>
    <t>1.3.3.1.2. Bölcsődei dajkák, középfokú végzettségű kisgyermeknevelők, szaktanácsadók bértámogatása</t>
  </si>
  <si>
    <t>1.3.3.2. Bölcsődei üzemeltetési támogatás</t>
  </si>
  <si>
    <t>1.3.3. Bölcsőde, mini bölcsőde támogatása összesen</t>
  </si>
  <si>
    <t>1.3.4. Települési önkormányzatok által biztosított egyes szoc.szakosított ellátsok, valamint a gyermekek átmeneti gondozásával kapcsolatos feladatok támogatása</t>
  </si>
  <si>
    <t>1.3.4.1. Bértámogatás</t>
  </si>
  <si>
    <t>1.3.4.2. Intézményüzemeltetési támogatás</t>
  </si>
  <si>
    <t>1.3.4. Települési önkormányzatok által biztosított egyes szoc.szakosított ellátsok, valamint a gyermekek átmeneti gondozásával kapcsolatos feladatok támogatása összesen</t>
  </si>
  <si>
    <t>1.3. TELEPÜLÉSI ÖNKORMÁNYZATOK EGYES SZOCIÁLIS ÉS GYERMEKJÓLÉTI FELADATAINAK TÁMOGATÁSA ÖSSZESEN</t>
  </si>
  <si>
    <t>1.4. TELEPÜLÉSI ÖNKORMÁNYZATOK GYERMEKÉTKEZTETÉSI FELADATAINAK TÁMOGATÁSA</t>
  </si>
  <si>
    <t>1.4.1. Intézményi gyermekétkeztetés támogatása</t>
  </si>
  <si>
    <t>1.4.1.1. Intézményi gyermekétkeztetés - bértámogatás</t>
  </si>
  <si>
    <t xml:space="preserve">1.4.1.2. Intézményi gyermekétkeztetés - üzemeltetési támogatása </t>
  </si>
  <si>
    <t>1.4.2. Szünidei étkeztetés támogatása</t>
  </si>
  <si>
    <t>1.4. TELEPÜLÉSI ÖNKORMÁNYZATOK GYERMEKÉTKEZTETÉS FELADATAINAK TÁMOGATÁSA ÖSSZESEN</t>
  </si>
  <si>
    <t xml:space="preserve">1.5. A TELEPÜLÉSI ÖNKORMÁNYZATOK KULTURÁLIS FELADATAINAK TÁMOGATÁSA </t>
  </si>
  <si>
    <t>1.5.1. Vármegyeszékhely megyei jogú városok kulturális  feladatainak támogatása</t>
  </si>
  <si>
    <t>1.5.5. Vármegyei hatókörű városi könyvtár kistelepülési könyvtári célú kiegészítő támogatása</t>
  </si>
  <si>
    <t>1.5. A TELEPÜLÉSI ÖNKORMÁNYZATOK KULTURÁLIS FELADATAINAK TÁMOGATÁSA ÖSSZESEN</t>
  </si>
  <si>
    <t>TELEPÜLÉSI ÖNKORMÁNYZATOK ÁLTALÁNOS MŰKÖDÉSÉNEK ÉS ÁGAZATI FELADATAINAK TÁMOGATÁSA MINDÖSSZESEN</t>
  </si>
  <si>
    <t>Helyi önkormányzatok kiegészítő támogatásai (Költségvetési törvény 3. melléklet)</t>
  </si>
  <si>
    <t xml:space="preserve">2.3.2. Szociális ágazati összevont  pótlék </t>
  </si>
  <si>
    <t>Kiegészítő  szociális ágazati pótlék</t>
  </si>
  <si>
    <t>Egyes szociális és gyermekjóléti feldatok működési célú támogatása összesen</t>
  </si>
  <si>
    <t>2.4.1. Vármegyei hatókörű városi múzeumok feladatainak támogatása</t>
  </si>
  <si>
    <t>2.4.2. Vármegyei hatókörű városi  könyvtárak feladatainak támogatása</t>
  </si>
  <si>
    <t>2.4.5. Zeneművészeti szervezetek támogatása</t>
  </si>
  <si>
    <t>2.4.6.  Települési önkormányzatok kulturális feladatainak bérjellegű támogatása  (20%)</t>
  </si>
  <si>
    <t>2.4.6.Települési önkormányzatok kulturális feladatainak bérjellegű támogatása -  Kulturális inézmények és cégek 15%-os bérfejlesztéséhez támogatás</t>
  </si>
  <si>
    <t>Kulturális feladatok támogatása összesen</t>
  </si>
  <si>
    <t>A kéményseprő ipari közszolgáltatás helyi önkormányzat általi ellátásának támogatása</t>
  </si>
  <si>
    <t>Működési célú költségvetési támogatások és kiegészítő támogatások összesen</t>
  </si>
  <si>
    <t>HELYI ÖNKORMÁNYZATOK KIEGÉSZÍTŐ TÁMOGATÁSAI MINDÖSSZESEN</t>
  </si>
  <si>
    <t>KVTV. 2. ÉS 3. MELLÉKLETE SZERINTI TÁMOGATÁSOK MINDÖSSZESEN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</si>
</sst>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#,##0_ ;\-#,##0\ "/>
  </numFmts>
  <fonts count="95" x14ac:knownFonts="1">
    <font>
      <sz val="8"/>
      <name val="Times New Roman CE"/>
      <charset val="238"/>
    </font>
    <font>
      <sz val="11"/>
      <color theme="1"/>
      <name val="Calibri"/>
      <family val="2"/>
      <charset val="238"/>
      <scheme val="minor"/>
    </font>
    <font>
      <sz val="8"/>
      <name val="Times New Roman CE"/>
      <charset val="238"/>
    </font>
    <font>
      <sz val="10"/>
      <name val="Arial CE"/>
      <charset val="238"/>
    </font>
    <font>
      <sz val="12"/>
      <name val="Arial CE"/>
      <charset val="238"/>
    </font>
    <font>
      <b/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2"/>
      <color indexed="8"/>
      <name val="garamond"/>
      <family val="2"/>
      <charset val="238"/>
    </font>
    <font>
      <sz val="12"/>
      <color indexed="9"/>
      <name val="garamond"/>
      <family val="2"/>
      <charset val="238"/>
    </font>
    <font>
      <b/>
      <sz val="15"/>
      <color indexed="56"/>
      <name val="garamond"/>
      <family val="2"/>
      <charset val="238"/>
    </font>
    <font>
      <b/>
      <sz val="13"/>
      <color indexed="56"/>
      <name val="garamond"/>
      <family val="2"/>
      <charset val="238"/>
    </font>
    <font>
      <b/>
      <sz val="11"/>
      <color indexed="56"/>
      <name val="garamond"/>
      <family val="2"/>
      <charset val="238"/>
    </font>
    <font>
      <sz val="12"/>
      <color indexed="62"/>
      <name val="garamond"/>
      <family val="2"/>
      <charset val="238"/>
    </font>
    <font>
      <sz val="12"/>
      <color indexed="52"/>
      <name val="garamond"/>
      <family val="2"/>
      <charset val="238"/>
    </font>
    <font>
      <b/>
      <sz val="12"/>
      <color indexed="63"/>
      <name val="garamond"/>
      <family val="2"/>
      <charset val="238"/>
    </font>
    <font>
      <b/>
      <sz val="18"/>
      <color indexed="56"/>
      <name val="Cambria"/>
      <family val="2"/>
      <charset val="238"/>
    </font>
    <font>
      <b/>
      <sz val="12"/>
      <color indexed="8"/>
      <name val="garamond"/>
      <family val="2"/>
      <charset val="238"/>
    </font>
    <font>
      <sz val="12"/>
      <color indexed="10"/>
      <name val="garamond"/>
      <family val="2"/>
      <charset val="238"/>
    </font>
    <font>
      <sz val="11"/>
      <color indexed="8"/>
      <name val="Calibri"/>
      <family val="2"/>
    </font>
    <font>
      <sz val="10"/>
      <name val="Arial"/>
      <family val="2"/>
      <charset val="238"/>
    </font>
    <font>
      <b/>
      <sz val="20"/>
      <name val="Arial"/>
      <family val="2"/>
      <charset val="238"/>
    </font>
    <font>
      <sz val="20"/>
      <name val="Arial"/>
      <family val="2"/>
      <charset val="238"/>
    </font>
    <font>
      <b/>
      <i/>
      <sz val="20"/>
      <name val="Arial"/>
      <family val="2"/>
      <charset val="238"/>
    </font>
    <font>
      <sz val="16"/>
      <name val="Calibri"/>
      <family val="2"/>
      <charset val="238"/>
    </font>
    <font>
      <sz val="14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i/>
      <sz val="16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i/>
      <sz val="16"/>
      <name val="Calibri"/>
      <family val="2"/>
      <charset val="238"/>
      <scheme val="minor"/>
    </font>
    <font>
      <i/>
      <u/>
      <sz val="16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i/>
      <sz val="18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i/>
      <sz val="18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b/>
      <sz val="1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4"/>
      <color indexed="10"/>
      <name val="Calibri"/>
      <family val="2"/>
      <charset val="238"/>
      <scheme val="minor"/>
    </font>
    <font>
      <b/>
      <sz val="14"/>
      <color indexed="1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i/>
      <u/>
      <sz val="16"/>
      <name val="Calibri"/>
      <family val="2"/>
      <charset val="238"/>
      <scheme val="minor"/>
    </font>
    <font>
      <b/>
      <sz val="16"/>
      <color indexed="10"/>
      <name val="Calibri"/>
      <family val="2"/>
      <charset val="238"/>
      <scheme val="minor"/>
    </font>
    <font>
      <sz val="12"/>
      <name val="Times New Roman CE"/>
      <charset val="238"/>
    </font>
    <font>
      <b/>
      <sz val="24"/>
      <name val="Arial"/>
      <family val="2"/>
      <charset val="238"/>
    </font>
    <font>
      <b/>
      <sz val="20"/>
      <name val="Calibri"/>
      <family val="2"/>
      <charset val="238"/>
      <scheme val="minor"/>
    </font>
    <font>
      <sz val="20"/>
      <name val="Calibri"/>
      <family val="2"/>
      <charset val="238"/>
      <scheme val="minor"/>
    </font>
    <font>
      <b/>
      <i/>
      <sz val="20"/>
      <name val="Calibri"/>
      <family val="2"/>
      <charset val="238"/>
      <scheme val="minor"/>
    </font>
    <font>
      <i/>
      <sz val="20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b/>
      <sz val="36"/>
      <name val="Calibri"/>
      <family val="2"/>
      <charset val="238"/>
      <scheme val="minor"/>
    </font>
    <font>
      <sz val="36"/>
      <name val="Calibri"/>
      <family val="2"/>
      <charset val="238"/>
      <scheme val="minor"/>
    </font>
    <font>
      <sz val="36"/>
      <name val="Arial CE"/>
      <family val="2"/>
      <charset val="238"/>
    </font>
    <font>
      <b/>
      <sz val="36"/>
      <name val="Arial CE"/>
      <family val="2"/>
      <charset val="238"/>
    </font>
    <font>
      <b/>
      <sz val="30"/>
      <name val="Calibri"/>
      <family val="2"/>
      <charset val="238"/>
      <scheme val="minor"/>
    </font>
    <font>
      <b/>
      <i/>
      <sz val="36"/>
      <name val="Calibri"/>
      <family val="2"/>
      <charset val="238"/>
      <scheme val="minor"/>
    </font>
    <font>
      <sz val="36"/>
      <color rgb="FFFF0000"/>
      <name val="Calibri"/>
      <family val="2"/>
      <charset val="238"/>
      <scheme val="minor"/>
    </font>
    <font>
      <sz val="28"/>
      <color indexed="10"/>
      <name val="Calibri"/>
      <family val="2"/>
      <charset val="238"/>
      <scheme val="minor"/>
    </font>
    <font>
      <b/>
      <sz val="36"/>
      <name val="Arial CE"/>
      <charset val="238"/>
    </font>
    <font>
      <b/>
      <sz val="28"/>
      <name val="Arial CE"/>
      <charset val="238"/>
    </font>
    <font>
      <b/>
      <sz val="26"/>
      <name val="Arial CE"/>
      <family val="2"/>
      <charset val="238"/>
    </font>
    <font>
      <b/>
      <sz val="26"/>
      <name val="Calibri"/>
      <family val="2"/>
      <charset val="238"/>
      <scheme val="minor"/>
    </font>
    <font>
      <b/>
      <sz val="14"/>
      <name val="Arial CE"/>
      <family val="2"/>
      <charset val="238"/>
    </font>
    <font>
      <b/>
      <u/>
      <sz val="26"/>
      <name val="Calibri"/>
      <family val="2"/>
      <charset val="238"/>
      <scheme val="minor"/>
    </font>
    <font>
      <b/>
      <sz val="16"/>
      <name val="Arial CE"/>
      <family val="2"/>
      <charset val="238"/>
    </font>
    <font>
      <sz val="26"/>
      <name val="Calibri"/>
      <family val="2"/>
      <charset val="238"/>
      <scheme val="minor"/>
    </font>
    <font>
      <sz val="28"/>
      <name val="Calibri"/>
      <family val="2"/>
      <charset val="238"/>
      <scheme val="minor"/>
    </font>
    <font>
      <b/>
      <sz val="28"/>
      <name val="Calibri"/>
      <family val="2"/>
      <charset val="238"/>
      <scheme val="minor"/>
    </font>
    <font>
      <b/>
      <u/>
      <sz val="28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b/>
      <sz val="20"/>
      <color indexed="8"/>
      <name val="Arial"/>
      <family val="2"/>
      <charset val="238"/>
    </font>
    <font>
      <sz val="16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b/>
      <sz val="22"/>
      <color theme="1"/>
      <name val="Arial"/>
      <family val="2"/>
      <charset val="238"/>
    </font>
    <font>
      <sz val="20"/>
      <color theme="1"/>
      <name val="Arial"/>
      <family val="2"/>
      <charset val="238"/>
    </font>
    <font>
      <sz val="24"/>
      <color theme="1"/>
      <name val="Arial"/>
      <family val="2"/>
      <charset val="238"/>
    </font>
    <font>
      <b/>
      <sz val="26"/>
      <color theme="1"/>
      <name val="Arial"/>
      <family val="2"/>
      <charset val="238"/>
    </font>
    <font>
      <b/>
      <sz val="26"/>
      <name val="Arial"/>
      <family val="2"/>
      <charset val="238"/>
    </font>
    <font>
      <b/>
      <sz val="24"/>
      <color theme="1"/>
      <name val="Arial"/>
      <family val="2"/>
      <charset val="238"/>
    </font>
    <font>
      <b/>
      <sz val="24"/>
      <color indexed="8"/>
      <name val="Arial"/>
      <family val="2"/>
      <charset val="238"/>
    </font>
    <font>
      <sz val="24"/>
      <color indexed="8"/>
      <name val="Arial"/>
      <family val="2"/>
      <charset val="238"/>
    </font>
    <font>
      <sz val="24"/>
      <name val="Arial"/>
      <family val="2"/>
      <charset val="238"/>
    </font>
    <font>
      <b/>
      <sz val="22"/>
      <name val="Arial"/>
      <family val="2"/>
      <charset val="238"/>
    </font>
    <font>
      <sz val="22"/>
      <color theme="1"/>
      <name val="Arial"/>
      <family val="2"/>
      <charset val="238"/>
    </font>
    <font>
      <b/>
      <i/>
      <sz val="26"/>
      <name val="Arial"/>
      <family val="2"/>
      <charset val="238"/>
    </font>
    <font>
      <b/>
      <sz val="26"/>
      <color indexed="8"/>
      <name val="Arial"/>
      <family val="2"/>
      <charset val="238"/>
    </font>
    <font>
      <b/>
      <i/>
      <sz val="22"/>
      <name val="Calibri"/>
      <family val="2"/>
      <charset val="238"/>
    </font>
    <font>
      <sz val="24"/>
      <name val="Arial CE"/>
      <charset val="238"/>
    </font>
    <font>
      <b/>
      <i/>
      <sz val="24"/>
      <name val="Arial CE"/>
      <charset val="238"/>
    </font>
    <font>
      <b/>
      <sz val="28"/>
      <color indexed="10"/>
      <name val="Calibri"/>
      <family val="2"/>
      <charset val="238"/>
      <scheme val="minor"/>
    </font>
  </fonts>
  <fills count="30">
    <fill>
      <patternFill patternType="none"/>
    </fill>
    <fill>
      <patternFill patternType="gray125"/>
    </fill>
    <fill>
      <patternFill patternType="solid">
        <fgColor indexed="5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1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</fills>
  <borders count="9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auto="1"/>
      </top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double">
        <color auto="1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uble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auto="1"/>
      </bottom>
      <diagonal/>
    </border>
    <border>
      <left style="medium">
        <color indexed="64"/>
      </left>
      <right/>
      <top style="double">
        <color auto="1"/>
      </top>
      <bottom/>
      <diagonal/>
    </border>
    <border>
      <left style="thin">
        <color indexed="64"/>
      </left>
      <right style="medium">
        <color indexed="64"/>
      </right>
      <top style="double">
        <color auto="1"/>
      </top>
      <bottom/>
      <diagonal/>
    </border>
    <border>
      <left style="medium">
        <color indexed="64"/>
      </left>
      <right/>
      <top style="double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63">
    <xf numFmtId="0" fontId="0" fillId="0" borderId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6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2" fillId="13" borderId="0" applyNumberFormat="0" applyBorder="0" applyAlignment="0" applyProtection="0"/>
    <xf numFmtId="0" fontId="12" fillId="2" borderId="0" applyNumberFormat="0" applyBorder="0" applyAlignment="0" applyProtection="0"/>
    <xf numFmtId="0" fontId="8" fillId="6" borderId="0" applyNumberFormat="0" applyBorder="0" applyAlignment="0" applyProtection="0"/>
    <xf numFmtId="0" fontId="16" fillId="8" borderId="1" applyNumberFormat="0" applyAlignment="0" applyProtection="0"/>
    <xf numFmtId="0" fontId="10" fillId="20" borderId="1" applyNumberFormat="0" applyAlignment="0" applyProtection="0"/>
    <xf numFmtId="0" fontId="5" fillId="21" borderId="2" applyNumberFormat="0" applyAlignment="0" applyProtection="0"/>
    <xf numFmtId="0" fontId="19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5" fillId="21" borderId="2" applyNumberFormat="0" applyAlignment="0" applyProtection="0"/>
    <xf numFmtId="0" fontId="7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17" fillId="0" borderId="6" applyNumberFormat="0" applyFill="0" applyAlignment="0" applyProtection="0"/>
    <xf numFmtId="0" fontId="11" fillId="22" borderId="7" applyNumberFormat="0" applyFont="0" applyAlignment="0" applyProtection="0"/>
    <xf numFmtId="0" fontId="6" fillId="7" borderId="0" applyNumberFormat="0" applyBorder="0" applyAlignment="0" applyProtection="0"/>
    <xf numFmtId="0" fontId="18" fillId="23" borderId="8" applyNumberFormat="0" applyAlignment="0" applyProtection="0"/>
    <xf numFmtId="0" fontId="7" fillId="0" borderId="0" applyNumberFormat="0" applyFill="0" applyBorder="0" applyAlignment="0" applyProtection="0"/>
    <xf numFmtId="0" fontId="9" fillId="24" borderId="0" applyNumberFormat="0" applyBorder="0" applyAlignment="0" applyProtection="0"/>
    <xf numFmtId="0" fontId="22" fillId="0" borderId="0"/>
    <xf numFmtId="0" fontId="4" fillId="0" borderId="0"/>
    <xf numFmtId="0" fontId="3" fillId="0" borderId="0"/>
    <xf numFmtId="0" fontId="3" fillId="0" borderId="0"/>
    <xf numFmtId="0" fontId="23" fillId="0" borderId="0"/>
    <xf numFmtId="0" fontId="2" fillId="0" borderId="0"/>
    <xf numFmtId="0" fontId="3" fillId="0" borderId="0"/>
    <xf numFmtId="0" fontId="20" fillId="0" borderId="9" applyNumberFormat="0" applyFill="0" applyAlignment="0" applyProtection="0"/>
    <xf numFmtId="0" fontId="8" fillId="6" borderId="0" applyNumberFormat="0" applyBorder="0" applyAlignment="0" applyProtection="0"/>
    <xf numFmtId="0" fontId="9" fillId="24" borderId="0" applyNumberFormat="0" applyBorder="0" applyAlignment="0" applyProtection="0"/>
    <xf numFmtId="0" fontId="10" fillId="20" borderId="1" applyNumberFormat="0" applyAlignment="0" applyProtection="0"/>
    <xf numFmtId="0" fontId="41" fillId="0" borderId="0"/>
    <xf numFmtId="164" fontId="41" fillId="0" borderId="0" applyFont="0" applyFill="0" applyBorder="0" applyAlignment="0" applyProtection="0"/>
    <xf numFmtId="0" fontId="3" fillId="0" borderId="0"/>
    <xf numFmtId="0" fontId="47" fillId="0" borderId="0"/>
    <xf numFmtId="0" fontId="47" fillId="0" borderId="0"/>
    <xf numFmtId="0" fontId="23" fillId="0" borderId="0"/>
    <xf numFmtId="0" fontId="1" fillId="0" borderId="0"/>
  </cellStyleXfs>
  <cellXfs count="1034">
    <xf numFmtId="0" fontId="0" fillId="0" borderId="0" xfId="0"/>
    <xf numFmtId="0" fontId="28" fillId="0" borderId="0" xfId="0" applyFont="1"/>
    <xf numFmtId="0" fontId="29" fillId="0" borderId="0" xfId="0" applyFont="1"/>
    <xf numFmtId="3" fontId="29" fillId="0" borderId="0" xfId="0" applyNumberFormat="1" applyFont="1"/>
    <xf numFmtId="3" fontId="29" fillId="0" borderId="21" xfId="0" applyNumberFormat="1" applyFont="1" applyBorder="1"/>
    <xf numFmtId="3" fontId="29" fillId="0" borderId="21" xfId="0" applyNumberFormat="1" applyFont="1" applyBorder="1" applyAlignment="1">
      <alignment horizontal="right"/>
    </xf>
    <xf numFmtId="3" fontId="29" fillId="0" borderId="33" xfId="0" applyNumberFormat="1" applyFont="1" applyBorder="1"/>
    <xf numFmtId="3" fontId="29" fillId="0" borderId="33" xfId="0" applyNumberFormat="1" applyFont="1" applyBorder="1" applyAlignment="1">
      <alignment horizontal="right"/>
    </xf>
    <xf numFmtId="3" fontId="29" fillId="0" borderId="26" xfId="0" applyNumberFormat="1" applyFont="1" applyBorder="1"/>
    <xf numFmtId="3" fontId="29" fillId="0" borderId="34" xfId="0" applyNumberFormat="1" applyFont="1" applyBorder="1"/>
    <xf numFmtId="3" fontId="31" fillId="0" borderId="26" xfId="0" applyNumberFormat="1" applyFont="1" applyBorder="1"/>
    <xf numFmtId="3" fontId="32" fillId="0" borderId="37" xfId="0" applyNumberFormat="1" applyFont="1" applyBorder="1" applyAlignment="1">
      <alignment horizontal="right"/>
    </xf>
    <xf numFmtId="3" fontId="29" fillId="0" borderId="26" xfId="0" applyNumberFormat="1" applyFont="1" applyBorder="1" applyAlignment="1">
      <alignment horizontal="right"/>
    </xf>
    <xf numFmtId="0" fontId="28" fillId="0" borderId="0" xfId="48" applyFont="1"/>
    <xf numFmtId="3" fontId="32" fillId="0" borderId="41" xfId="0" applyNumberFormat="1" applyFont="1" applyBorder="1"/>
    <xf numFmtId="3" fontId="32" fillId="0" borderId="37" xfId="0" applyNumberFormat="1" applyFont="1" applyBorder="1"/>
    <xf numFmtId="3" fontId="32" fillId="0" borderId="44" xfId="0" applyNumberFormat="1" applyFont="1" applyBorder="1"/>
    <xf numFmtId="3" fontId="32" fillId="0" borderId="0" xfId="0" applyNumberFormat="1" applyFont="1"/>
    <xf numFmtId="3" fontId="29" fillId="0" borderId="45" xfId="0" applyNumberFormat="1" applyFont="1" applyBorder="1"/>
    <xf numFmtId="3" fontId="31" fillId="0" borderId="0" xfId="0" applyNumberFormat="1" applyFont="1"/>
    <xf numFmtId="0" fontId="32" fillId="0" borderId="25" xfId="0" applyFont="1" applyBorder="1" applyAlignment="1">
      <alignment horizontal="left"/>
    </xf>
    <xf numFmtId="3" fontId="31" fillId="0" borderId="26" xfId="0" applyNumberFormat="1" applyFont="1" applyBorder="1" applyProtection="1">
      <protection locked="0"/>
    </xf>
    <xf numFmtId="3" fontId="31" fillId="0" borderId="48" xfId="0" applyNumberFormat="1" applyFont="1" applyBorder="1" applyProtection="1">
      <protection locked="0"/>
    </xf>
    <xf numFmtId="3" fontId="31" fillId="0" borderId="50" xfId="0" applyNumberFormat="1" applyFont="1" applyBorder="1" applyProtection="1">
      <protection locked="0"/>
    </xf>
    <xf numFmtId="3" fontId="29" fillId="0" borderId="21" xfId="0" applyNumberFormat="1" applyFont="1" applyBorder="1" applyProtection="1">
      <protection locked="0"/>
    </xf>
    <xf numFmtId="3" fontId="29" fillId="0" borderId="33" xfId="0" applyNumberFormat="1" applyFont="1" applyBorder="1" applyProtection="1">
      <protection locked="0"/>
    </xf>
    <xf numFmtId="3" fontId="31" fillId="0" borderId="48" xfId="0" applyNumberFormat="1" applyFont="1" applyBorder="1"/>
    <xf numFmtId="3" fontId="29" fillId="0" borderId="26" xfId="0" applyNumberFormat="1" applyFont="1" applyBorder="1" applyProtection="1">
      <protection locked="0"/>
    </xf>
    <xf numFmtId="3" fontId="31" fillId="0" borderId="50" xfId="0" applyNumberFormat="1" applyFont="1" applyBorder="1"/>
    <xf numFmtId="3" fontId="29" fillId="0" borderId="48" xfId="0" applyNumberFormat="1" applyFont="1" applyBorder="1"/>
    <xf numFmtId="3" fontId="31" fillId="0" borderId="41" xfId="0" applyNumberFormat="1" applyFont="1" applyBorder="1"/>
    <xf numFmtId="3" fontId="32" fillId="0" borderId="29" xfId="0" applyNumberFormat="1" applyFont="1" applyBorder="1"/>
    <xf numFmtId="3" fontId="32" fillId="0" borderId="41" xfId="0" applyNumberFormat="1" applyFont="1" applyBorder="1" applyProtection="1">
      <protection locked="0"/>
    </xf>
    <xf numFmtId="0" fontId="31" fillId="0" borderId="25" xfId="0" applyFont="1" applyBorder="1" applyAlignment="1">
      <alignment horizontal="left"/>
    </xf>
    <xf numFmtId="0" fontId="31" fillId="0" borderId="26" xfId="0" applyFont="1" applyBorder="1" applyAlignment="1">
      <alignment horizontal="left"/>
    </xf>
    <xf numFmtId="3" fontId="32" fillId="0" borderId="26" xfId="0" applyNumberFormat="1" applyFont="1" applyBorder="1"/>
    <xf numFmtId="3" fontId="29" fillId="0" borderId="34" xfId="0" applyNumberFormat="1" applyFont="1" applyBorder="1" applyProtection="1">
      <protection locked="0"/>
    </xf>
    <xf numFmtId="3" fontId="32" fillId="0" borderId="37" xfId="0" applyNumberFormat="1" applyFont="1" applyBorder="1" applyProtection="1">
      <protection locked="0"/>
    </xf>
    <xf numFmtId="0" fontId="29" fillId="0" borderId="25" xfId="0" applyFont="1" applyBorder="1"/>
    <xf numFmtId="3" fontId="29" fillId="27" borderId="21" xfId="0" applyNumberFormat="1" applyFont="1" applyFill="1" applyBorder="1"/>
    <xf numFmtId="3" fontId="29" fillId="27" borderId="57" xfId="0" applyNumberFormat="1" applyFont="1" applyFill="1" applyBorder="1"/>
    <xf numFmtId="3" fontId="32" fillId="0" borderId="54" xfId="0" applyNumberFormat="1" applyFont="1" applyBorder="1" applyAlignment="1">
      <alignment horizontal="right" wrapText="1"/>
    </xf>
    <xf numFmtId="3" fontId="32" fillId="0" borderId="41" xfId="0" applyNumberFormat="1" applyFont="1" applyBorder="1" applyAlignment="1">
      <alignment horizontal="right" wrapText="1"/>
    </xf>
    <xf numFmtId="3" fontId="29" fillId="27" borderId="26" xfId="0" applyNumberFormat="1" applyFont="1" applyFill="1" applyBorder="1"/>
    <xf numFmtId="3" fontId="32" fillId="0" borderId="54" xfId="0" applyNumberFormat="1" applyFont="1" applyBorder="1"/>
    <xf numFmtId="0" fontId="32" fillId="0" borderId="0" xfId="0" applyFont="1"/>
    <xf numFmtId="3" fontId="29" fillId="0" borderId="25" xfId="0" applyNumberFormat="1" applyFont="1" applyBorder="1"/>
    <xf numFmtId="3" fontId="31" fillId="0" borderId="26" xfId="0" applyNumberFormat="1" applyFont="1" applyBorder="1" applyAlignment="1">
      <alignment horizontal="left"/>
    </xf>
    <xf numFmtId="3" fontId="29" fillId="0" borderId="21" xfId="0" applyNumberFormat="1" applyFont="1" applyBorder="1" applyAlignment="1">
      <alignment wrapText="1"/>
    </xf>
    <xf numFmtId="3" fontId="32" fillId="0" borderId="48" xfId="0" applyNumberFormat="1" applyFont="1" applyBorder="1" applyAlignment="1">
      <alignment horizontal="center"/>
    </xf>
    <xf numFmtId="3" fontId="29" fillId="0" borderId="21" xfId="51" applyNumberFormat="1" applyFont="1" applyBorder="1" applyAlignment="1">
      <alignment horizontal="right" wrapText="1"/>
    </xf>
    <xf numFmtId="3" fontId="32" fillId="27" borderId="37" xfId="0" applyNumberFormat="1" applyFont="1" applyFill="1" applyBorder="1" applyAlignment="1">
      <alignment horizontal="right"/>
    </xf>
    <xf numFmtId="3" fontId="29" fillId="0" borderId="34" xfId="0" applyNumberFormat="1" applyFont="1" applyBorder="1" applyAlignment="1">
      <alignment horizontal="right"/>
    </xf>
    <xf numFmtId="3" fontId="32" fillId="0" borderId="43" xfId="0" applyNumberFormat="1" applyFont="1" applyBorder="1"/>
    <xf numFmtId="3" fontId="32" fillId="0" borderId="18" xfId="0" applyNumberFormat="1" applyFont="1" applyBorder="1"/>
    <xf numFmtId="0" fontId="29" fillId="0" borderId="0" xfId="0" applyFont="1" applyAlignment="1">
      <alignment wrapText="1"/>
    </xf>
    <xf numFmtId="0" fontId="31" fillId="0" borderId="23" xfId="0" applyFont="1" applyBorder="1" applyAlignment="1">
      <alignment wrapText="1"/>
    </xf>
    <xf numFmtId="0" fontId="31" fillId="0" borderId="25" xfId="0" applyFont="1" applyBorder="1" applyAlignment="1">
      <alignment wrapText="1"/>
    </xf>
    <xf numFmtId="3" fontId="29" fillId="27" borderId="21" xfId="0" applyNumberFormat="1" applyFont="1" applyFill="1" applyBorder="1" applyAlignment="1">
      <alignment wrapText="1"/>
    </xf>
    <xf numFmtId="3" fontId="29" fillId="0" borderId="26" xfId="0" applyNumberFormat="1" applyFont="1" applyBorder="1" applyAlignment="1">
      <alignment wrapText="1"/>
    </xf>
    <xf numFmtId="3" fontId="32" fillId="0" borderId="41" xfId="0" applyNumberFormat="1" applyFont="1" applyBorder="1" applyAlignment="1">
      <alignment wrapText="1"/>
    </xf>
    <xf numFmtId="3" fontId="32" fillId="0" borderId="37" xfId="0" applyNumberFormat="1" applyFont="1" applyBorder="1" applyAlignment="1">
      <alignment wrapText="1"/>
    </xf>
    <xf numFmtId="0" fontId="32" fillId="0" borderId="0" xfId="0" applyFont="1" applyAlignment="1">
      <alignment wrapText="1"/>
    </xf>
    <xf numFmtId="3" fontId="29" fillId="0" borderId="21" xfId="0" applyNumberFormat="1" applyFont="1" applyBorder="1" applyAlignment="1">
      <alignment horizontal="right" wrapText="1"/>
    </xf>
    <xf numFmtId="0" fontId="32" fillId="0" borderId="40" xfId="0" applyFont="1" applyBorder="1" applyAlignment="1">
      <alignment wrapText="1"/>
    </xf>
    <xf numFmtId="3" fontId="32" fillId="0" borderId="44" xfId="0" applyNumberFormat="1" applyFont="1" applyBorder="1" applyAlignment="1">
      <alignment wrapText="1"/>
    </xf>
    <xf numFmtId="0" fontId="29" fillId="0" borderId="31" xfId="0" applyFont="1" applyBorder="1"/>
    <xf numFmtId="3" fontId="29" fillId="0" borderId="60" xfId="0" applyNumberFormat="1" applyFont="1" applyBorder="1"/>
    <xf numFmtId="3" fontId="32" fillId="0" borderId="61" xfId="0" applyNumberFormat="1" applyFont="1" applyBorder="1"/>
    <xf numFmtId="3" fontId="29" fillId="0" borderId="34" xfId="0" applyNumberFormat="1" applyFont="1" applyBorder="1" applyAlignment="1">
      <alignment horizontal="right" wrapText="1"/>
    </xf>
    <xf numFmtId="3" fontId="32" fillId="0" borderId="37" xfId="0" applyNumberFormat="1" applyFont="1" applyBorder="1" applyAlignment="1">
      <alignment horizontal="right" wrapText="1"/>
    </xf>
    <xf numFmtId="0" fontId="34" fillId="0" borderId="26" xfId="0" applyFont="1" applyBorder="1" applyAlignment="1">
      <alignment horizontal="right" wrapText="1"/>
    </xf>
    <xf numFmtId="3" fontId="29" fillId="27" borderId="21" xfId="0" applyNumberFormat="1" applyFont="1" applyFill="1" applyBorder="1" applyAlignment="1">
      <alignment horizontal="right" wrapText="1"/>
    </xf>
    <xf numFmtId="3" fontId="32" fillId="0" borderId="50" xfId="0" applyNumberFormat="1" applyFont="1" applyBorder="1" applyAlignment="1">
      <alignment horizontal="right" wrapText="1"/>
    </xf>
    <xf numFmtId="3" fontId="29" fillId="0" borderId="26" xfId="0" applyNumberFormat="1" applyFont="1" applyBorder="1" applyAlignment="1">
      <alignment horizontal="right" wrapText="1"/>
    </xf>
    <xf numFmtId="3" fontId="32" fillId="0" borderId="29" xfId="0" applyNumberFormat="1" applyFont="1" applyBorder="1" applyAlignment="1">
      <alignment horizontal="right" wrapText="1"/>
    </xf>
    <xf numFmtId="3" fontId="31" fillId="0" borderId="29" xfId="0" applyNumberFormat="1" applyFont="1" applyBorder="1" applyAlignment="1">
      <alignment horizontal="right" wrapText="1"/>
    </xf>
    <xf numFmtId="0" fontId="29" fillId="0" borderId="0" xfId="0" applyFont="1" applyAlignment="1">
      <alignment horizontal="right" wrapText="1"/>
    </xf>
    <xf numFmtId="3" fontId="35" fillId="0" borderId="0" xfId="0" applyNumberFormat="1" applyFont="1"/>
    <xf numFmtId="3" fontId="29" fillId="27" borderId="21" xfId="0" applyNumberFormat="1" applyFont="1" applyFill="1" applyBorder="1" applyProtection="1">
      <protection locked="0"/>
    </xf>
    <xf numFmtId="3" fontId="29" fillId="0" borderId="57" xfId="0" applyNumberFormat="1" applyFont="1" applyBorder="1" applyProtection="1">
      <protection locked="0"/>
    </xf>
    <xf numFmtId="3" fontId="29" fillId="27" borderId="33" xfId="0" applyNumberFormat="1" applyFont="1" applyFill="1" applyBorder="1" applyProtection="1">
      <protection locked="0"/>
    </xf>
    <xf numFmtId="3" fontId="29" fillId="27" borderId="33" xfId="46" applyNumberFormat="1" applyFont="1" applyFill="1" applyBorder="1" applyProtection="1">
      <protection locked="0"/>
    </xf>
    <xf numFmtId="3" fontId="29" fillId="27" borderId="26" xfId="0" applyNumberFormat="1" applyFont="1" applyFill="1" applyBorder="1" applyProtection="1">
      <protection locked="0"/>
    </xf>
    <xf numFmtId="3" fontId="29" fillId="27" borderId="26" xfId="46" applyNumberFormat="1" applyFont="1" applyFill="1" applyBorder="1" applyProtection="1">
      <protection locked="0"/>
    </xf>
    <xf numFmtId="3" fontId="29" fillId="0" borderId="21" xfId="48" applyNumberFormat="1" applyFont="1" applyBorder="1"/>
    <xf numFmtId="3" fontId="29" fillId="0" borderId="33" xfId="48" applyNumberFormat="1" applyFont="1" applyBorder="1"/>
    <xf numFmtId="3" fontId="32" fillId="0" borderId="37" xfId="48" applyNumberFormat="1" applyFont="1" applyBorder="1"/>
    <xf numFmtId="3" fontId="29" fillId="0" borderId="34" xfId="48" applyNumberFormat="1" applyFont="1" applyBorder="1"/>
    <xf numFmtId="3" fontId="32" fillId="0" borderId="50" xfId="48" applyNumberFormat="1" applyFont="1" applyBorder="1"/>
    <xf numFmtId="3" fontId="29" fillId="0" borderId="33" xfId="48" applyNumberFormat="1" applyFont="1" applyBorder="1" applyAlignment="1">
      <alignment horizontal="right"/>
    </xf>
    <xf numFmtId="3" fontId="32" fillId="0" borderId="50" xfId="48" applyNumberFormat="1" applyFont="1" applyBorder="1" applyAlignment="1">
      <alignment horizontal="right"/>
    </xf>
    <xf numFmtId="3" fontId="32" fillId="0" borderId="41" xfId="48" applyNumberFormat="1" applyFont="1" applyBorder="1" applyAlignment="1">
      <alignment horizontal="right"/>
    </xf>
    <xf numFmtId="0" fontId="30" fillId="0" borderId="0" xfId="48" applyFont="1" applyAlignment="1">
      <alignment horizontal="center"/>
    </xf>
    <xf numFmtId="0" fontId="32" fillId="0" borderId="25" xfId="48" applyFont="1" applyBorder="1"/>
    <xf numFmtId="3" fontId="29" fillId="25" borderId="33" xfId="48" applyNumberFormat="1" applyFont="1" applyFill="1" applyBorder="1" applyAlignment="1">
      <alignment horizontal="right"/>
    </xf>
    <xf numFmtId="3" fontId="32" fillId="0" borderId="48" xfId="48" applyNumberFormat="1" applyFont="1" applyBorder="1"/>
    <xf numFmtId="0" fontId="32" fillId="0" borderId="48" xfId="48" applyFont="1" applyBorder="1"/>
    <xf numFmtId="3" fontId="29" fillId="25" borderId="21" xfId="48" applyNumberFormat="1" applyFont="1" applyFill="1" applyBorder="1"/>
    <xf numFmtId="3" fontId="29" fillId="0" borderId="26" xfId="48" applyNumberFormat="1" applyFont="1" applyBorder="1"/>
    <xf numFmtId="0" fontId="31" fillId="0" borderId="26" xfId="48" applyFont="1" applyBorder="1"/>
    <xf numFmtId="3" fontId="32" fillId="0" borderId="29" xfId="48" applyNumberFormat="1" applyFont="1" applyBorder="1"/>
    <xf numFmtId="0" fontId="30" fillId="0" borderId="43" xfId="50" applyFont="1" applyBorder="1" applyAlignment="1">
      <alignment horizontal="justify"/>
    </xf>
    <xf numFmtId="3" fontId="30" fillId="0" borderId="37" xfId="50" applyNumberFormat="1" applyFont="1" applyBorder="1"/>
    <xf numFmtId="3" fontId="28" fillId="0" borderId="35" xfId="50" applyNumberFormat="1" applyFont="1" applyBorder="1"/>
    <xf numFmtId="3" fontId="28" fillId="0" borderId="26" xfId="50" applyNumberFormat="1" applyFont="1" applyBorder="1"/>
    <xf numFmtId="0" fontId="30" fillId="0" borderId="43" xfId="50" applyFont="1" applyBorder="1"/>
    <xf numFmtId="3" fontId="28" fillId="0" borderId="0" xfId="50" applyNumberFormat="1" applyFont="1"/>
    <xf numFmtId="0" fontId="30" fillId="0" borderId="23" xfId="50" applyFont="1" applyBorder="1" applyAlignment="1">
      <alignment horizontal="justify"/>
    </xf>
    <xf numFmtId="0" fontId="28" fillId="0" borderId="22" xfId="49" applyFont="1" applyBorder="1"/>
    <xf numFmtId="0" fontId="28" fillId="0" borderId="11" xfId="49" applyFont="1" applyBorder="1"/>
    <xf numFmtId="0" fontId="28" fillId="0" borderId="11" xfId="49" applyFont="1" applyBorder="1" applyAlignment="1">
      <alignment wrapText="1"/>
    </xf>
    <xf numFmtId="0" fontId="28" fillId="0" borderId="63" xfId="49" applyFont="1" applyBorder="1"/>
    <xf numFmtId="0" fontId="28" fillId="0" borderId="23" xfId="49" applyFont="1" applyBorder="1"/>
    <xf numFmtId="0" fontId="28" fillId="0" borderId="18" xfId="49" applyFont="1" applyBorder="1"/>
    <xf numFmtId="0" fontId="30" fillId="0" borderId="18" xfId="50" applyFont="1" applyBorder="1" applyAlignment="1">
      <alignment horizontal="justify"/>
    </xf>
    <xf numFmtId="0" fontId="32" fillId="0" borderId="23" xfId="0" applyFont="1" applyBorder="1" applyAlignment="1">
      <alignment horizontal="left"/>
    </xf>
    <xf numFmtId="3" fontId="36" fillId="0" borderId="36" xfId="0" applyNumberFormat="1" applyFont="1" applyBorder="1"/>
    <xf numFmtId="3" fontId="37" fillId="0" borderId="44" xfId="0" applyNumberFormat="1" applyFont="1" applyBorder="1"/>
    <xf numFmtId="0" fontId="29" fillId="0" borderId="19" xfId="0" applyFont="1" applyBorder="1"/>
    <xf numFmtId="0" fontId="35" fillId="0" borderId="19" xfId="0" applyFont="1" applyBorder="1"/>
    <xf numFmtId="0" fontId="35" fillId="0" borderId="0" xfId="0" applyFont="1"/>
    <xf numFmtId="3" fontId="37" fillId="0" borderId="0" xfId="0" applyNumberFormat="1" applyFont="1" applyAlignment="1">
      <alignment horizontal="left"/>
    </xf>
    <xf numFmtId="3" fontId="38" fillId="0" borderId="40" xfId="0" applyNumberFormat="1" applyFont="1" applyBorder="1" applyAlignment="1">
      <alignment horizontal="centerContinuous"/>
    </xf>
    <xf numFmtId="3" fontId="37" fillId="0" borderId="40" xfId="0" applyNumberFormat="1" applyFont="1" applyBorder="1" applyAlignment="1">
      <alignment horizontal="centerContinuous"/>
    </xf>
    <xf numFmtId="0" fontId="35" fillId="0" borderId="28" xfId="0" applyFont="1" applyBorder="1" applyAlignment="1">
      <alignment horizontal="left"/>
    </xf>
    <xf numFmtId="3" fontId="35" fillId="0" borderId="28" xfId="0" applyNumberFormat="1" applyFont="1" applyBorder="1"/>
    <xf numFmtId="0" fontId="29" fillId="0" borderId="30" xfId="0" applyFont="1" applyBorder="1"/>
    <xf numFmtId="0" fontId="29" fillId="0" borderId="58" xfId="0" applyFont="1" applyBorder="1"/>
    <xf numFmtId="0" fontId="29" fillId="0" borderId="32" xfId="0" applyFont="1" applyBorder="1"/>
    <xf numFmtId="0" fontId="29" fillId="0" borderId="18" xfId="0" applyFont="1" applyBorder="1"/>
    <xf numFmtId="3" fontId="32" fillId="0" borderId="32" xfId="0" applyNumberFormat="1" applyFont="1" applyBorder="1"/>
    <xf numFmtId="3" fontId="29" fillId="0" borderId="32" xfId="0" applyNumberFormat="1" applyFont="1" applyBorder="1"/>
    <xf numFmtId="0" fontId="29" fillId="0" borderId="0" xfId="48" applyFont="1"/>
    <xf numFmtId="0" fontId="32" fillId="0" borderId="24" xfId="0" applyFont="1" applyBorder="1"/>
    <xf numFmtId="0" fontId="32" fillId="0" borderId="40" xfId="0" applyFont="1" applyBorder="1"/>
    <xf numFmtId="0" fontId="29" fillId="0" borderId="32" xfId="0" applyFont="1" applyBorder="1" applyAlignment="1">
      <alignment wrapText="1"/>
    </xf>
    <xf numFmtId="3" fontId="32" fillId="27" borderId="43" xfId="0" applyNumberFormat="1" applyFont="1" applyFill="1" applyBorder="1" applyAlignment="1">
      <alignment horizontal="right"/>
    </xf>
    <xf numFmtId="3" fontId="32" fillId="27" borderId="37" xfId="0" applyNumberFormat="1" applyFont="1" applyFill="1" applyBorder="1"/>
    <xf numFmtId="0" fontId="29" fillId="0" borderId="19" xfId="48" applyFont="1" applyBorder="1" applyAlignment="1">
      <alignment horizontal="justify"/>
    </xf>
    <xf numFmtId="0" fontId="28" fillId="0" borderId="19" xfId="48" applyFont="1" applyBorder="1" applyAlignment="1">
      <alignment horizontal="justify"/>
    </xf>
    <xf numFmtId="0" fontId="29" fillId="0" borderId="25" xfId="48" applyFont="1" applyBorder="1" applyAlignment="1">
      <alignment horizontal="center"/>
    </xf>
    <xf numFmtId="3" fontId="29" fillId="0" borderId="70" xfId="0" applyNumberFormat="1" applyFont="1" applyBorder="1" applyAlignment="1">
      <alignment horizontal="right" wrapText="1"/>
    </xf>
    <xf numFmtId="0" fontId="28" fillId="0" borderId="27" xfId="50" applyFont="1" applyBorder="1"/>
    <xf numFmtId="3" fontId="29" fillId="27" borderId="21" xfId="46" applyNumberFormat="1" applyFont="1" applyFill="1" applyBorder="1" applyProtection="1">
      <protection locked="0"/>
    </xf>
    <xf numFmtId="3" fontId="29" fillId="0" borderId="0" xfId="0" applyNumberFormat="1" applyFont="1" applyAlignment="1">
      <alignment horizontal="right" wrapText="1"/>
    </xf>
    <xf numFmtId="3" fontId="32" fillId="27" borderId="26" xfId="0" applyNumberFormat="1" applyFont="1" applyFill="1" applyBorder="1" applyAlignment="1">
      <alignment horizontal="right" wrapText="1"/>
    </xf>
    <xf numFmtId="3" fontId="29" fillId="27" borderId="35" xfId="0" applyNumberFormat="1" applyFont="1" applyFill="1" applyBorder="1"/>
    <xf numFmtId="3" fontId="32" fillId="0" borderId="25" xfId="0" applyNumberFormat="1" applyFont="1" applyBorder="1"/>
    <xf numFmtId="3" fontId="32" fillId="25" borderId="29" xfId="48" applyNumberFormat="1" applyFont="1" applyFill="1" applyBorder="1"/>
    <xf numFmtId="3" fontId="29" fillId="0" borderId="0" xfId="0" applyNumberFormat="1" applyFont="1" applyAlignment="1">
      <alignment wrapText="1"/>
    </xf>
    <xf numFmtId="3" fontId="29" fillId="0" borderId="19" xfId="0" applyNumberFormat="1" applyFont="1" applyBorder="1"/>
    <xf numFmtId="3" fontId="29" fillId="0" borderId="56" xfId="0" applyNumberFormat="1" applyFont="1" applyBorder="1" applyAlignment="1">
      <alignment wrapText="1"/>
    </xf>
    <xf numFmtId="0" fontId="32" fillId="0" borderId="18" xfId="48" applyFont="1" applyBorder="1"/>
    <xf numFmtId="0" fontId="29" fillId="0" borderId="18" xfId="48" applyFont="1" applyBorder="1" applyAlignment="1">
      <alignment horizontal="right"/>
    </xf>
    <xf numFmtId="3" fontId="29" fillId="0" borderId="60" xfId="0" applyNumberFormat="1" applyFont="1" applyBorder="1" applyAlignment="1">
      <alignment horizontal="right" wrapText="1"/>
    </xf>
    <xf numFmtId="3" fontId="29" fillId="0" borderId="46" xfId="0" applyNumberFormat="1" applyFont="1" applyBorder="1" applyAlignment="1">
      <alignment horizontal="right"/>
    </xf>
    <xf numFmtId="0" fontId="32" fillId="0" borderId="0" xfId="48" applyFont="1" applyAlignment="1">
      <alignment horizontal="center"/>
    </xf>
    <xf numFmtId="3" fontId="32" fillId="0" borderId="0" xfId="0" applyNumberFormat="1" applyFont="1" applyAlignment="1">
      <alignment horizontal="center"/>
    </xf>
    <xf numFmtId="0" fontId="32" fillId="0" borderId="0" xfId="0" applyFont="1" applyAlignment="1">
      <alignment horizontal="center"/>
    </xf>
    <xf numFmtId="0" fontId="32" fillId="0" borderId="0" xfId="0" applyFont="1" applyAlignment="1">
      <alignment horizontal="center" wrapText="1"/>
    </xf>
    <xf numFmtId="0" fontId="30" fillId="0" borderId="24" xfId="48" applyFont="1" applyBorder="1" applyAlignment="1">
      <alignment horizontal="center"/>
    </xf>
    <xf numFmtId="3" fontId="32" fillId="0" borderId="25" xfId="0" applyNumberFormat="1" applyFont="1" applyBorder="1" applyAlignment="1">
      <alignment horizontal="center"/>
    </xf>
    <xf numFmtId="0" fontId="32" fillId="0" borderId="27" xfId="48" applyFont="1" applyBorder="1" applyAlignment="1">
      <alignment horizontal="center"/>
    </xf>
    <xf numFmtId="0" fontId="32" fillId="0" borderId="28" xfId="48" applyFont="1" applyBorder="1" applyAlignment="1">
      <alignment horizontal="center"/>
    </xf>
    <xf numFmtId="3" fontId="32" fillId="0" borderId="26" xfId="0" applyNumberFormat="1" applyFont="1" applyBorder="1" applyAlignment="1">
      <alignment horizontal="center"/>
    </xf>
    <xf numFmtId="0" fontId="32" fillId="0" borderId="18" xfId="48" applyFont="1" applyBorder="1" applyAlignment="1">
      <alignment horizontal="left"/>
    </xf>
    <xf numFmtId="0" fontId="29" fillId="0" borderId="19" xfId="48" applyFont="1" applyBorder="1" applyAlignment="1">
      <alignment wrapText="1"/>
    </xf>
    <xf numFmtId="0" fontId="28" fillId="0" borderId="0" xfId="50" applyFont="1"/>
    <xf numFmtId="0" fontId="42" fillId="0" borderId="0" xfId="50" applyFont="1"/>
    <xf numFmtId="0" fontId="30" fillId="0" borderId="0" xfId="50" applyFont="1"/>
    <xf numFmtId="0" fontId="30" fillId="0" borderId="0" xfId="50" applyFont="1" applyAlignment="1">
      <alignment horizontal="right"/>
    </xf>
    <xf numFmtId="0" fontId="30" fillId="0" borderId="25" xfId="50" applyFont="1" applyBorder="1" applyAlignment="1">
      <alignment horizontal="center"/>
    </xf>
    <xf numFmtId="0" fontId="30" fillId="0" borderId="23" xfId="50" applyFont="1" applyBorder="1" applyAlignment="1">
      <alignment horizontal="center"/>
    </xf>
    <xf numFmtId="0" fontId="30" fillId="0" borderId="66" xfId="50" applyFont="1" applyBorder="1" applyAlignment="1">
      <alignment horizontal="center"/>
    </xf>
    <xf numFmtId="0" fontId="30" fillId="0" borderId="26" xfId="50" applyFont="1" applyBorder="1" applyAlignment="1">
      <alignment horizontal="center"/>
    </xf>
    <xf numFmtId="0" fontId="28" fillId="0" borderId="18" xfId="50" applyFont="1" applyBorder="1"/>
    <xf numFmtId="0" fontId="30" fillId="0" borderId="38" xfId="50" applyFont="1" applyBorder="1" applyAlignment="1">
      <alignment horizontal="center"/>
    </xf>
    <xf numFmtId="0" fontId="30" fillId="0" borderId="29" xfId="50" applyFont="1" applyBorder="1" applyAlignment="1">
      <alignment horizontal="center"/>
    </xf>
    <xf numFmtId="0" fontId="30" fillId="0" borderId="29" xfId="50" applyFont="1" applyBorder="1" applyAlignment="1">
      <alignment horizontal="center" vertical="center" wrapText="1"/>
    </xf>
    <xf numFmtId="0" fontId="30" fillId="0" borderId="39" xfId="50" applyFont="1" applyBorder="1" applyAlignment="1">
      <alignment horizontal="center" vertical="center" wrapText="1"/>
    </xf>
    <xf numFmtId="0" fontId="28" fillId="0" borderId="29" xfId="50" applyFont="1" applyBorder="1" applyAlignment="1">
      <alignment horizontal="center" vertical="center" wrapText="1"/>
    </xf>
    <xf numFmtId="0" fontId="30" fillId="0" borderId="39" xfId="50" applyFont="1" applyBorder="1" applyAlignment="1">
      <alignment horizontal="justify"/>
    </xf>
    <xf numFmtId="0" fontId="30" fillId="0" borderId="18" xfId="50" applyFont="1" applyBorder="1" applyAlignment="1">
      <alignment horizontal="center"/>
    </xf>
    <xf numFmtId="0" fontId="28" fillId="0" borderId="25" xfId="50" applyFont="1" applyBorder="1" applyAlignment="1">
      <alignment horizontal="center"/>
    </xf>
    <xf numFmtId="0" fontId="28" fillId="0" borderId="66" xfId="50" applyFont="1" applyBorder="1" applyAlignment="1">
      <alignment horizontal="center"/>
    </xf>
    <xf numFmtId="3" fontId="30" fillId="0" borderId="35" xfId="50" applyNumberFormat="1" applyFont="1" applyBorder="1" applyAlignment="1">
      <alignment horizontal="center"/>
    </xf>
    <xf numFmtId="3" fontId="30" fillId="0" borderId="35" xfId="50" applyNumberFormat="1" applyFont="1" applyBorder="1"/>
    <xf numFmtId="3" fontId="30" fillId="0" borderId="26" xfId="50" applyNumberFormat="1" applyFont="1" applyBorder="1" applyAlignment="1">
      <alignment horizontal="center"/>
    </xf>
    <xf numFmtId="3" fontId="30" fillId="0" borderId="50" xfId="50" applyNumberFormat="1" applyFont="1" applyBorder="1" applyAlignment="1">
      <alignment horizontal="center"/>
    </xf>
    <xf numFmtId="3" fontId="28" fillId="0" borderId="50" xfId="50" applyNumberFormat="1" applyFont="1" applyBorder="1"/>
    <xf numFmtId="3" fontId="30" fillId="0" borderId="48" xfId="50" applyNumberFormat="1" applyFont="1" applyBorder="1" applyAlignment="1">
      <alignment horizontal="center"/>
    </xf>
    <xf numFmtId="3" fontId="30" fillId="0" borderId="26" xfId="50" applyNumberFormat="1" applyFont="1" applyBorder="1"/>
    <xf numFmtId="3" fontId="30" fillId="0" borderId="37" xfId="50" applyNumberFormat="1" applyFont="1" applyBorder="1" applyAlignment="1">
      <alignment horizontal="center"/>
    </xf>
    <xf numFmtId="3" fontId="30" fillId="0" borderId="70" xfId="50" applyNumberFormat="1" applyFont="1" applyBorder="1" applyAlignment="1">
      <alignment horizontal="center"/>
    </xf>
    <xf numFmtId="3" fontId="28" fillId="0" borderId="25" xfId="50" applyNumberFormat="1" applyFont="1" applyBorder="1"/>
    <xf numFmtId="3" fontId="28" fillId="0" borderId="37" xfId="50" applyNumberFormat="1" applyFont="1" applyBorder="1"/>
    <xf numFmtId="3" fontId="28" fillId="0" borderId="38" xfId="50" applyNumberFormat="1" applyFont="1" applyBorder="1"/>
    <xf numFmtId="3" fontId="30" fillId="0" borderId="25" xfId="50" applyNumberFormat="1" applyFont="1" applyBorder="1" applyAlignment="1">
      <alignment horizontal="center"/>
    </xf>
    <xf numFmtId="3" fontId="28" fillId="0" borderId="66" xfId="50" applyNumberFormat="1" applyFont="1" applyBorder="1"/>
    <xf numFmtId="3" fontId="37" fillId="0" borderId="0" xfId="0" applyNumberFormat="1" applyFont="1" applyAlignment="1">
      <alignment horizontal="center"/>
    </xf>
    <xf numFmtId="3" fontId="35" fillId="0" borderId="0" xfId="0" applyNumberFormat="1" applyFont="1" applyAlignment="1">
      <alignment horizontal="right"/>
    </xf>
    <xf numFmtId="0" fontId="37" fillId="0" borderId="23" xfId="0" applyFont="1" applyBorder="1" applyAlignment="1">
      <alignment horizontal="left"/>
    </xf>
    <xf numFmtId="3" fontId="37" fillId="0" borderId="24" xfId="0" applyNumberFormat="1" applyFont="1" applyBorder="1" applyAlignment="1">
      <alignment horizontal="left"/>
    </xf>
    <xf numFmtId="3" fontId="37" fillId="0" borderId="25" xfId="0" applyNumberFormat="1" applyFont="1" applyBorder="1" applyAlignment="1">
      <alignment horizontal="center"/>
    </xf>
    <xf numFmtId="3" fontId="35" fillId="0" borderId="24" xfId="0" applyNumberFormat="1" applyFont="1" applyBorder="1"/>
    <xf numFmtId="0" fontId="37" fillId="0" borderId="18" xfId="0" applyFont="1" applyBorder="1" applyAlignment="1">
      <alignment horizontal="left"/>
    </xf>
    <xf numFmtId="3" fontId="37" fillId="0" borderId="26" xfId="0" applyNumberFormat="1" applyFont="1" applyBorder="1" applyAlignment="1">
      <alignment horizontal="center"/>
    </xf>
    <xf numFmtId="3" fontId="37" fillId="0" borderId="27" xfId="0" applyNumberFormat="1" applyFont="1" applyBorder="1" applyAlignment="1">
      <alignment horizontal="centerContinuous"/>
    </xf>
    <xf numFmtId="3" fontId="37" fillId="0" borderId="28" xfId="0" applyNumberFormat="1" applyFont="1" applyBorder="1" applyAlignment="1">
      <alignment horizontal="centerContinuous"/>
    </xf>
    <xf numFmtId="3" fontId="37" fillId="0" borderId="29" xfId="0" applyNumberFormat="1" applyFont="1" applyBorder="1" applyAlignment="1">
      <alignment horizontal="right"/>
    </xf>
    <xf numFmtId="0" fontId="35" fillId="0" borderId="28" xfId="0" applyFont="1" applyBorder="1"/>
    <xf numFmtId="3" fontId="37" fillId="0" borderId="28" xfId="0" applyNumberFormat="1" applyFont="1" applyBorder="1" applyAlignment="1">
      <alignment horizontal="right"/>
    </xf>
    <xf numFmtId="0" fontId="35" fillId="0" borderId="30" xfId="0" applyFont="1" applyBorder="1"/>
    <xf numFmtId="0" fontId="35" fillId="0" borderId="71" xfId="0" applyFont="1" applyBorder="1"/>
    <xf numFmtId="3" fontId="37" fillId="0" borderId="71" xfId="0" applyNumberFormat="1" applyFont="1" applyBorder="1" applyAlignment="1">
      <alignment horizontal="right"/>
    </xf>
    <xf numFmtId="0" fontId="35" fillId="0" borderId="58" xfId="0" applyFont="1" applyBorder="1"/>
    <xf numFmtId="3" fontId="37" fillId="0" borderId="19" xfId="0" applyNumberFormat="1" applyFont="1" applyBorder="1"/>
    <xf numFmtId="0" fontId="35" fillId="0" borderId="31" xfId="0" applyFont="1" applyBorder="1"/>
    <xf numFmtId="0" fontId="35" fillId="0" borderId="32" xfId="0" applyFont="1" applyBorder="1"/>
    <xf numFmtId="3" fontId="38" fillId="0" borderId="32" xfId="0" applyNumberFormat="1" applyFont="1" applyBorder="1" applyAlignment="1">
      <alignment horizontal="left"/>
    </xf>
    <xf numFmtId="3" fontId="35" fillId="0" borderId="18" xfId="0" applyNumberFormat="1" applyFont="1" applyBorder="1"/>
    <xf numFmtId="3" fontId="37" fillId="0" borderId="32" xfId="0" applyNumberFormat="1" applyFont="1" applyBorder="1"/>
    <xf numFmtId="0" fontId="35" fillId="0" borderId="18" xfId="0" applyFont="1" applyBorder="1"/>
    <xf numFmtId="3" fontId="35" fillId="0" borderId="32" xfId="0" applyNumberFormat="1" applyFont="1" applyBorder="1"/>
    <xf numFmtId="3" fontId="35" fillId="0" borderId="32" xfId="0" applyNumberFormat="1" applyFont="1" applyBorder="1" applyAlignment="1">
      <alignment horizontal="left"/>
    </xf>
    <xf numFmtId="0" fontId="35" fillId="0" borderId="64" xfId="0" applyFont="1" applyBorder="1"/>
    <xf numFmtId="3" fontId="37" fillId="0" borderId="18" xfId="0" applyNumberFormat="1" applyFont="1" applyBorder="1"/>
    <xf numFmtId="3" fontId="38" fillId="0" borderId="0" xfId="0" applyNumberFormat="1" applyFont="1"/>
    <xf numFmtId="0" fontId="35" fillId="0" borderId="32" xfId="0" applyFont="1" applyBorder="1" applyAlignment="1">
      <alignment wrapText="1"/>
    </xf>
    <xf numFmtId="3" fontId="37" fillId="0" borderId="22" xfId="0" applyNumberFormat="1" applyFont="1" applyBorder="1"/>
    <xf numFmtId="0" fontId="37" fillId="0" borderId="20" xfId="0" applyFont="1" applyBorder="1"/>
    <xf numFmtId="3" fontId="37" fillId="0" borderId="20" xfId="0" applyNumberFormat="1" applyFont="1" applyBorder="1"/>
    <xf numFmtId="0" fontId="36" fillId="0" borderId="53" xfId="0" applyFont="1" applyBorder="1"/>
    <xf numFmtId="3" fontId="37" fillId="0" borderId="54" xfId="0" applyNumberFormat="1" applyFont="1" applyBorder="1" applyAlignment="1">
      <alignment horizontal="left"/>
    </xf>
    <xf numFmtId="3" fontId="37" fillId="0" borderId="53" xfId="0" applyNumberFormat="1" applyFont="1" applyBorder="1" applyAlignment="1">
      <alignment horizontal="centerContinuous"/>
    </xf>
    <xf numFmtId="3" fontId="37" fillId="0" borderId="72" xfId="0" applyNumberFormat="1" applyFont="1" applyBorder="1" applyAlignment="1">
      <alignment horizontal="center"/>
    </xf>
    <xf numFmtId="3" fontId="37" fillId="0" borderId="66" xfId="0" applyNumberFormat="1" applyFont="1" applyBorder="1" applyAlignment="1">
      <alignment horizontal="left"/>
    </xf>
    <xf numFmtId="0" fontId="37" fillId="0" borderId="24" xfId="0" applyFont="1" applyBorder="1" applyAlignment="1">
      <alignment horizontal="left"/>
    </xf>
    <xf numFmtId="3" fontId="37" fillId="0" borderId="38" xfId="0" applyNumberFormat="1" applyFont="1" applyBorder="1" applyAlignment="1">
      <alignment horizontal="left"/>
    </xf>
    <xf numFmtId="0" fontId="37" fillId="0" borderId="0" xfId="0" applyFont="1" applyAlignment="1">
      <alignment horizontal="left"/>
    </xf>
    <xf numFmtId="3" fontId="37" fillId="0" borderId="39" xfId="0" applyNumberFormat="1" applyFont="1" applyBorder="1" applyAlignment="1">
      <alignment horizontal="centerContinuous"/>
    </xf>
    <xf numFmtId="3" fontId="35" fillId="0" borderId="18" xfId="0" applyNumberFormat="1" applyFont="1" applyBorder="1" applyAlignment="1">
      <alignment horizontal="left"/>
    </xf>
    <xf numFmtId="3" fontId="35" fillId="0" borderId="0" xfId="0" applyNumberFormat="1" applyFont="1" applyAlignment="1">
      <alignment horizontal="left"/>
    </xf>
    <xf numFmtId="3" fontId="35" fillId="0" borderId="0" xfId="0" applyNumberFormat="1" applyFont="1" applyAlignment="1">
      <alignment horizontal="centerContinuous"/>
    </xf>
    <xf numFmtId="0" fontId="37" fillId="0" borderId="24" xfId="0" applyFont="1" applyBorder="1"/>
    <xf numFmtId="3" fontId="37" fillId="0" borderId="24" xfId="0" applyNumberFormat="1" applyFont="1" applyBorder="1" applyAlignment="1">
      <alignment horizontal="right"/>
    </xf>
    <xf numFmtId="3" fontId="35" fillId="0" borderId="31" xfId="0" applyNumberFormat="1" applyFont="1" applyBorder="1" applyAlignment="1">
      <alignment horizontal="left"/>
    </xf>
    <xf numFmtId="3" fontId="35" fillId="0" borderId="32" xfId="0" applyNumberFormat="1" applyFont="1" applyBorder="1" applyAlignment="1">
      <alignment horizontal="centerContinuous"/>
    </xf>
    <xf numFmtId="3" fontId="37" fillId="0" borderId="19" xfId="0" applyNumberFormat="1" applyFont="1" applyBorder="1" applyAlignment="1">
      <alignment horizontal="right"/>
    </xf>
    <xf numFmtId="3" fontId="35" fillId="0" borderId="32" xfId="0" applyNumberFormat="1" applyFont="1" applyBorder="1" applyAlignment="1">
      <alignment horizontal="center"/>
    </xf>
    <xf numFmtId="3" fontId="37" fillId="0" borderId="32" xfId="0" applyNumberFormat="1" applyFont="1" applyBorder="1" applyAlignment="1">
      <alignment horizontal="right"/>
    </xf>
    <xf numFmtId="3" fontId="35" fillId="0" borderId="18" xfId="0" applyNumberFormat="1" applyFont="1" applyBorder="1" applyAlignment="1">
      <alignment horizontal="centerContinuous"/>
    </xf>
    <xf numFmtId="3" fontId="37" fillId="0" borderId="18" xfId="0" applyNumberFormat="1" applyFont="1" applyBorder="1" applyAlignment="1">
      <alignment horizontal="centerContinuous"/>
    </xf>
    <xf numFmtId="3" fontId="37" fillId="0" borderId="0" xfId="0" applyNumberFormat="1" applyFont="1" applyAlignment="1">
      <alignment horizontal="centerContinuous"/>
    </xf>
    <xf numFmtId="0" fontId="37" fillId="0" borderId="40" xfId="0" applyFont="1" applyBorder="1"/>
    <xf numFmtId="3" fontId="37" fillId="0" borderId="40" xfId="0" applyNumberFormat="1" applyFont="1" applyBorder="1" applyAlignment="1">
      <alignment horizontal="right"/>
    </xf>
    <xf numFmtId="3" fontId="37" fillId="0" borderId="18" xfId="0" applyNumberFormat="1" applyFont="1" applyBorder="1" applyAlignment="1">
      <alignment horizontal="left"/>
    </xf>
    <xf numFmtId="0" fontId="35" fillId="0" borderId="0" xfId="48" applyFont="1"/>
    <xf numFmtId="3" fontId="35" fillId="0" borderId="0" xfId="0" applyNumberFormat="1" applyFont="1" applyAlignment="1">
      <alignment horizontal="center"/>
    </xf>
    <xf numFmtId="0" fontId="35" fillId="0" borderId="0" xfId="48" applyFont="1" applyAlignment="1">
      <alignment horizontal="left"/>
    </xf>
    <xf numFmtId="0" fontId="37" fillId="0" borderId="49" xfId="0" applyFont="1" applyBorder="1"/>
    <xf numFmtId="3" fontId="37" fillId="0" borderId="49" xfId="0" applyNumberFormat="1" applyFont="1" applyBorder="1" applyAlignment="1">
      <alignment horizontal="right"/>
    </xf>
    <xf numFmtId="3" fontId="37" fillId="0" borderId="43" xfId="0" applyNumberFormat="1" applyFont="1" applyBorder="1"/>
    <xf numFmtId="3" fontId="37" fillId="0" borderId="40" xfId="0" applyNumberFormat="1" applyFont="1" applyBorder="1"/>
    <xf numFmtId="3" fontId="37" fillId="0" borderId="40" xfId="0" applyNumberFormat="1" applyFont="1" applyBorder="1" applyAlignment="1">
      <alignment horizontal="left"/>
    </xf>
    <xf numFmtId="3" fontId="37" fillId="0" borderId="0" xfId="0" applyNumberFormat="1" applyFont="1"/>
    <xf numFmtId="3" fontId="37" fillId="0" borderId="24" xfId="0" applyNumberFormat="1" applyFont="1" applyBorder="1"/>
    <xf numFmtId="3" fontId="37" fillId="0" borderId="15" xfId="0" applyNumberFormat="1" applyFont="1" applyBorder="1"/>
    <xf numFmtId="3" fontId="37" fillId="0" borderId="67" xfId="0" applyNumberFormat="1" applyFont="1" applyBorder="1"/>
    <xf numFmtId="3" fontId="37" fillId="0" borderId="42" xfId="0" applyNumberFormat="1" applyFont="1" applyBorder="1"/>
    <xf numFmtId="3" fontId="37" fillId="0" borderId="42" xfId="0" applyNumberFormat="1" applyFont="1" applyBorder="1" applyAlignment="1">
      <alignment horizontal="left"/>
    </xf>
    <xf numFmtId="0" fontId="35" fillId="0" borderId="19" xfId="48" applyFont="1" applyBorder="1" applyAlignment="1">
      <alignment horizontal="justify"/>
    </xf>
    <xf numFmtId="0" fontId="35" fillId="28" borderId="19" xfId="48" applyFont="1" applyFill="1" applyBorder="1" applyAlignment="1">
      <alignment horizontal="justify"/>
    </xf>
    <xf numFmtId="0" fontId="35" fillId="0" borderId="32" xfId="48" applyFont="1" applyBorder="1" applyAlignment="1">
      <alignment horizontal="justify"/>
    </xf>
    <xf numFmtId="0" fontId="38" fillId="0" borderId="43" xfId="0" applyFont="1" applyBorder="1"/>
    <xf numFmtId="3" fontId="37" fillId="0" borderId="27" xfId="0" applyNumberFormat="1" applyFont="1" applyBorder="1"/>
    <xf numFmtId="0" fontId="38" fillId="0" borderId="27" xfId="0" applyFont="1" applyBorder="1"/>
    <xf numFmtId="0" fontId="29" fillId="0" borderId="28" xfId="0" applyFont="1" applyBorder="1"/>
    <xf numFmtId="0" fontId="32" fillId="0" borderId="28" xfId="0" applyFont="1" applyBorder="1"/>
    <xf numFmtId="3" fontId="29" fillId="0" borderId="0" xfId="0" applyNumberFormat="1" applyFont="1" applyAlignment="1">
      <alignment horizontal="right"/>
    </xf>
    <xf numFmtId="0" fontId="29" fillId="0" borderId="24" xfId="0" applyFont="1" applyBorder="1"/>
    <xf numFmtId="0" fontId="29" fillId="0" borderId="27" xfId="0" applyFont="1" applyBorder="1"/>
    <xf numFmtId="0" fontId="32" fillId="0" borderId="28" xfId="0" applyFont="1" applyBorder="1" applyAlignment="1">
      <alignment horizontal="left"/>
    </xf>
    <xf numFmtId="0" fontId="32" fillId="0" borderId="28" xfId="0" applyFont="1" applyBorder="1" applyAlignment="1">
      <alignment horizontal="right"/>
    </xf>
    <xf numFmtId="0" fontId="32" fillId="0" borderId="18" xfId="0" applyFont="1" applyBorder="1"/>
    <xf numFmtId="0" fontId="32" fillId="0" borderId="0" xfId="0" applyFont="1" applyAlignment="1">
      <alignment horizontal="left"/>
    </xf>
    <xf numFmtId="0" fontId="31" fillId="0" borderId="18" xfId="0" applyFont="1" applyBorder="1"/>
    <xf numFmtId="0" fontId="31" fillId="0" borderId="0" xfId="0" applyFont="1"/>
    <xf numFmtId="3" fontId="31" fillId="0" borderId="0" xfId="0" applyNumberFormat="1" applyFont="1" applyProtection="1">
      <protection locked="0"/>
    </xf>
    <xf numFmtId="0" fontId="31" fillId="0" borderId="47" xfId="0" applyFont="1" applyBorder="1"/>
    <xf numFmtId="3" fontId="31" fillId="0" borderId="47" xfId="0" applyNumberFormat="1" applyFont="1" applyBorder="1" applyProtection="1">
      <protection locked="0"/>
    </xf>
    <xf numFmtId="0" fontId="31" fillId="0" borderId="20" xfId="0" applyFont="1" applyBorder="1"/>
    <xf numFmtId="0" fontId="31" fillId="0" borderId="0" xfId="0" applyFont="1" applyAlignment="1">
      <alignment wrapText="1"/>
    </xf>
    <xf numFmtId="0" fontId="31" fillId="0" borderId="49" xfId="0" applyFont="1" applyBorder="1"/>
    <xf numFmtId="0" fontId="31" fillId="0" borderId="49" xfId="0" applyFont="1" applyBorder="1" applyAlignment="1">
      <alignment wrapText="1"/>
    </xf>
    <xf numFmtId="0" fontId="31" fillId="0" borderId="47" xfId="0" applyFont="1" applyBorder="1" applyAlignment="1">
      <alignment wrapText="1"/>
    </xf>
    <xf numFmtId="3" fontId="29" fillId="0" borderId="19" xfId="0" applyNumberFormat="1" applyFont="1" applyBorder="1" applyProtection="1">
      <protection locked="0"/>
    </xf>
    <xf numFmtId="0" fontId="29" fillId="0" borderId="20" xfId="0" applyFont="1" applyBorder="1"/>
    <xf numFmtId="0" fontId="29" fillId="0" borderId="51" xfId="0" applyFont="1" applyBorder="1"/>
    <xf numFmtId="3" fontId="29" fillId="0" borderId="52" xfId="0" applyNumberFormat="1" applyFont="1" applyBorder="1" applyProtection="1">
      <protection locked="0"/>
    </xf>
    <xf numFmtId="3" fontId="29" fillId="0" borderId="32" xfId="0" applyNumberFormat="1" applyFont="1" applyBorder="1" applyProtection="1">
      <protection locked="0"/>
    </xf>
    <xf numFmtId="3" fontId="31" fillId="0" borderId="49" xfId="0" applyNumberFormat="1" applyFont="1" applyBorder="1"/>
    <xf numFmtId="3" fontId="31" fillId="0" borderId="47" xfId="0" applyNumberFormat="1" applyFont="1" applyBorder="1"/>
    <xf numFmtId="0" fontId="31" fillId="0" borderId="18" xfId="0" applyFont="1" applyBorder="1" applyAlignment="1">
      <alignment wrapText="1"/>
    </xf>
    <xf numFmtId="0" fontId="29" fillId="0" borderId="19" xfId="0" applyFont="1" applyBorder="1" applyAlignment="1">
      <alignment wrapText="1"/>
    </xf>
    <xf numFmtId="3" fontId="29" fillId="0" borderId="19" xfId="0" applyNumberFormat="1" applyFont="1" applyBorder="1" applyAlignment="1" applyProtection="1">
      <alignment wrapText="1"/>
      <protection locked="0"/>
    </xf>
    <xf numFmtId="0" fontId="31" fillId="0" borderId="51" xfId="0" applyFont="1" applyBorder="1"/>
    <xf numFmtId="3" fontId="31" fillId="0" borderId="49" xfId="0" applyNumberFormat="1" applyFont="1" applyBorder="1" applyProtection="1">
      <protection locked="0"/>
    </xf>
    <xf numFmtId="0" fontId="31" fillId="0" borderId="11" xfId="0" applyFont="1" applyBorder="1"/>
    <xf numFmtId="3" fontId="29" fillId="0" borderId="38" xfId="0" applyNumberFormat="1" applyFont="1" applyBorder="1"/>
    <xf numFmtId="0" fontId="31" fillId="0" borderId="53" xfId="0" applyFont="1" applyBorder="1"/>
    <xf numFmtId="3" fontId="31" fillId="0" borderId="53" xfId="0" applyNumberFormat="1" applyFont="1" applyBorder="1" applyProtection="1">
      <protection locked="0"/>
    </xf>
    <xf numFmtId="0" fontId="31" fillId="0" borderId="28" xfId="0" applyFont="1" applyBorder="1" applyAlignment="1">
      <alignment horizontal="left"/>
    </xf>
    <xf numFmtId="0" fontId="29" fillId="0" borderId="40" xfId="0" applyFont="1" applyBorder="1" applyAlignment="1">
      <alignment horizontal="left"/>
    </xf>
    <xf numFmtId="0" fontId="44" fillId="0" borderId="65" xfId="0" applyFont="1" applyBorder="1" applyAlignment="1">
      <alignment wrapText="1"/>
    </xf>
    <xf numFmtId="3" fontId="29" fillId="0" borderId="32" xfId="0" applyNumberFormat="1" applyFont="1" applyBorder="1" applyAlignment="1" applyProtection="1">
      <alignment wrapText="1"/>
      <protection locked="0"/>
    </xf>
    <xf numFmtId="0" fontId="29" fillId="0" borderId="19" xfId="0" applyFont="1" applyBorder="1" applyAlignment="1">
      <alignment horizontal="left"/>
    </xf>
    <xf numFmtId="0" fontId="32" fillId="0" borderId="40" xfId="0" applyFont="1" applyBorder="1" applyAlignment="1">
      <alignment horizontal="left"/>
    </xf>
    <xf numFmtId="0" fontId="32" fillId="0" borderId="54" xfId="0" applyFont="1" applyBorder="1"/>
    <xf numFmtId="0" fontId="31" fillId="0" borderId="53" xfId="0" applyFont="1" applyBorder="1" applyAlignment="1">
      <alignment horizontal="left"/>
    </xf>
    <xf numFmtId="0" fontId="32" fillId="0" borderId="53" xfId="0" applyFont="1" applyBorder="1" applyAlignment="1">
      <alignment horizontal="left"/>
    </xf>
    <xf numFmtId="0" fontId="32" fillId="0" borderId="23" xfId="0" applyFont="1" applyBorder="1"/>
    <xf numFmtId="0" fontId="31" fillId="0" borderId="24" xfId="0" applyFont="1" applyBorder="1"/>
    <xf numFmtId="0" fontId="31" fillId="0" borderId="24" xfId="0" applyFont="1" applyBorder="1" applyAlignment="1">
      <alignment horizontal="left"/>
    </xf>
    <xf numFmtId="0" fontId="31" fillId="0" borderId="0" xfId="0" applyFont="1" applyAlignment="1">
      <alignment horizontal="left"/>
    </xf>
    <xf numFmtId="0" fontId="31" fillId="0" borderId="38" xfId="0" applyFont="1" applyBorder="1" applyAlignment="1">
      <alignment horizontal="left"/>
    </xf>
    <xf numFmtId="0" fontId="29" fillId="0" borderId="19" xfId="0" applyFont="1" applyBorder="1" applyAlignment="1">
      <alignment vertical="top" wrapText="1"/>
    </xf>
    <xf numFmtId="0" fontId="33" fillId="0" borderId="32" xfId="0" applyFont="1" applyBorder="1"/>
    <xf numFmtId="0" fontId="33" fillId="0" borderId="19" xfId="0" applyFont="1" applyBorder="1"/>
    <xf numFmtId="0" fontId="32" fillId="0" borderId="55" xfId="0" applyFont="1" applyBorder="1" applyAlignment="1">
      <alignment horizontal="left"/>
    </xf>
    <xf numFmtId="0" fontId="29" fillId="0" borderId="0" xfId="0" applyFont="1" applyAlignment="1">
      <alignment horizontal="left"/>
    </xf>
    <xf numFmtId="0" fontId="32" fillId="0" borderId="0" xfId="48" applyFont="1" applyAlignment="1">
      <alignment horizontal="left"/>
    </xf>
    <xf numFmtId="0" fontId="32" fillId="0" borderId="18" xfId="0" applyFont="1" applyBorder="1" applyAlignment="1">
      <alignment horizontal="center"/>
    </xf>
    <xf numFmtId="0" fontId="29" fillId="0" borderId="56" xfId="0" applyFont="1" applyBorder="1" applyAlignment="1">
      <alignment wrapText="1"/>
    </xf>
    <xf numFmtId="0" fontId="33" fillId="0" borderId="0" xfId="0" applyFont="1" applyAlignment="1">
      <alignment horizontal="left"/>
    </xf>
    <xf numFmtId="0" fontId="29" fillId="0" borderId="56" xfId="0" applyFont="1" applyBorder="1" applyAlignment="1">
      <alignment horizontal="left"/>
    </xf>
    <xf numFmtId="0" fontId="31" fillId="0" borderId="18" xfId="0" applyFont="1" applyBorder="1" applyAlignment="1">
      <alignment horizontal="left"/>
    </xf>
    <xf numFmtId="0" fontId="29" fillId="0" borderId="32" xfId="0" applyFont="1" applyBorder="1" applyAlignment="1">
      <alignment horizontal="left"/>
    </xf>
    <xf numFmtId="0" fontId="31" fillId="0" borderId="32" xfId="0" applyFont="1" applyBorder="1" applyAlignment="1">
      <alignment horizontal="left"/>
    </xf>
    <xf numFmtId="0" fontId="32" fillId="0" borderId="25" xfId="0" applyFont="1" applyBorder="1" applyAlignment="1">
      <alignment horizontal="center"/>
    </xf>
    <xf numFmtId="0" fontId="32" fillId="0" borderId="29" xfId="0" applyFont="1" applyBorder="1" applyAlignment="1">
      <alignment horizontal="center"/>
    </xf>
    <xf numFmtId="3" fontId="32" fillId="0" borderId="29" xfId="0" applyNumberFormat="1" applyFont="1" applyBorder="1" applyAlignment="1">
      <alignment horizontal="center"/>
    </xf>
    <xf numFmtId="0" fontId="29" fillId="27" borderId="31" xfId="0" applyFont="1" applyFill="1" applyBorder="1"/>
    <xf numFmtId="0" fontId="29" fillId="27" borderId="58" xfId="0" applyFont="1" applyFill="1" applyBorder="1"/>
    <xf numFmtId="0" fontId="32" fillId="27" borderId="37" xfId="0" applyFont="1" applyFill="1" applyBorder="1"/>
    <xf numFmtId="0" fontId="29" fillId="0" borderId="31" xfId="0" applyFont="1" applyBorder="1" applyAlignment="1">
      <alignment wrapText="1"/>
    </xf>
    <xf numFmtId="0" fontId="29" fillId="0" borderId="33" xfId="0" applyFont="1" applyBorder="1" applyAlignment="1">
      <alignment horizontal="justify"/>
    </xf>
    <xf numFmtId="0" fontId="29" fillId="0" borderId="35" xfId="0" applyFont="1" applyBorder="1" applyAlignment="1">
      <alignment wrapText="1"/>
    </xf>
    <xf numFmtId="0" fontId="32" fillId="0" borderId="41" xfId="0" applyFont="1" applyBorder="1" applyAlignment="1">
      <alignment wrapText="1"/>
    </xf>
    <xf numFmtId="0" fontId="32" fillId="0" borderId="23" xfId="0" applyFont="1" applyBorder="1" applyAlignment="1">
      <alignment horizontal="center"/>
    </xf>
    <xf numFmtId="0" fontId="32" fillId="0" borderId="27" xfId="0" applyFont="1" applyBorder="1" applyAlignment="1">
      <alignment horizontal="center"/>
    </xf>
    <xf numFmtId="0" fontId="29" fillId="27" borderId="30" xfId="0" applyFont="1" applyFill="1" applyBorder="1"/>
    <xf numFmtId="0" fontId="32" fillId="0" borderId="43" xfId="0" applyFont="1" applyBorder="1"/>
    <xf numFmtId="3" fontId="29" fillId="27" borderId="0" xfId="0" applyNumberFormat="1" applyFont="1" applyFill="1" applyAlignment="1">
      <alignment horizontal="right"/>
    </xf>
    <xf numFmtId="0" fontId="29" fillId="0" borderId="29" xfId="0" applyFont="1" applyBorder="1" applyAlignment="1">
      <alignment horizontal="center"/>
    </xf>
    <xf numFmtId="0" fontId="31" fillId="0" borderId="26" xfId="0" applyFont="1" applyBorder="1" applyAlignment="1">
      <alignment horizontal="center"/>
    </xf>
    <xf numFmtId="0" fontId="32" fillId="0" borderId="29" xfId="0" applyFont="1" applyBorder="1" applyAlignment="1">
      <alignment horizontal="justify"/>
    </xf>
    <xf numFmtId="0" fontId="32" fillId="0" borderId="37" xfId="0" applyFont="1" applyBorder="1" applyAlignment="1">
      <alignment horizontal="justify"/>
    </xf>
    <xf numFmtId="0" fontId="31" fillId="0" borderId="37" xfId="0" applyFont="1" applyBorder="1"/>
    <xf numFmtId="0" fontId="31" fillId="0" borderId="25" xfId="0" applyFont="1" applyBorder="1" applyAlignment="1">
      <alignment horizontal="center"/>
    </xf>
    <xf numFmtId="0" fontId="29" fillId="0" borderId="21" xfId="0" applyFont="1" applyBorder="1"/>
    <xf numFmtId="0" fontId="29" fillId="0" borderId="46" xfId="46" applyFont="1" applyBorder="1" applyAlignment="1">
      <alignment wrapText="1"/>
    </xf>
    <xf numFmtId="0" fontId="32" fillId="0" borderId="37" xfId="0" applyFont="1" applyBorder="1"/>
    <xf numFmtId="0" fontId="32" fillId="0" borderId="37" xfId="0" applyFont="1" applyBorder="1" applyAlignment="1">
      <alignment horizontal="left" wrapText="1"/>
    </xf>
    <xf numFmtId="0" fontId="32" fillId="0" borderId="26" xfId="0" applyFont="1" applyBorder="1" applyAlignment="1">
      <alignment horizontal="center" wrapText="1"/>
    </xf>
    <xf numFmtId="0" fontId="29" fillId="0" borderId="33" xfId="0" applyFont="1" applyBorder="1"/>
    <xf numFmtId="3" fontId="29" fillId="0" borderId="59" xfId="51" applyNumberFormat="1" applyFont="1" applyBorder="1" applyAlignment="1">
      <alignment horizontal="justify" wrapText="1"/>
    </xf>
    <xf numFmtId="0" fontId="29" fillId="0" borderId="31" xfId="0" applyFont="1" applyBorder="1" applyAlignment="1">
      <alignment horizontal="justify"/>
    </xf>
    <xf numFmtId="3" fontId="29" fillId="0" borderId="33" xfId="51" applyNumberFormat="1" applyFont="1" applyBorder="1" applyAlignment="1">
      <alignment horizontal="justify" vertical="top" wrapText="1"/>
    </xf>
    <xf numFmtId="3" fontId="29" fillId="0" borderId="59" xfId="51" applyNumberFormat="1" applyFont="1" applyBorder="1" applyAlignment="1">
      <alignment horizontal="justify" vertical="top" wrapText="1"/>
    </xf>
    <xf numFmtId="0" fontId="31" fillId="0" borderId="37" xfId="0" applyFont="1" applyBorder="1" applyAlignment="1">
      <alignment horizontal="left"/>
    </xf>
    <xf numFmtId="0" fontId="31" fillId="0" borderId="41" xfId="0" applyFont="1" applyBorder="1" applyAlignment="1">
      <alignment horizontal="center"/>
    </xf>
    <xf numFmtId="0" fontId="32" fillId="0" borderId="29" xfId="0" applyFont="1" applyBorder="1" applyAlignment="1">
      <alignment wrapText="1"/>
    </xf>
    <xf numFmtId="0" fontId="31" fillId="0" borderId="37" xfId="0" applyFont="1" applyBorder="1" applyAlignment="1">
      <alignment horizontal="center"/>
    </xf>
    <xf numFmtId="3" fontId="29" fillId="0" borderId="58" xfId="51" applyNumberFormat="1" applyFont="1" applyBorder="1" applyAlignment="1">
      <alignment horizontal="justify" vertical="top" wrapText="1"/>
    </xf>
    <xf numFmtId="0" fontId="31" fillId="0" borderId="41" xfId="0" applyFont="1" applyBorder="1"/>
    <xf numFmtId="0" fontId="32" fillId="0" borderId="41" xfId="0" applyFont="1" applyBorder="1"/>
    <xf numFmtId="0" fontId="32" fillId="0" borderId="26" xfId="0" applyFont="1" applyBorder="1" applyAlignment="1">
      <alignment horizontal="center"/>
    </xf>
    <xf numFmtId="3" fontId="29" fillId="0" borderId="21" xfId="51" applyNumberFormat="1" applyFont="1" applyBorder="1" applyAlignment="1">
      <alignment horizontal="justify" vertical="top" wrapText="1"/>
    </xf>
    <xf numFmtId="3" fontId="29" fillId="0" borderId="18" xfId="51" applyNumberFormat="1" applyFont="1" applyBorder="1" applyAlignment="1">
      <alignment horizontal="justify" vertical="top" wrapText="1"/>
    </xf>
    <xf numFmtId="0" fontId="31" fillId="0" borderId="37" xfId="0" applyFont="1" applyBorder="1" applyAlignment="1">
      <alignment horizontal="left" wrapText="1"/>
    </xf>
    <xf numFmtId="0" fontId="32" fillId="0" borderId="29" xfId="0" applyFont="1" applyBorder="1"/>
    <xf numFmtId="0" fontId="31" fillId="0" borderId="0" xfId="0" applyFont="1" applyAlignment="1">
      <alignment horizontal="left" wrapText="1"/>
    </xf>
    <xf numFmtId="0" fontId="32" fillId="0" borderId="25" xfId="0" applyFont="1" applyBorder="1" applyAlignment="1">
      <alignment horizontal="center" wrapText="1"/>
    </xf>
    <xf numFmtId="0" fontId="32" fillId="0" borderId="29" xfId="0" applyFont="1" applyBorder="1" applyAlignment="1">
      <alignment horizontal="center" wrapText="1"/>
    </xf>
    <xf numFmtId="0" fontId="29" fillId="0" borderId="0" xfId="0" applyFont="1" applyAlignment="1">
      <alignment horizontal="center" wrapText="1"/>
    </xf>
    <xf numFmtId="0" fontId="32" fillId="27" borderId="57" xfId="0" applyFont="1" applyFill="1" applyBorder="1" applyAlignment="1">
      <alignment horizontal="justify" wrapText="1"/>
    </xf>
    <xf numFmtId="0" fontId="29" fillId="27" borderId="58" xfId="0" applyFont="1" applyFill="1" applyBorder="1" applyAlignment="1">
      <alignment horizontal="left" wrapText="1"/>
    </xf>
    <xf numFmtId="0" fontId="29" fillId="27" borderId="31" xfId="0" applyFont="1" applyFill="1" applyBorder="1" applyAlignment="1">
      <alignment horizontal="justify" wrapText="1"/>
    </xf>
    <xf numFmtId="0" fontId="29" fillId="0" borderId="58" xfId="0" applyFont="1" applyBorder="1" applyAlignment="1">
      <alignment wrapText="1"/>
    </xf>
    <xf numFmtId="0" fontId="29" fillId="0" borderId="34" xfId="0" applyFont="1" applyBorder="1" applyAlignment="1">
      <alignment horizontal="justify" wrapText="1"/>
    </xf>
    <xf numFmtId="0" fontId="29" fillId="0" borderId="31" xfId="0" applyFont="1" applyBorder="1" applyAlignment="1">
      <alignment horizontal="justify" wrapText="1"/>
    </xf>
    <xf numFmtId="0" fontId="32" fillId="0" borderId="54" xfId="0" applyFont="1" applyBorder="1" applyAlignment="1">
      <alignment wrapText="1"/>
    </xf>
    <xf numFmtId="0" fontId="32" fillId="0" borderId="27" xfId="0" applyFont="1" applyBorder="1" applyAlignment="1">
      <alignment wrapText="1"/>
    </xf>
    <xf numFmtId="0" fontId="32" fillId="0" borderId="23" xfId="0" applyFont="1" applyBorder="1" applyAlignment="1">
      <alignment horizontal="center" wrapText="1"/>
    </xf>
    <xf numFmtId="0" fontId="32" fillId="0" borderId="27" xfId="0" applyFont="1" applyBorder="1" applyAlignment="1">
      <alignment horizontal="center" wrapText="1"/>
    </xf>
    <xf numFmtId="0" fontId="32" fillId="0" borderId="43" xfId="0" applyFont="1" applyBorder="1" applyAlignment="1">
      <alignment horizontal="justify" wrapText="1"/>
    </xf>
    <xf numFmtId="0" fontId="32" fillId="0" borderId="43" xfId="0" applyFont="1" applyBorder="1" applyAlignment="1">
      <alignment wrapText="1"/>
    </xf>
    <xf numFmtId="3" fontId="29" fillId="27" borderId="0" xfId="0" applyNumberFormat="1" applyFont="1" applyFill="1" applyAlignment="1">
      <alignment horizontal="right" wrapText="1"/>
    </xf>
    <xf numFmtId="0" fontId="32" fillId="27" borderId="37" xfId="0" applyFont="1" applyFill="1" applyBorder="1" applyAlignment="1">
      <alignment horizontal="justify"/>
    </xf>
    <xf numFmtId="0" fontId="31" fillId="0" borderId="18" xfId="0" applyFont="1" applyBorder="1" applyAlignment="1">
      <alignment horizontal="justify"/>
    </xf>
    <xf numFmtId="0" fontId="29" fillId="0" borderId="33" xfId="0" applyFont="1" applyBorder="1" applyAlignment="1">
      <alignment wrapText="1"/>
    </xf>
    <xf numFmtId="0" fontId="32" fillId="0" borderId="54" xfId="0" applyFont="1" applyBorder="1" applyAlignment="1">
      <alignment horizontal="left"/>
    </xf>
    <xf numFmtId="0" fontId="32" fillId="0" borderId="27" xfId="0" applyFont="1" applyBorder="1" applyAlignment="1">
      <alignment horizontal="left"/>
    </xf>
    <xf numFmtId="3" fontId="32" fillId="27" borderId="37" xfId="0" applyNumberFormat="1" applyFont="1" applyFill="1" applyBorder="1" applyAlignment="1">
      <alignment wrapText="1"/>
    </xf>
    <xf numFmtId="3" fontId="31" fillId="0" borderId="18" xfId="0" applyNumberFormat="1" applyFont="1" applyBorder="1" applyAlignment="1">
      <alignment wrapText="1"/>
    </xf>
    <xf numFmtId="0" fontId="32" fillId="0" borderId="27" xfId="0" applyFont="1" applyBorder="1"/>
    <xf numFmtId="3" fontId="29" fillId="27" borderId="0" xfId="0" applyNumberFormat="1" applyFont="1" applyFill="1"/>
    <xf numFmtId="0" fontId="33" fillId="0" borderId="0" xfId="0" applyFont="1" applyAlignment="1">
      <alignment horizontal="right" wrapText="1"/>
    </xf>
    <xf numFmtId="0" fontId="29" fillId="0" borderId="29" xfId="0" applyFont="1" applyBorder="1" applyAlignment="1">
      <alignment horizontal="left" wrapText="1"/>
    </xf>
    <xf numFmtId="0" fontId="32" fillId="0" borderId="37" xfId="0" applyFont="1" applyBorder="1" applyAlignment="1">
      <alignment horizontal="justify" wrapText="1"/>
    </xf>
    <xf numFmtId="0" fontId="32" fillId="27" borderId="21" xfId="0" applyFont="1" applyFill="1" applyBorder="1" applyAlignment="1">
      <alignment horizontal="left" wrapText="1"/>
    </xf>
    <xf numFmtId="0" fontId="32" fillId="0" borderId="41" xfId="0" applyFont="1" applyBorder="1" applyAlignment="1">
      <alignment horizontal="left" wrapText="1"/>
    </xf>
    <xf numFmtId="0" fontId="45" fillId="0" borderId="26" xfId="0" applyFont="1" applyBorder="1" applyAlignment="1">
      <alignment horizontal="left" wrapText="1"/>
    </xf>
    <xf numFmtId="0" fontId="29" fillId="27" borderId="21" xfId="0" applyFont="1" applyFill="1" applyBorder="1" applyAlignment="1">
      <alignment horizontal="left" wrapText="1"/>
    </xf>
    <xf numFmtId="0" fontId="29" fillId="27" borderId="33" xfId="0" applyFont="1" applyFill="1" applyBorder="1" applyAlignment="1">
      <alignment horizontal="left" wrapText="1"/>
    </xf>
    <xf numFmtId="0" fontId="32" fillId="0" borderId="50" xfId="0" applyFont="1" applyBorder="1" applyAlignment="1">
      <alignment horizontal="left" wrapText="1"/>
    </xf>
    <xf numFmtId="0" fontId="45" fillId="0" borderId="48" xfId="0" applyFont="1" applyBorder="1" applyAlignment="1">
      <alignment horizontal="left" wrapText="1"/>
    </xf>
    <xf numFmtId="0" fontId="29" fillId="0" borderId="21" xfId="0" applyFont="1" applyBorder="1" applyAlignment="1">
      <alignment horizontal="left" wrapText="1"/>
    </xf>
    <xf numFmtId="0" fontId="29" fillId="0" borderId="33" xfId="0" applyFont="1" applyBorder="1" applyAlignment="1">
      <alignment horizontal="left" wrapText="1"/>
    </xf>
    <xf numFmtId="0" fontId="29" fillId="0" borderId="60" xfId="0" applyFont="1" applyBorder="1" applyAlignment="1">
      <alignment horizontal="left" wrapText="1"/>
    </xf>
    <xf numFmtId="0" fontId="29" fillId="0" borderId="34" xfId="0" applyFont="1" applyBorder="1" applyAlignment="1">
      <alignment horizontal="left" wrapText="1"/>
    </xf>
    <xf numFmtId="0" fontId="45" fillId="0" borderId="34" xfId="0" applyFont="1" applyBorder="1" applyAlignment="1">
      <alignment horizontal="left" wrapText="1"/>
    </xf>
    <xf numFmtId="0" fontId="45" fillId="0" borderId="25" xfId="0" applyFont="1" applyBorder="1" applyAlignment="1">
      <alignment horizontal="left" wrapText="1"/>
    </xf>
    <xf numFmtId="0" fontId="29" fillId="0" borderId="21" xfId="0" applyFont="1" applyBorder="1" applyAlignment="1">
      <alignment horizontal="left" wrapText="1" shrinkToFit="1"/>
    </xf>
    <xf numFmtId="0" fontId="29" fillId="0" borderId="33" xfId="0" applyFont="1" applyBorder="1" applyAlignment="1">
      <alignment horizontal="left" wrapText="1" shrinkToFit="1"/>
    </xf>
    <xf numFmtId="0" fontId="32" fillId="0" borderId="29" xfId="0" applyFont="1" applyBorder="1" applyAlignment="1">
      <alignment horizontal="left" wrapText="1"/>
    </xf>
    <xf numFmtId="0" fontId="31" fillId="0" borderId="29" xfId="0" applyFont="1" applyBorder="1" applyAlignment="1">
      <alignment horizontal="left" wrapText="1"/>
    </xf>
    <xf numFmtId="0" fontId="31" fillId="0" borderId="0" xfId="0" applyFont="1" applyAlignment="1">
      <alignment horizontal="center" wrapText="1"/>
    </xf>
    <xf numFmtId="0" fontId="29" fillId="0" borderId="0" xfId="0" applyFont="1" applyAlignment="1">
      <alignment horizontal="left" wrapText="1"/>
    </xf>
    <xf numFmtId="0" fontId="29" fillId="0" borderId="27" xfId="0" applyFont="1" applyBorder="1" applyAlignment="1">
      <alignment horizontal="left" wrapText="1"/>
    </xf>
    <xf numFmtId="0" fontId="29" fillId="0" borderId="73" xfId="0" applyFont="1" applyBorder="1" applyAlignment="1">
      <alignment horizontal="justify" wrapText="1"/>
    </xf>
    <xf numFmtId="0" fontId="32" fillId="0" borderId="43" xfId="0" applyFont="1" applyBorder="1" applyAlignment="1">
      <alignment horizontal="left" wrapText="1"/>
    </xf>
    <xf numFmtId="0" fontId="29" fillId="0" borderId="18" xfId="0" applyFont="1" applyBorder="1" applyAlignment="1">
      <alignment horizontal="left" wrapText="1"/>
    </xf>
    <xf numFmtId="0" fontId="29" fillId="27" borderId="57" xfId="0" applyFont="1" applyFill="1" applyBorder="1"/>
    <xf numFmtId="0" fontId="29" fillId="0" borderId="21" xfId="0" applyFont="1" applyBorder="1" applyAlignment="1">
      <alignment horizontal="justify"/>
    </xf>
    <xf numFmtId="164" fontId="29" fillId="0" borderId="0" xfId="36" applyFont="1"/>
    <xf numFmtId="0" fontId="29" fillId="0" borderId="0" xfId="0" applyFont="1" applyAlignment="1">
      <alignment horizontal="right"/>
    </xf>
    <xf numFmtId="0" fontId="29" fillId="27" borderId="62" xfId="0" applyFont="1" applyFill="1" applyBorder="1"/>
    <xf numFmtId="0" fontId="27" fillId="0" borderId="31" xfId="0" applyFont="1" applyBorder="1"/>
    <xf numFmtId="0" fontId="31" fillId="0" borderId="43" xfId="0" applyFont="1" applyBorder="1" applyAlignment="1">
      <alignment horizontal="left"/>
    </xf>
    <xf numFmtId="0" fontId="29" fillId="0" borderId="34" xfId="0" applyFont="1" applyBorder="1"/>
    <xf numFmtId="0" fontId="32" fillId="0" borderId="43" xfId="0" applyFont="1" applyBorder="1" applyAlignment="1">
      <alignment horizontal="left"/>
    </xf>
    <xf numFmtId="3" fontId="32" fillId="0" borderId="25" xfId="0" applyNumberFormat="1" applyFont="1" applyBorder="1" applyAlignment="1">
      <alignment horizontal="center" wrapText="1"/>
    </xf>
    <xf numFmtId="3" fontId="32" fillId="0" borderId="29" xfId="0" applyNumberFormat="1" applyFont="1" applyBorder="1" applyAlignment="1">
      <alignment horizontal="center" wrapText="1"/>
    </xf>
    <xf numFmtId="0" fontId="29" fillId="27" borderId="31" xfId="0" applyFont="1" applyFill="1" applyBorder="1" applyAlignment="1">
      <alignment horizontal="left"/>
    </xf>
    <xf numFmtId="0" fontId="29" fillId="27" borderId="31" xfId="0" applyFont="1" applyFill="1" applyBorder="1" applyAlignment="1">
      <alignment horizontal="left" vertical="center" wrapText="1"/>
    </xf>
    <xf numFmtId="0" fontId="29" fillId="27" borderId="31" xfId="0" applyFont="1" applyFill="1" applyBorder="1" applyAlignment="1">
      <alignment horizontal="justify"/>
    </xf>
    <xf numFmtId="0" fontId="29" fillId="27" borderId="31" xfId="0" applyFont="1" applyFill="1" applyBorder="1" applyAlignment="1">
      <alignment horizontal="left" wrapText="1"/>
    </xf>
    <xf numFmtId="0" fontId="29" fillId="27" borderId="18" xfId="0" applyFont="1" applyFill="1" applyBorder="1" applyAlignment="1">
      <alignment horizontal="left" wrapText="1"/>
    </xf>
    <xf numFmtId="3" fontId="29" fillId="27" borderId="0" xfId="0" applyNumberFormat="1" applyFont="1" applyFill="1" applyProtection="1">
      <protection locked="0"/>
    </xf>
    <xf numFmtId="0" fontId="46" fillId="0" borderId="0" xfId="48" applyFont="1"/>
    <xf numFmtId="0" fontId="29" fillId="0" borderId="23" xfId="48" applyFont="1" applyBorder="1"/>
    <xf numFmtId="0" fontId="29" fillId="0" borderId="27" xfId="48" applyFont="1" applyBorder="1"/>
    <xf numFmtId="0" fontId="32" fillId="0" borderId="23" xfId="48" applyFont="1" applyBorder="1"/>
    <xf numFmtId="0" fontId="32" fillId="0" borderId="43" xfId="48" applyFont="1" applyBorder="1"/>
    <xf numFmtId="0" fontId="32" fillId="0" borderId="63" xfId="48" applyFont="1" applyBorder="1" applyAlignment="1">
      <alignment horizontal="left"/>
    </xf>
    <xf numFmtId="0" fontId="32" fillId="0" borderId="25" xfId="48" applyFont="1" applyBorder="1" applyAlignment="1">
      <alignment horizontal="center"/>
    </xf>
    <xf numFmtId="0" fontId="32" fillId="0" borderId="26" xfId="48" applyFont="1" applyBorder="1" applyAlignment="1">
      <alignment horizontal="justify"/>
    </xf>
    <xf numFmtId="0" fontId="32" fillId="0" borderId="34" xfId="48" applyFont="1" applyBorder="1" applyAlignment="1">
      <alignment horizontal="justify"/>
    </xf>
    <xf numFmtId="0" fontId="29" fillId="0" borderId="19" xfId="48" applyFont="1" applyBorder="1" applyAlignment="1">
      <alignment horizontal="left" wrapText="1"/>
    </xf>
    <xf numFmtId="0" fontId="32" fillId="0" borderId="48" xfId="48" applyFont="1" applyBorder="1" applyAlignment="1">
      <alignment horizontal="left"/>
    </xf>
    <xf numFmtId="0" fontId="43" fillId="0" borderId="0" xfId="48" applyFont="1"/>
    <xf numFmtId="0" fontId="28" fillId="0" borderId="28" xfId="48" applyFont="1" applyBorder="1" applyAlignment="1">
      <alignment horizontal="center"/>
    </xf>
    <xf numFmtId="0" fontId="28" fillId="0" borderId="24" xfId="48" applyFont="1" applyBorder="1" applyAlignment="1">
      <alignment horizontal="center"/>
    </xf>
    <xf numFmtId="0" fontId="28" fillId="0" borderId="19" xfId="48" applyFont="1" applyBorder="1" applyAlignment="1">
      <alignment horizontal="left"/>
    </xf>
    <xf numFmtId="0" fontId="28" fillId="0" borderId="32" xfId="48" applyFont="1" applyBorder="1" applyAlignment="1">
      <alignment horizontal="left"/>
    </xf>
    <xf numFmtId="0" fontId="28" fillId="0" borderId="40" xfId="48" applyFont="1" applyBorder="1" applyAlignment="1">
      <alignment horizontal="center"/>
    </xf>
    <xf numFmtId="0" fontId="30" fillId="0" borderId="47" xfId="48" applyFont="1" applyBorder="1" applyAlignment="1">
      <alignment horizontal="center"/>
    </xf>
    <xf numFmtId="0" fontId="30" fillId="0" borderId="0" xfId="48" applyFont="1" applyAlignment="1">
      <alignment horizontal="justify"/>
    </xf>
    <xf numFmtId="0" fontId="30" fillId="0" borderId="64" xfId="48" applyFont="1" applyBorder="1" applyAlignment="1">
      <alignment horizontal="justify"/>
    </xf>
    <xf numFmtId="0" fontId="28" fillId="0" borderId="19" xfId="48" applyFont="1" applyBorder="1" applyAlignment="1">
      <alignment horizontal="left" wrapText="1"/>
    </xf>
    <xf numFmtId="0" fontId="32" fillId="0" borderId="0" xfId="48" applyFont="1"/>
    <xf numFmtId="3" fontId="29" fillId="0" borderId="0" xfId="48" applyNumberFormat="1" applyFont="1"/>
    <xf numFmtId="0" fontId="32" fillId="0" borderId="18" xfId="48" applyFont="1" applyBorder="1" applyAlignment="1">
      <alignment horizontal="right"/>
    </xf>
    <xf numFmtId="0" fontId="32" fillId="0" borderId="24" xfId="48" applyFont="1" applyBorder="1"/>
    <xf numFmtId="0" fontId="32" fillId="0" borderId="11" xfId="48" applyFont="1" applyBorder="1" applyAlignment="1">
      <alignment horizontal="right"/>
    </xf>
    <xf numFmtId="0" fontId="32" fillId="0" borderId="49" xfId="48" applyFont="1" applyBorder="1" applyAlignment="1">
      <alignment horizontal="center"/>
    </xf>
    <xf numFmtId="0" fontId="32" fillId="0" borderId="63" xfId="48" applyFont="1" applyBorder="1" applyAlignment="1">
      <alignment horizontal="right"/>
    </xf>
    <xf numFmtId="0" fontId="32" fillId="0" borderId="47" xfId="48" applyFont="1" applyBorder="1"/>
    <xf numFmtId="0" fontId="29" fillId="0" borderId="19" xfId="48" applyFont="1" applyBorder="1"/>
    <xf numFmtId="3" fontId="29" fillId="0" borderId="19" xfId="0" applyNumberFormat="1" applyFont="1" applyBorder="1" applyAlignment="1">
      <alignment horizontal="justify"/>
    </xf>
    <xf numFmtId="0" fontId="32" fillId="0" borderId="49" xfId="48" applyFont="1" applyBorder="1"/>
    <xf numFmtId="0" fontId="39" fillId="0" borderId="0" xfId="48" applyFont="1"/>
    <xf numFmtId="0" fontId="31" fillId="0" borderId="18" xfId="48" applyFont="1" applyBorder="1" applyAlignment="1">
      <alignment horizontal="left"/>
    </xf>
    <xf numFmtId="0" fontId="31" fillId="0" borderId="0" xfId="48" applyFont="1"/>
    <xf numFmtId="0" fontId="29" fillId="0" borderId="32" xfId="48" applyFont="1" applyBorder="1" applyAlignment="1">
      <alignment wrapText="1"/>
    </xf>
    <xf numFmtId="3" fontId="29" fillId="0" borderId="0" xfId="0" applyNumberFormat="1" applyFont="1" applyAlignment="1">
      <alignment horizontal="justify"/>
    </xf>
    <xf numFmtId="0" fontId="29" fillId="0" borderId="43" xfId="48" applyFont="1" applyBorder="1" applyAlignment="1">
      <alignment horizontal="right"/>
    </xf>
    <xf numFmtId="0" fontId="32" fillId="0" borderId="40" xfId="48" applyFont="1" applyBorder="1"/>
    <xf numFmtId="0" fontId="32" fillId="0" borderId="27" xfId="48" applyFont="1" applyBorder="1" applyAlignment="1">
      <alignment horizontal="right"/>
    </xf>
    <xf numFmtId="0" fontId="32" fillId="0" borderId="28" xfId="48" applyFont="1" applyBorder="1"/>
    <xf numFmtId="0" fontId="39" fillId="0" borderId="0" xfId="50" applyFont="1"/>
    <xf numFmtId="0" fontId="32" fillId="0" borderId="0" xfId="50" applyFont="1" applyAlignment="1">
      <alignment horizontal="center"/>
    </xf>
    <xf numFmtId="0" fontId="29" fillId="0" borderId="0" xfId="50" applyFont="1"/>
    <xf numFmtId="3" fontId="29" fillId="0" borderId="0" xfId="50" applyNumberFormat="1" applyFont="1"/>
    <xf numFmtId="0" fontId="32" fillId="0" borderId="23" xfId="50" applyFont="1" applyBorder="1" applyAlignment="1">
      <alignment horizontal="center"/>
    </xf>
    <xf numFmtId="0" fontId="29" fillId="0" borderId="25" xfId="50" applyFont="1" applyBorder="1" applyAlignment="1">
      <alignment horizontal="center"/>
    </xf>
    <xf numFmtId="0" fontId="29" fillId="0" borderId="18" xfId="50" applyFont="1" applyBorder="1"/>
    <xf numFmtId="0" fontId="29" fillId="0" borderId="26" xfId="50" applyFont="1" applyBorder="1" applyAlignment="1">
      <alignment horizontal="center"/>
    </xf>
    <xf numFmtId="0" fontId="29" fillId="0" borderId="27" xfId="50" applyFont="1" applyBorder="1"/>
    <xf numFmtId="0" fontId="29" fillId="0" borderId="29" xfId="50" applyFont="1" applyBorder="1" applyAlignment="1">
      <alignment horizontal="center" vertical="center" wrapText="1"/>
    </xf>
    <xf numFmtId="3" fontId="32" fillId="0" borderId="0" xfId="50" applyNumberFormat="1" applyFont="1"/>
    <xf numFmtId="0" fontId="29" fillId="0" borderId="73" xfId="50" applyFont="1" applyBorder="1"/>
    <xf numFmtId="3" fontId="29" fillId="0" borderId="70" xfId="50" applyNumberFormat="1" applyFont="1" applyBorder="1"/>
    <xf numFmtId="3" fontId="29" fillId="0" borderId="29" xfId="50" applyNumberFormat="1" applyFont="1" applyBorder="1"/>
    <xf numFmtId="0" fontId="32" fillId="0" borderId="43" xfId="50" applyFont="1" applyBorder="1" applyAlignment="1">
      <alignment horizontal="justify"/>
    </xf>
    <xf numFmtId="3" fontId="32" fillId="0" borderId="37" xfId="50" applyNumberFormat="1" applyFont="1" applyBorder="1"/>
    <xf numFmtId="0" fontId="32" fillId="0" borderId="0" xfId="50" applyFont="1"/>
    <xf numFmtId="0" fontId="29" fillId="0" borderId="18" xfId="50" applyFont="1" applyBorder="1" applyAlignment="1">
      <alignment horizontal="justify"/>
    </xf>
    <xf numFmtId="3" fontId="29" fillId="0" borderId="35" xfId="50" applyNumberFormat="1" applyFont="1" applyBorder="1"/>
    <xf numFmtId="3" fontId="29" fillId="0" borderId="26" xfId="50" applyNumberFormat="1" applyFont="1" applyBorder="1"/>
    <xf numFmtId="0" fontId="32" fillId="0" borderId="43" xfId="50" applyFont="1" applyBorder="1"/>
    <xf numFmtId="2" fontId="29" fillId="0" borderId="0" xfId="50" applyNumberFormat="1" applyFont="1"/>
    <xf numFmtId="3" fontId="39" fillId="0" borderId="0" xfId="50" applyNumberFormat="1" applyFont="1"/>
    <xf numFmtId="0" fontId="29" fillId="0" borderId="29" xfId="50" applyFont="1" applyBorder="1" applyAlignment="1">
      <alignment horizontal="justify"/>
    </xf>
    <xf numFmtId="0" fontId="29" fillId="0" borderId="23" xfId="50" applyFont="1" applyBorder="1" applyAlignment="1">
      <alignment horizontal="justify"/>
    </xf>
    <xf numFmtId="0" fontId="29" fillId="0" borderId="23" xfId="0" applyFont="1" applyBorder="1" applyAlignment="1">
      <alignment horizontal="center"/>
    </xf>
    <xf numFmtId="0" fontId="29" fillId="0" borderId="67" xfId="0" applyFont="1" applyBorder="1" applyAlignment="1">
      <alignment horizontal="center" wrapText="1"/>
    </xf>
    <xf numFmtId="0" fontId="29" fillId="0" borderId="16" xfId="0" applyFont="1" applyBorder="1" applyAlignment="1">
      <alignment horizontal="center" wrapText="1"/>
    </xf>
    <xf numFmtId="0" fontId="32" fillId="0" borderId="68" xfId="0" applyFont="1" applyBorder="1"/>
    <xf numFmtId="0" fontId="29" fillId="0" borderId="68" xfId="0" applyFont="1" applyBorder="1"/>
    <xf numFmtId="0" fontId="29" fillId="0" borderId="17" xfId="0" applyFont="1" applyBorder="1"/>
    <xf numFmtId="4" fontId="29" fillId="0" borderId="0" xfId="0" applyNumberFormat="1" applyFont="1"/>
    <xf numFmtId="3" fontId="29" fillId="0" borderId="22" xfId="0" applyNumberFormat="1" applyFont="1" applyBorder="1"/>
    <xf numFmtId="3" fontId="29" fillId="0" borderId="46" xfId="0" applyNumberFormat="1" applyFont="1" applyBorder="1"/>
    <xf numFmtId="3" fontId="29" fillId="0" borderId="10" xfId="0" applyNumberFormat="1" applyFont="1" applyBorder="1"/>
    <xf numFmtId="3" fontId="29" fillId="0" borderId="11" xfId="0" applyNumberFormat="1" applyFont="1" applyBorder="1"/>
    <xf numFmtId="3" fontId="29" fillId="0" borderId="13" xfId="0" applyNumberFormat="1" applyFont="1" applyBorder="1"/>
    <xf numFmtId="3" fontId="29" fillId="0" borderId="54" xfId="0" applyNumberFormat="1" applyFont="1" applyBorder="1"/>
    <xf numFmtId="3" fontId="29" fillId="0" borderId="69" xfId="0" applyNumberFormat="1" applyFont="1" applyBorder="1"/>
    <xf numFmtId="3" fontId="29" fillId="0" borderId="69" xfId="0" applyNumberFormat="1" applyFont="1" applyBorder="1" applyAlignment="1">
      <alignment horizontal="right"/>
    </xf>
    <xf numFmtId="3" fontId="32" fillId="0" borderId="27" xfId="0" applyNumberFormat="1" applyFont="1" applyBorder="1"/>
    <xf numFmtId="3" fontId="29" fillId="0" borderId="68" xfId="0" applyNumberFormat="1" applyFont="1" applyBorder="1"/>
    <xf numFmtId="3" fontId="32" fillId="0" borderId="68" xfId="0" applyNumberFormat="1" applyFont="1" applyBorder="1" applyAlignment="1">
      <alignment horizontal="right"/>
    </xf>
    <xf numFmtId="3" fontId="29" fillId="0" borderId="17" xfId="0" applyNumberFormat="1" applyFont="1" applyBorder="1"/>
    <xf numFmtId="165" fontId="29" fillId="0" borderId="0" xfId="36" applyNumberFormat="1" applyFont="1" applyFill="1"/>
    <xf numFmtId="0" fontId="28" fillId="0" borderId="32" xfId="48" applyFont="1" applyBorder="1" applyAlignment="1">
      <alignment horizontal="left" wrapText="1"/>
    </xf>
    <xf numFmtId="3" fontId="29" fillId="0" borderId="74" xfId="0" applyNumberFormat="1" applyFont="1" applyBorder="1"/>
    <xf numFmtId="3" fontId="29" fillId="0" borderId="33" xfId="0" applyNumberFormat="1" applyFont="1" applyBorder="1" applyAlignment="1">
      <alignment horizontal="left" wrapText="1"/>
    </xf>
    <xf numFmtId="0" fontId="29" fillId="0" borderId="21" xfId="0" applyFont="1" applyBorder="1" applyAlignment="1">
      <alignment wrapText="1"/>
    </xf>
    <xf numFmtId="3" fontId="33" fillId="0" borderId="21" xfId="0" applyNumberFormat="1" applyFont="1" applyBorder="1"/>
    <xf numFmtId="0" fontId="33" fillId="0" borderId="0" xfId="0" applyFont="1"/>
    <xf numFmtId="0" fontId="29" fillId="0" borderId="25" xfId="48" applyFont="1" applyBorder="1" applyAlignment="1">
      <alignment horizontal="right"/>
    </xf>
    <xf numFmtId="3" fontId="32" fillId="0" borderId="0" xfId="48" applyNumberFormat="1" applyFont="1" applyAlignment="1">
      <alignment horizontal="center"/>
    </xf>
    <xf numFmtId="0" fontId="29" fillId="0" borderId="32" xfId="48" applyFont="1" applyBorder="1" applyAlignment="1">
      <alignment horizontal="left" wrapText="1"/>
    </xf>
    <xf numFmtId="0" fontId="29" fillId="0" borderId="40" xfId="48" applyFont="1" applyBorder="1"/>
    <xf numFmtId="3" fontId="29" fillId="0" borderId="21" xfId="48" applyNumberFormat="1" applyFont="1" applyBorder="1" applyAlignment="1">
      <alignment horizontal="right"/>
    </xf>
    <xf numFmtId="0" fontId="29" fillId="0" borderId="26" xfId="48" applyFont="1" applyBorder="1" applyAlignment="1">
      <alignment horizontal="right"/>
    </xf>
    <xf numFmtId="0" fontId="29" fillId="0" borderId="48" xfId="48" applyFont="1" applyBorder="1" applyAlignment="1">
      <alignment horizontal="right"/>
    </xf>
    <xf numFmtId="3" fontId="29" fillId="27" borderId="58" xfId="0" applyNumberFormat="1" applyFont="1" applyFill="1" applyBorder="1"/>
    <xf numFmtId="3" fontId="29" fillId="27" borderId="18" xfId="0" applyNumberFormat="1" applyFont="1" applyFill="1" applyBorder="1"/>
    <xf numFmtId="3" fontId="29" fillId="0" borderId="58" xfId="0" applyNumberFormat="1" applyFont="1" applyBorder="1" applyAlignment="1">
      <alignment wrapText="1"/>
    </xf>
    <xf numFmtId="3" fontId="29" fillId="0" borderId="58" xfId="0" applyNumberFormat="1" applyFont="1" applyBorder="1"/>
    <xf numFmtId="3" fontId="29" fillId="27" borderId="30" xfId="0" applyNumberFormat="1" applyFont="1" applyFill="1" applyBorder="1"/>
    <xf numFmtId="3" fontId="29" fillId="0" borderId="58" xfId="0" applyNumberFormat="1" applyFont="1" applyBorder="1" applyAlignment="1">
      <alignment horizontal="right" wrapText="1"/>
    </xf>
    <xf numFmtId="3" fontId="29" fillId="27" borderId="58" xfId="0" applyNumberFormat="1" applyFont="1" applyFill="1" applyBorder="1" applyAlignment="1">
      <alignment horizontal="right"/>
    </xf>
    <xf numFmtId="3" fontId="29" fillId="0" borderId="58" xfId="0" applyNumberFormat="1" applyFont="1" applyBorder="1" applyAlignment="1">
      <alignment horizontal="right"/>
    </xf>
    <xf numFmtId="3" fontId="31" fillId="0" borderId="26" xfId="0" applyNumberFormat="1" applyFont="1" applyBorder="1" applyAlignment="1">
      <alignment horizontal="center"/>
    </xf>
    <xf numFmtId="3" fontId="32" fillId="0" borderId="26" xfId="0" applyNumberFormat="1" applyFont="1" applyBorder="1" applyAlignment="1">
      <alignment horizontal="center" wrapText="1"/>
    </xf>
    <xf numFmtId="3" fontId="31" fillId="0" borderId="0" xfId="0" applyNumberFormat="1" applyFont="1" applyAlignment="1">
      <alignment horizontal="left" wrapText="1"/>
    </xf>
    <xf numFmtId="3" fontId="32" fillId="27" borderId="43" xfId="0" applyNumberFormat="1" applyFont="1" applyFill="1" applyBorder="1"/>
    <xf numFmtId="3" fontId="32" fillId="0" borderId="0" xfId="0" applyNumberFormat="1" applyFont="1" applyAlignment="1">
      <alignment horizontal="right"/>
    </xf>
    <xf numFmtId="3" fontId="32" fillId="0" borderId="29" xfId="0" applyNumberFormat="1" applyFont="1" applyBorder="1" applyAlignment="1">
      <alignment horizontal="right"/>
    </xf>
    <xf numFmtId="3" fontId="29" fillId="0" borderId="58" xfId="51" applyNumberFormat="1" applyFont="1" applyBorder="1" applyAlignment="1">
      <alignment horizontal="right" wrapText="1"/>
    </xf>
    <xf numFmtId="3" fontId="29" fillId="0" borderId="21" xfId="51" applyNumberFormat="1" applyFont="1" applyBorder="1" applyAlignment="1">
      <alignment horizontal="right" vertical="top" wrapText="1"/>
    </xf>
    <xf numFmtId="3" fontId="29" fillId="0" borderId="60" xfId="51" applyNumberFormat="1" applyFont="1" applyBorder="1" applyAlignment="1">
      <alignment horizontal="right" vertical="top" wrapText="1"/>
    </xf>
    <xf numFmtId="3" fontId="32" fillId="0" borderId="41" xfId="0" applyNumberFormat="1" applyFont="1" applyBorder="1" applyAlignment="1">
      <alignment horizontal="right"/>
    </xf>
    <xf numFmtId="3" fontId="29" fillId="0" borderId="58" xfId="51" applyNumberFormat="1" applyFont="1" applyBorder="1" applyAlignment="1">
      <alignment horizontal="right" vertical="top" wrapText="1"/>
    </xf>
    <xf numFmtId="3" fontId="29" fillId="0" borderId="18" xfId="51" applyNumberFormat="1" applyFont="1" applyBorder="1" applyAlignment="1">
      <alignment horizontal="right" vertical="top" wrapText="1"/>
    </xf>
    <xf numFmtId="3" fontId="32" fillId="0" borderId="0" xfId="0" applyNumberFormat="1" applyFont="1" applyAlignment="1">
      <alignment horizontal="center" wrapText="1"/>
    </xf>
    <xf numFmtId="3" fontId="31" fillId="0" borderId="0" xfId="0" applyNumberFormat="1" applyFont="1" applyAlignment="1">
      <alignment wrapText="1"/>
    </xf>
    <xf numFmtId="3" fontId="32" fillId="0" borderId="40" xfId="0" applyNumberFormat="1" applyFont="1" applyBorder="1" applyAlignment="1">
      <alignment wrapText="1"/>
    </xf>
    <xf numFmtId="3" fontId="32" fillId="0" borderId="0" xfId="0" applyNumberFormat="1" applyFont="1" applyAlignment="1">
      <alignment wrapText="1"/>
    </xf>
    <xf numFmtId="3" fontId="32" fillId="27" borderId="25" xfId="0" applyNumberFormat="1" applyFont="1" applyFill="1" applyBorder="1" applyAlignment="1">
      <alignment horizontal="right" wrapText="1"/>
    </xf>
    <xf numFmtId="3" fontId="31" fillId="0" borderId="23" xfId="0" applyNumberFormat="1" applyFont="1" applyBorder="1" applyAlignment="1">
      <alignment horizontal="right" wrapText="1"/>
    </xf>
    <xf numFmtId="3" fontId="29" fillId="27" borderId="58" xfId="0" applyNumberFormat="1" applyFont="1" applyFill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31" fillId="0" borderId="18" xfId="0" applyNumberFormat="1" applyFont="1" applyBorder="1" applyAlignment="1">
      <alignment horizontal="right"/>
    </xf>
    <xf numFmtId="3" fontId="32" fillId="0" borderId="24" xfId="0" applyNumberFormat="1" applyFont="1" applyBorder="1"/>
    <xf numFmtId="3" fontId="32" fillId="27" borderId="37" xfId="0" applyNumberFormat="1" applyFont="1" applyFill="1" applyBorder="1" applyAlignment="1">
      <alignment horizontal="right" wrapText="1"/>
    </xf>
    <xf numFmtId="3" fontId="31" fillId="0" borderId="18" xfId="0" applyNumberFormat="1" applyFont="1" applyBorder="1" applyAlignment="1">
      <alignment horizontal="right" wrapText="1"/>
    </xf>
    <xf numFmtId="3" fontId="29" fillId="0" borderId="31" xfId="0" applyNumberFormat="1" applyFont="1" applyBorder="1" applyAlignment="1">
      <alignment horizontal="right" wrapText="1"/>
    </xf>
    <xf numFmtId="3" fontId="32" fillId="0" borderId="43" xfId="0" applyNumberFormat="1" applyFont="1" applyBorder="1" applyAlignment="1">
      <alignment horizontal="right" wrapText="1"/>
    </xf>
    <xf numFmtId="3" fontId="32" fillId="0" borderId="61" xfId="0" applyNumberFormat="1" applyFont="1" applyBorder="1" applyAlignment="1">
      <alignment horizontal="right"/>
    </xf>
    <xf numFmtId="3" fontId="29" fillId="0" borderId="0" xfId="0" applyNumberFormat="1" applyFont="1" applyAlignment="1">
      <alignment horizontal="left" wrapText="1"/>
    </xf>
    <xf numFmtId="3" fontId="45" fillId="0" borderId="26" xfId="0" applyNumberFormat="1" applyFont="1" applyBorder="1" applyAlignment="1">
      <alignment horizontal="right" wrapText="1"/>
    </xf>
    <xf numFmtId="3" fontId="34" fillId="0" borderId="26" xfId="0" applyNumberFormat="1" applyFont="1" applyBorder="1" applyAlignment="1">
      <alignment horizontal="right" wrapText="1"/>
    </xf>
    <xf numFmtId="3" fontId="29" fillId="0" borderId="21" xfId="0" applyNumberFormat="1" applyFont="1" applyBorder="1" applyAlignment="1">
      <alignment horizontal="right" wrapText="1" shrinkToFit="1"/>
    </xf>
    <xf numFmtId="3" fontId="29" fillId="0" borderId="73" xfId="0" applyNumberFormat="1" applyFont="1" applyBorder="1" applyAlignment="1">
      <alignment horizontal="right" wrapText="1"/>
    </xf>
    <xf numFmtId="3" fontId="29" fillId="27" borderId="57" xfId="0" applyNumberFormat="1" applyFont="1" applyFill="1" applyBorder="1" applyAlignment="1">
      <alignment horizontal="right"/>
    </xf>
    <xf numFmtId="3" fontId="29" fillId="0" borderId="33" xfId="0" applyNumberFormat="1" applyFont="1" applyBorder="1" applyAlignment="1">
      <alignment horizontal="right" wrapText="1"/>
    </xf>
    <xf numFmtId="3" fontId="29" fillId="27" borderId="21" xfId="0" applyNumberFormat="1" applyFont="1" applyFill="1" applyBorder="1" applyAlignment="1" applyProtection="1">
      <alignment horizontal="right"/>
      <protection locked="0"/>
    </xf>
    <xf numFmtId="3" fontId="29" fillId="0" borderId="21" xfId="0" applyNumberFormat="1" applyFont="1" applyBorder="1" applyAlignment="1" applyProtection="1">
      <alignment horizontal="right"/>
      <protection locked="0"/>
    </xf>
    <xf numFmtId="3" fontId="29" fillId="0" borderId="57" xfId="0" applyNumberFormat="1" applyFont="1" applyBorder="1" applyAlignment="1" applyProtection="1">
      <alignment horizontal="right"/>
      <protection locked="0"/>
    </xf>
    <xf numFmtId="3" fontId="29" fillId="0" borderId="33" xfId="0" applyNumberFormat="1" applyFont="1" applyBorder="1" applyAlignment="1" applyProtection="1">
      <alignment horizontal="right"/>
      <protection locked="0"/>
    </xf>
    <xf numFmtId="3" fontId="29" fillId="0" borderId="34" xfId="0" applyNumberFormat="1" applyFont="1" applyBorder="1" applyAlignment="1" applyProtection="1">
      <alignment horizontal="right"/>
      <protection locked="0"/>
    </xf>
    <xf numFmtId="3" fontId="29" fillId="27" borderId="31" xfId="0" applyNumberFormat="1" applyFont="1" applyFill="1" applyBorder="1" applyAlignment="1">
      <alignment horizontal="right"/>
    </xf>
    <xf numFmtId="3" fontId="29" fillId="27" borderId="31" xfId="0" applyNumberFormat="1" applyFont="1" applyFill="1" applyBorder="1" applyAlignment="1">
      <alignment horizontal="right" vertical="center" wrapText="1"/>
    </xf>
    <xf numFmtId="3" fontId="29" fillId="27" borderId="31" xfId="0" applyNumberFormat="1" applyFont="1" applyFill="1" applyBorder="1" applyAlignment="1">
      <alignment horizontal="right" wrapText="1"/>
    </xf>
    <xf numFmtId="3" fontId="29" fillId="27" borderId="18" xfId="0" applyNumberFormat="1" applyFont="1" applyFill="1" applyBorder="1" applyAlignment="1">
      <alignment horizontal="right" wrapText="1"/>
    </xf>
    <xf numFmtId="3" fontId="28" fillId="0" borderId="25" xfId="48" applyNumberFormat="1" applyFont="1" applyBorder="1" applyAlignment="1">
      <alignment horizontal="right"/>
    </xf>
    <xf numFmtId="3" fontId="28" fillId="0" borderId="21" xfId="48" applyNumberFormat="1" applyFont="1" applyBorder="1" applyAlignment="1">
      <alignment horizontal="right"/>
    </xf>
    <xf numFmtId="3" fontId="28" fillId="0" borderId="21" xfId="48" applyNumberFormat="1" applyFont="1" applyBorder="1" applyAlignment="1">
      <alignment horizontal="right" wrapText="1"/>
    </xf>
    <xf numFmtId="3" fontId="32" fillId="0" borderId="37" xfId="48" applyNumberFormat="1" applyFont="1" applyBorder="1" applyAlignment="1">
      <alignment horizontal="right"/>
    </xf>
    <xf numFmtId="3" fontId="32" fillId="0" borderId="25" xfId="48" applyNumberFormat="1" applyFont="1" applyBorder="1" applyAlignment="1">
      <alignment horizontal="right"/>
    </xf>
    <xf numFmtId="3" fontId="32" fillId="0" borderId="26" xfId="48" applyNumberFormat="1" applyFont="1" applyBorder="1" applyAlignment="1">
      <alignment horizontal="right"/>
    </xf>
    <xf numFmtId="3" fontId="29" fillId="0" borderId="34" xfId="48" applyNumberFormat="1" applyFont="1" applyBorder="1" applyAlignment="1">
      <alignment horizontal="right"/>
    </xf>
    <xf numFmtId="3" fontId="29" fillId="0" borderId="26" xfId="48" applyNumberFormat="1" applyFont="1" applyBorder="1" applyAlignment="1">
      <alignment horizontal="right"/>
    </xf>
    <xf numFmtId="3" fontId="30" fillId="0" borderId="26" xfId="48" applyNumberFormat="1" applyFont="1" applyBorder="1" applyAlignment="1">
      <alignment horizontal="right"/>
    </xf>
    <xf numFmtId="3" fontId="28" fillId="0" borderId="33" xfId="0" applyNumberFormat="1" applyFont="1" applyBorder="1" applyAlignment="1">
      <alignment horizontal="right"/>
    </xf>
    <xf numFmtId="3" fontId="29" fillId="0" borderId="21" xfId="48" applyNumberFormat="1" applyFont="1" applyBorder="1" applyAlignment="1">
      <alignment horizontal="right" wrapText="1"/>
    </xf>
    <xf numFmtId="3" fontId="32" fillId="0" borderId="48" xfId="48" applyNumberFormat="1" applyFont="1" applyBorder="1" applyAlignment="1">
      <alignment horizontal="right"/>
    </xf>
    <xf numFmtId="3" fontId="31" fillId="0" borderId="26" xfId="48" applyNumberFormat="1" applyFont="1" applyBorder="1" applyAlignment="1">
      <alignment horizontal="right"/>
    </xf>
    <xf numFmtId="3" fontId="32" fillId="0" borderId="29" xfId="48" applyNumberFormat="1" applyFont="1" applyBorder="1" applyAlignment="1">
      <alignment horizontal="right"/>
    </xf>
    <xf numFmtId="3" fontId="29" fillId="0" borderId="0" xfId="48" applyNumberFormat="1" applyFont="1" applyAlignment="1">
      <alignment horizontal="right"/>
    </xf>
    <xf numFmtId="0" fontId="29" fillId="0" borderId="76" xfId="0" applyFont="1" applyBorder="1" applyAlignment="1">
      <alignment horizontal="left"/>
    </xf>
    <xf numFmtId="3" fontId="29" fillId="0" borderId="70" xfId="0" applyNumberFormat="1" applyFont="1" applyBorder="1"/>
    <xf numFmtId="0" fontId="29" fillId="0" borderId="77" xfId="46" applyFont="1" applyBorder="1" applyAlignment="1">
      <alignment wrapText="1"/>
    </xf>
    <xf numFmtId="3" fontId="29" fillId="0" borderId="33" xfId="0" applyNumberFormat="1" applyFont="1" applyBorder="1" applyAlignment="1">
      <alignment wrapText="1"/>
    </xf>
    <xf numFmtId="0" fontId="29" fillId="0" borderId="26" xfId="0" applyFont="1" applyBorder="1"/>
    <xf numFmtId="0" fontId="29" fillId="0" borderId="62" xfId="0" applyFont="1" applyBorder="1" applyAlignment="1">
      <alignment wrapText="1"/>
    </xf>
    <xf numFmtId="0" fontId="32" fillId="27" borderId="27" xfId="0" applyFont="1" applyFill="1" applyBorder="1" applyAlignment="1">
      <alignment horizontal="justify"/>
    </xf>
    <xf numFmtId="3" fontId="32" fillId="27" borderId="29" xfId="0" applyNumberFormat="1" applyFont="1" applyFill="1" applyBorder="1" applyAlignment="1">
      <alignment horizontal="right"/>
    </xf>
    <xf numFmtId="3" fontId="29" fillId="25" borderId="21" xfId="48" applyNumberFormat="1" applyFont="1" applyFill="1" applyBorder="1" applyAlignment="1">
      <alignment horizontal="right"/>
    </xf>
    <xf numFmtId="3" fontId="29" fillId="0" borderId="0" xfId="0" applyNumberFormat="1" applyFont="1" applyProtection="1">
      <protection locked="0"/>
    </xf>
    <xf numFmtId="3" fontId="28" fillId="0" borderId="21" xfId="0" applyNumberFormat="1" applyFont="1" applyBorder="1" applyAlignment="1">
      <alignment horizontal="right"/>
    </xf>
    <xf numFmtId="0" fontId="30" fillId="0" borderId="0" xfId="48" applyFont="1" applyAlignment="1">
      <alignment horizontal="left"/>
    </xf>
    <xf numFmtId="3" fontId="32" fillId="27" borderId="37" xfId="0" applyNumberFormat="1" applyFont="1" applyFill="1" applyBorder="1" applyAlignment="1" applyProtection="1">
      <alignment horizontal="right"/>
      <protection locked="0"/>
    </xf>
    <xf numFmtId="3" fontId="32" fillId="27" borderId="37" xfId="0" applyNumberFormat="1" applyFont="1" applyFill="1" applyBorder="1" applyProtection="1">
      <protection locked="0"/>
    </xf>
    <xf numFmtId="0" fontId="29" fillId="27" borderId="21" xfId="0" applyFont="1" applyFill="1" applyBorder="1"/>
    <xf numFmtId="3" fontId="31" fillId="27" borderId="37" xfId="0" applyNumberFormat="1" applyFont="1" applyFill="1" applyBorder="1" applyAlignment="1" applyProtection="1">
      <alignment horizontal="right"/>
      <protection locked="0"/>
    </xf>
    <xf numFmtId="0" fontId="32" fillId="27" borderId="43" xfId="0" applyFont="1" applyFill="1" applyBorder="1"/>
    <xf numFmtId="0" fontId="31" fillId="0" borderId="32" xfId="0" applyFont="1" applyBorder="1"/>
    <xf numFmtId="0" fontId="29" fillId="0" borderId="0" xfId="48" applyFont="1" applyAlignment="1">
      <alignment horizontal="left" wrapText="1"/>
    </xf>
    <xf numFmtId="3" fontId="29" fillId="0" borderId="26" xfId="48" applyNumberFormat="1" applyFont="1" applyBorder="1" applyAlignment="1">
      <alignment horizontal="right" wrapText="1"/>
    </xf>
    <xf numFmtId="3" fontId="29" fillId="25" borderId="26" xfId="48" applyNumberFormat="1" applyFont="1" applyFill="1" applyBorder="1"/>
    <xf numFmtId="3" fontId="29" fillId="0" borderId="62" xfId="0" applyNumberFormat="1" applyFont="1" applyBorder="1"/>
    <xf numFmtId="0" fontId="29" fillId="0" borderId="19" xfId="0" applyFont="1" applyBorder="1" applyAlignment="1">
      <alignment horizontal="left" wrapText="1"/>
    </xf>
    <xf numFmtId="0" fontId="29" fillId="0" borderId="52" xfId="0" applyFont="1" applyBorder="1" applyAlignment="1">
      <alignment horizontal="left" wrapText="1" shrinkToFit="1"/>
    </xf>
    <xf numFmtId="3" fontId="50" fillId="0" borderId="57" xfId="0" applyNumberFormat="1" applyFont="1" applyBorder="1" applyAlignment="1">
      <alignment horizontal="right"/>
    </xf>
    <xf numFmtId="3" fontId="50" fillId="0" borderId="21" xfId="0" applyNumberFormat="1" applyFont="1" applyBorder="1" applyAlignment="1">
      <alignment horizontal="right"/>
    </xf>
    <xf numFmtId="3" fontId="50" fillId="0" borderId="33" xfId="0" applyNumberFormat="1" applyFont="1" applyBorder="1" applyAlignment="1">
      <alignment horizontal="right"/>
    </xf>
    <xf numFmtId="3" fontId="50" fillId="0" borderId="34" xfId="0" applyNumberFormat="1" applyFont="1" applyBorder="1"/>
    <xf numFmtId="3" fontId="50" fillId="0" borderId="21" xfId="0" applyNumberFormat="1" applyFont="1" applyBorder="1"/>
    <xf numFmtId="3" fontId="50" fillId="0" borderId="33" xfId="0" applyNumberFormat="1" applyFont="1" applyBorder="1"/>
    <xf numFmtId="3" fontId="52" fillId="0" borderId="36" xfId="0" applyNumberFormat="1" applyFont="1" applyBorder="1"/>
    <xf numFmtId="3" fontId="49" fillId="0" borderId="37" xfId="0" applyNumberFormat="1" applyFont="1" applyBorder="1" applyAlignment="1">
      <alignment horizontal="right"/>
    </xf>
    <xf numFmtId="3" fontId="49" fillId="0" borderId="25" xfId="0" applyNumberFormat="1" applyFont="1" applyBorder="1" applyAlignment="1">
      <alignment horizontal="right"/>
    </xf>
    <xf numFmtId="3" fontId="50" fillId="0" borderId="25" xfId="0" applyNumberFormat="1" applyFont="1" applyBorder="1" applyAlignment="1">
      <alignment horizontal="right"/>
    </xf>
    <xf numFmtId="3" fontId="49" fillId="0" borderId="41" xfId="0" applyNumberFormat="1" applyFont="1" applyBorder="1"/>
    <xf numFmtId="3" fontId="49" fillId="0" borderId="37" xfId="0" applyNumberFormat="1" applyFont="1" applyBorder="1"/>
    <xf numFmtId="3" fontId="49" fillId="0" borderId="24" xfId="0" applyNumberFormat="1" applyFont="1" applyBorder="1" applyAlignment="1">
      <alignment horizontal="left"/>
    </xf>
    <xf numFmtId="3" fontId="49" fillId="0" borderId="25" xfId="0" applyNumberFormat="1" applyFont="1" applyBorder="1" applyAlignment="1">
      <alignment horizontal="left"/>
    </xf>
    <xf numFmtId="3" fontId="49" fillId="0" borderId="26" xfId="0" applyNumberFormat="1" applyFont="1" applyBorder="1" applyAlignment="1">
      <alignment horizontal="left"/>
    </xf>
    <xf numFmtId="3" fontId="49" fillId="0" borderId="26" xfId="0" applyNumberFormat="1" applyFont="1" applyBorder="1" applyAlignment="1">
      <alignment horizontal="right"/>
    </xf>
    <xf numFmtId="3" fontId="50" fillId="0" borderId="29" xfId="0" applyNumberFormat="1" applyFont="1" applyBorder="1"/>
    <xf numFmtId="3" fontId="50" fillId="0" borderId="26" xfId="0" applyNumberFormat="1" applyFont="1" applyBorder="1" applyAlignment="1">
      <alignment horizontal="centerContinuous"/>
    </xf>
    <xf numFmtId="3" fontId="50" fillId="0" borderId="26" xfId="0" applyNumberFormat="1" applyFont="1" applyBorder="1" applyAlignment="1">
      <alignment horizontal="right"/>
    </xf>
    <xf numFmtId="3" fontId="49" fillId="0" borderId="26" xfId="0" applyNumberFormat="1" applyFont="1" applyBorder="1" applyAlignment="1">
      <alignment horizontal="centerContinuous"/>
    </xf>
    <xf numFmtId="3" fontId="50" fillId="0" borderId="26" xfId="0" applyNumberFormat="1" applyFont="1" applyBorder="1"/>
    <xf numFmtId="3" fontId="50" fillId="0" borderId="26" xfId="0" applyNumberFormat="1" applyFont="1" applyBorder="1" applyAlignment="1">
      <alignment horizontal="center"/>
    </xf>
    <xf numFmtId="3" fontId="50" fillId="0" borderId="29" xfId="0" applyNumberFormat="1" applyFont="1" applyBorder="1" applyAlignment="1">
      <alignment horizontal="center"/>
    </xf>
    <xf numFmtId="3" fontId="49" fillId="0" borderId="24" xfId="0" applyNumberFormat="1" applyFont="1" applyBorder="1"/>
    <xf numFmtId="3" fontId="49" fillId="0" borderId="25" xfId="0" applyNumberFormat="1" applyFont="1" applyBorder="1"/>
    <xf numFmtId="3" fontId="50" fillId="0" borderId="21" xfId="48" applyNumberFormat="1" applyFont="1" applyBorder="1" applyAlignment="1">
      <alignment horizontal="right"/>
    </xf>
    <xf numFmtId="3" fontId="49" fillId="0" borderId="44" xfId="0" applyNumberFormat="1" applyFont="1" applyBorder="1"/>
    <xf numFmtId="3" fontId="50" fillId="0" borderId="57" xfId="0" applyNumberFormat="1" applyFont="1" applyBorder="1"/>
    <xf numFmtId="0" fontId="50" fillId="0" borderId="26" xfId="0" applyFont="1" applyBorder="1"/>
    <xf numFmtId="3" fontId="51" fillId="0" borderId="26" xfId="0" applyNumberFormat="1" applyFont="1" applyBorder="1"/>
    <xf numFmtId="3" fontId="49" fillId="0" borderId="35" xfId="0" applyNumberFormat="1" applyFont="1" applyBorder="1"/>
    <xf numFmtId="3" fontId="49" fillId="0" borderId="41" xfId="0" applyNumberFormat="1" applyFont="1" applyBorder="1" applyAlignment="1">
      <alignment horizontal="right"/>
    </xf>
    <xf numFmtId="3" fontId="54" fillId="0" borderId="0" xfId="47" applyNumberFormat="1" applyFont="1"/>
    <xf numFmtId="3" fontId="55" fillId="0" borderId="0" xfId="47" applyNumberFormat="1" applyFont="1" applyAlignment="1">
      <alignment horizontal="right"/>
    </xf>
    <xf numFmtId="3" fontId="56" fillId="0" borderId="0" xfId="47" applyNumberFormat="1" applyFont="1"/>
    <xf numFmtId="3" fontId="54" fillId="0" borderId="0" xfId="47" applyNumberFormat="1" applyFont="1" applyAlignment="1">
      <alignment horizontal="center"/>
    </xf>
    <xf numFmtId="3" fontId="54" fillId="0" borderId="0" xfId="47" applyNumberFormat="1" applyFont="1" applyAlignment="1">
      <alignment horizontal="right"/>
    </xf>
    <xf numFmtId="3" fontId="54" fillId="0" borderId="25" xfId="47" applyNumberFormat="1" applyFont="1" applyBorder="1" applyAlignment="1">
      <alignment horizontal="center" vertical="center"/>
    </xf>
    <xf numFmtId="3" fontId="57" fillId="0" borderId="0" xfId="47" applyNumberFormat="1" applyFont="1" applyAlignment="1">
      <alignment horizontal="center"/>
    </xf>
    <xf numFmtId="3" fontId="54" fillId="0" borderId="26" xfId="47" applyNumberFormat="1" applyFont="1" applyBorder="1" applyAlignment="1">
      <alignment horizontal="center" vertical="center"/>
    </xf>
    <xf numFmtId="3" fontId="54" fillId="0" borderId="0" xfId="47" applyNumberFormat="1" applyFont="1" applyAlignment="1">
      <alignment horizontal="center" vertical="center"/>
    </xf>
    <xf numFmtId="3" fontId="57" fillId="0" borderId="0" xfId="47" applyNumberFormat="1" applyFont="1" applyAlignment="1">
      <alignment horizontal="justify"/>
    </xf>
    <xf numFmtId="3" fontId="54" fillId="0" borderId="29" xfId="47" applyNumberFormat="1" applyFont="1" applyBorder="1" applyAlignment="1">
      <alignment vertical="center"/>
    </xf>
    <xf numFmtId="3" fontId="58" fillId="0" borderId="29" xfId="47" applyNumberFormat="1" applyFont="1" applyBorder="1" applyAlignment="1">
      <alignment horizontal="center" wrapText="1"/>
    </xf>
    <xf numFmtId="3" fontId="54" fillId="0" borderId="25" xfId="47" applyNumberFormat="1" applyFont="1" applyBorder="1" applyAlignment="1">
      <alignment horizontal="right"/>
    </xf>
    <xf numFmtId="3" fontId="57" fillId="0" borderId="0" xfId="47" applyNumberFormat="1" applyFont="1"/>
    <xf numFmtId="3" fontId="55" fillId="0" borderId="35" xfId="47" applyNumberFormat="1" applyFont="1" applyBorder="1" applyAlignment="1">
      <alignment horizontal="left"/>
    </xf>
    <xf numFmtId="3" fontId="55" fillId="0" borderId="35" xfId="47" applyNumberFormat="1" applyFont="1" applyBorder="1" applyAlignment="1">
      <alignment horizontal="right"/>
    </xf>
    <xf numFmtId="3" fontId="55" fillId="0" borderId="35" xfId="47" applyNumberFormat="1" applyFont="1" applyBorder="1"/>
    <xf numFmtId="3" fontId="54" fillId="0" borderId="35" xfId="47" applyNumberFormat="1" applyFont="1" applyBorder="1" applyAlignment="1">
      <alignment horizontal="right"/>
    </xf>
    <xf numFmtId="3" fontId="55" fillId="0" borderId="50" xfId="47" applyNumberFormat="1" applyFont="1" applyBorder="1" applyAlignment="1">
      <alignment horizontal="left"/>
    </xf>
    <xf numFmtId="3" fontId="55" fillId="0" borderId="41" xfId="47" applyNumberFormat="1" applyFont="1" applyBorder="1" applyAlignment="1">
      <alignment horizontal="left"/>
    </xf>
    <xf numFmtId="3" fontId="55" fillId="0" borderId="26" xfId="47" applyNumberFormat="1" applyFont="1" applyBorder="1" applyAlignment="1">
      <alignment horizontal="right"/>
    </xf>
    <xf numFmtId="3" fontId="54" fillId="0" borderId="41" xfId="47" applyNumberFormat="1" applyFont="1" applyBorder="1" applyAlignment="1">
      <alignment horizontal="right"/>
    </xf>
    <xf numFmtId="3" fontId="54" fillId="0" borderId="26" xfId="47" applyNumberFormat="1" applyFont="1" applyBorder="1" applyAlignment="1">
      <alignment horizontal="left"/>
    </xf>
    <xf numFmtId="3" fontId="54" fillId="0" borderId="27" xfId="47" applyNumberFormat="1" applyFont="1" applyBorder="1" applyAlignment="1">
      <alignment horizontal="left"/>
    </xf>
    <xf numFmtId="3" fontId="54" fillId="0" borderId="37" xfId="47" applyNumberFormat="1" applyFont="1" applyBorder="1" applyAlignment="1">
      <alignment horizontal="right"/>
    </xf>
    <xf numFmtId="3" fontId="54" fillId="0" borderId="29" xfId="47" applyNumberFormat="1" applyFont="1" applyBorder="1" applyAlignment="1">
      <alignment horizontal="right"/>
    </xf>
    <xf numFmtId="3" fontId="54" fillId="0" borderId="54" xfId="47" applyNumberFormat="1" applyFont="1" applyBorder="1" applyAlignment="1">
      <alignment horizontal="left"/>
    </xf>
    <xf numFmtId="3" fontId="55" fillId="0" borderId="54" xfId="47" applyNumberFormat="1" applyFont="1" applyBorder="1" applyAlignment="1">
      <alignment horizontal="left"/>
    </xf>
    <xf numFmtId="3" fontId="55" fillId="0" borderId="37" xfId="47" applyNumberFormat="1" applyFont="1" applyBorder="1" applyAlignment="1">
      <alignment horizontal="right"/>
    </xf>
    <xf numFmtId="3" fontId="54" fillId="0" borderId="37" xfId="47" applyNumberFormat="1" applyFont="1" applyBorder="1" applyAlignment="1">
      <alignment horizontal="left"/>
    </xf>
    <xf numFmtId="3" fontId="54" fillId="0" borderId="26" xfId="47" applyNumberFormat="1" applyFont="1" applyBorder="1" applyAlignment="1">
      <alignment horizontal="right"/>
    </xf>
    <xf numFmtId="3" fontId="59" fillId="0" borderId="26" xfId="47" applyNumberFormat="1" applyFont="1" applyBorder="1" applyAlignment="1">
      <alignment horizontal="center"/>
    </xf>
    <xf numFmtId="3" fontId="55" fillId="0" borderId="26" xfId="47" applyNumberFormat="1" applyFont="1" applyBorder="1" applyAlignment="1">
      <alignment horizontal="justify"/>
    </xf>
    <xf numFmtId="3" fontId="55" fillId="0" borderId="50" xfId="47" applyNumberFormat="1" applyFont="1" applyBorder="1" applyAlignment="1">
      <alignment horizontal="right"/>
    </xf>
    <xf numFmtId="3" fontId="55" fillId="0" borderId="26" xfId="47" applyNumberFormat="1" applyFont="1" applyBorder="1" applyAlignment="1">
      <alignment horizontal="left"/>
    </xf>
    <xf numFmtId="3" fontId="59" fillId="0" borderId="25" xfId="47" applyNumberFormat="1" applyFont="1" applyBorder="1" applyAlignment="1">
      <alignment horizontal="center"/>
    </xf>
    <xf numFmtId="3" fontId="55" fillId="0" borderId="29" xfId="47" applyNumberFormat="1" applyFont="1" applyBorder="1" applyAlignment="1">
      <alignment horizontal="right"/>
    </xf>
    <xf numFmtId="3" fontId="55" fillId="0" borderId="29" xfId="47" applyNumberFormat="1" applyFont="1" applyBorder="1" applyAlignment="1">
      <alignment horizontal="left"/>
    </xf>
    <xf numFmtId="3" fontId="55" fillId="0" borderId="35" xfId="47" applyNumberFormat="1" applyFont="1" applyBorder="1" applyAlignment="1">
      <alignment horizontal="justify"/>
    </xf>
    <xf numFmtId="3" fontId="60" fillId="0" borderId="35" xfId="47" applyNumberFormat="1" applyFont="1" applyBorder="1" applyAlignment="1">
      <alignment horizontal="right"/>
    </xf>
    <xf numFmtId="3" fontId="55" fillId="0" borderId="41" xfId="47" applyNumberFormat="1" applyFont="1" applyBorder="1" applyAlignment="1">
      <alignment horizontal="left" vertical="center"/>
    </xf>
    <xf numFmtId="3" fontId="55" fillId="0" borderId="41" xfId="47" applyNumberFormat="1" applyFont="1" applyBorder="1" applyAlignment="1">
      <alignment horizontal="right"/>
    </xf>
    <xf numFmtId="3" fontId="55" fillId="0" borderId="53" xfId="47" applyNumberFormat="1" applyFont="1" applyBorder="1" applyAlignment="1">
      <alignment horizontal="right"/>
    </xf>
    <xf numFmtId="3" fontId="55" fillId="0" borderId="41" xfId="47" applyNumberFormat="1" applyFont="1" applyBorder="1" applyAlignment="1">
      <alignment horizontal="right" vertical="center"/>
    </xf>
    <xf numFmtId="3" fontId="54" fillId="0" borderId="53" xfId="47" applyNumberFormat="1" applyFont="1" applyBorder="1" applyAlignment="1">
      <alignment horizontal="right"/>
    </xf>
    <xf numFmtId="3" fontId="57" fillId="0" borderId="28" xfId="47" applyNumberFormat="1" applyFont="1" applyBorder="1"/>
    <xf numFmtId="3" fontId="54" fillId="0" borderId="29" xfId="47" applyNumberFormat="1" applyFont="1" applyBorder="1" applyAlignment="1">
      <alignment horizontal="left"/>
    </xf>
    <xf numFmtId="3" fontId="54" fillId="0" borderId="37" xfId="47" applyNumberFormat="1" applyFont="1" applyBorder="1" applyAlignment="1">
      <alignment horizontal="left" vertical="center"/>
    </xf>
    <xf numFmtId="3" fontId="56" fillId="0" borderId="0" xfId="47" applyNumberFormat="1" applyFont="1" applyAlignment="1">
      <alignment horizontal="right"/>
    </xf>
    <xf numFmtId="3" fontId="63" fillId="0" borderId="0" xfId="47" applyNumberFormat="1" applyFont="1"/>
    <xf numFmtId="3" fontId="62" fillId="0" borderId="0" xfId="47" applyNumberFormat="1" applyFont="1"/>
    <xf numFmtId="0" fontId="54" fillId="0" borderId="0" xfId="47" applyFont="1"/>
    <xf numFmtId="3" fontId="62" fillId="0" borderId="0" xfId="47" applyNumberFormat="1" applyFont="1" applyAlignment="1">
      <alignment horizontal="right"/>
    </xf>
    <xf numFmtId="3" fontId="54" fillId="0" borderId="25" xfId="47" applyNumberFormat="1" applyFont="1" applyBorder="1" applyAlignment="1">
      <alignment horizontal="center" vertical="center" wrapText="1"/>
    </xf>
    <xf numFmtId="3" fontId="62" fillId="0" borderId="0" xfId="47" applyNumberFormat="1" applyFont="1" applyAlignment="1">
      <alignment horizontal="justify"/>
    </xf>
    <xf numFmtId="3" fontId="54" fillId="0" borderId="26" xfId="47" applyNumberFormat="1" applyFont="1" applyBorder="1" applyAlignment="1">
      <alignment horizontal="center" vertical="center" wrapText="1"/>
    </xf>
    <xf numFmtId="3" fontId="54" fillId="0" borderId="28" xfId="47" applyNumberFormat="1" applyFont="1" applyBorder="1" applyAlignment="1">
      <alignment horizontal="center"/>
    </xf>
    <xf numFmtId="3" fontId="54" fillId="0" borderId="27" xfId="47" applyNumberFormat="1" applyFont="1" applyBorder="1"/>
    <xf numFmtId="3" fontId="54" fillId="0" borderId="28" xfId="47" applyNumberFormat="1" applyFont="1" applyBorder="1"/>
    <xf numFmtId="3" fontId="54" fillId="0" borderId="39" xfId="47" applyNumberFormat="1" applyFont="1" applyBorder="1"/>
    <xf numFmtId="3" fontId="54" fillId="0" borderId="27" xfId="47" applyNumberFormat="1" applyFont="1" applyBorder="1" applyAlignment="1">
      <alignment wrapText="1"/>
    </xf>
    <xf numFmtId="3" fontId="54" fillId="0" borderId="28" xfId="47" applyNumberFormat="1" applyFont="1" applyBorder="1" applyAlignment="1">
      <alignment wrapText="1"/>
    </xf>
    <xf numFmtId="3" fontId="54" fillId="0" borderId="39" xfId="47" applyNumberFormat="1" applyFont="1" applyBorder="1" applyAlignment="1">
      <alignment wrapText="1"/>
    </xf>
    <xf numFmtId="3" fontId="54" fillId="0" borderId="29" xfId="47" applyNumberFormat="1" applyFont="1" applyBorder="1" applyAlignment="1">
      <alignment vertical="center" wrapText="1"/>
    </xf>
    <xf numFmtId="3" fontId="62" fillId="0" borderId="0" xfId="47" applyNumberFormat="1" applyFont="1" applyAlignment="1">
      <alignment horizontal="center"/>
    </xf>
    <xf numFmtId="3" fontId="54" fillId="0" borderId="25" xfId="47" applyNumberFormat="1" applyFont="1" applyBorder="1" applyAlignment="1">
      <alignment horizontal="center"/>
    </xf>
    <xf numFmtId="3" fontId="54" fillId="0" borderId="27" xfId="47" applyNumberFormat="1" applyFont="1" applyBorder="1" applyAlignment="1">
      <alignment horizontal="right"/>
    </xf>
    <xf numFmtId="3" fontId="54" fillId="0" borderId="43" xfId="47" applyNumberFormat="1" applyFont="1" applyBorder="1" applyAlignment="1">
      <alignment horizontal="right"/>
    </xf>
    <xf numFmtId="3" fontId="59" fillId="0" borderId="0" xfId="47" applyNumberFormat="1" applyFont="1" applyAlignment="1">
      <alignment horizontal="center"/>
    </xf>
    <xf numFmtId="3" fontId="54" fillId="0" borderId="38" xfId="47" applyNumberFormat="1" applyFont="1" applyBorder="1" applyAlignment="1">
      <alignment horizontal="right"/>
    </xf>
    <xf numFmtId="3" fontId="55" fillId="0" borderId="48" xfId="47" applyNumberFormat="1" applyFont="1" applyBorder="1" applyAlignment="1">
      <alignment horizontal="right"/>
    </xf>
    <xf numFmtId="3" fontId="54" fillId="0" borderId="23" xfId="47" applyNumberFormat="1" applyFont="1" applyBorder="1" applyAlignment="1">
      <alignment horizontal="right"/>
    </xf>
    <xf numFmtId="3" fontId="54" fillId="0" borderId="66" xfId="47" applyNumberFormat="1" applyFont="1" applyBorder="1" applyAlignment="1">
      <alignment horizontal="right"/>
    </xf>
    <xf numFmtId="3" fontId="55" fillId="0" borderId="21" xfId="47" applyNumberFormat="1" applyFont="1" applyBorder="1" applyAlignment="1">
      <alignment horizontal="left"/>
    </xf>
    <xf numFmtId="3" fontId="55" fillId="0" borderId="27" xfId="47" applyNumberFormat="1" applyFont="1" applyBorder="1" applyAlignment="1">
      <alignment horizontal="right"/>
    </xf>
    <xf numFmtId="3" fontId="55" fillId="0" borderId="39" xfId="47" applyNumberFormat="1" applyFont="1" applyBorder="1" applyAlignment="1">
      <alignment horizontal="right"/>
    </xf>
    <xf numFmtId="3" fontId="54" fillId="0" borderId="18" xfId="47" applyNumberFormat="1" applyFont="1" applyBorder="1" applyAlignment="1">
      <alignment horizontal="right"/>
    </xf>
    <xf numFmtId="3" fontId="55" fillId="0" borderId="10" xfId="47" applyNumberFormat="1" applyFont="1" applyBorder="1" applyAlignment="1">
      <alignment horizontal="right"/>
    </xf>
    <xf numFmtId="3" fontId="62" fillId="0" borderId="28" xfId="47" applyNumberFormat="1" applyFont="1" applyBorder="1" applyAlignment="1">
      <alignment horizontal="justify"/>
    </xf>
    <xf numFmtId="3" fontId="54" fillId="0" borderId="29" xfId="47" applyNumberFormat="1" applyFont="1" applyBorder="1" applyAlignment="1">
      <alignment horizontal="left" vertical="center"/>
    </xf>
    <xf numFmtId="3" fontId="54" fillId="0" borderId="28" xfId="47" applyNumberFormat="1" applyFont="1" applyBorder="1" applyAlignment="1">
      <alignment horizontal="right"/>
    </xf>
    <xf numFmtId="0" fontId="64" fillId="0" borderId="0" xfId="58" applyFont="1"/>
    <xf numFmtId="0" fontId="65" fillId="0" borderId="0" xfId="58" applyFont="1"/>
    <xf numFmtId="0" fontId="49" fillId="0" borderId="0" xfId="58" applyFont="1"/>
    <xf numFmtId="0" fontId="65" fillId="0" borderId="0" xfId="58" applyFont="1" applyAlignment="1">
      <alignment horizontal="right"/>
    </xf>
    <xf numFmtId="0" fontId="47" fillId="0" borderId="0" xfId="59"/>
    <xf numFmtId="0" fontId="66" fillId="0" borderId="0" xfId="58" applyFont="1"/>
    <xf numFmtId="3" fontId="65" fillId="0" borderId="25" xfId="60" applyNumberFormat="1" applyFont="1" applyBorder="1" applyAlignment="1">
      <alignment horizontal="center"/>
    </xf>
    <xf numFmtId="3" fontId="65" fillId="0" borderId="23" xfId="60" applyNumberFormat="1" applyFont="1" applyBorder="1" applyAlignment="1">
      <alignment horizontal="center"/>
    </xf>
    <xf numFmtId="4" fontId="65" fillId="0" borderId="44" xfId="58" applyNumberFormat="1" applyFont="1" applyBorder="1" applyAlignment="1">
      <alignment horizontal="center"/>
    </xf>
    <xf numFmtId="3" fontId="65" fillId="0" borderId="26" xfId="60" applyNumberFormat="1" applyFont="1" applyBorder="1" applyAlignment="1">
      <alignment horizontal="center"/>
    </xf>
    <xf numFmtId="3" fontId="65" fillId="0" borderId="26" xfId="60" applyNumberFormat="1" applyFont="1" applyBorder="1" applyAlignment="1">
      <alignment horizontal="center" wrapText="1"/>
    </xf>
    <xf numFmtId="4" fontId="65" fillId="0" borderId="37" xfId="58" applyNumberFormat="1" applyFont="1" applyBorder="1" applyAlignment="1">
      <alignment horizontal="center" wrapText="1"/>
    </xf>
    <xf numFmtId="4" fontId="65" fillId="0" borderId="43" xfId="58" applyNumberFormat="1" applyFont="1" applyBorder="1" applyAlignment="1">
      <alignment horizontal="center" wrapText="1"/>
    </xf>
    <xf numFmtId="4" fontId="65" fillId="0" borderId="44" xfId="58" applyNumberFormat="1" applyFont="1" applyBorder="1" applyAlignment="1">
      <alignment horizontal="center" wrapText="1"/>
    </xf>
    <xf numFmtId="3" fontId="65" fillId="0" borderId="29" xfId="60" applyNumberFormat="1" applyFont="1" applyBorder="1" applyAlignment="1">
      <alignment horizontal="left"/>
    </xf>
    <xf numFmtId="4" fontId="65" fillId="0" borderId="29" xfId="58" applyNumberFormat="1" applyFont="1" applyBorder="1" applyAlignment="1">
      <alignment wrapText="1"/>
    </xf>
    <xf numFmtId="3" fontId="65" fillId="0" borderId="40" xfId="58" applyNumberFormat="1" applyFont="1" applyBorder="1" applyAlignment="1">
      <alignment horizontal="center" vertical="center" wrapText="1"/>
    </xf>
    <xf numFmtId="3" fontId="65" fillId="0" borderId="44" xfId="58" applyNumberFormat="1" applyFont="1" applyBorder="1" applyAlignment="1">
      <alignment vertical="center" wrapText="1"/>
    </xf>
    <xf numFmtId="4" fontId="65" fillId="0" borderId="40" xfId="58" applyNumberFormat="1" applyFont="1" applyBorder="1" applyAlignment="1">
      <alignment horizontal="center" wrapText="1"/>
    </xf>
    <xf numFmtId="4" fontId="49" fillId="0" borderId="44" xfId="58" applyNumberFormat="1" applyFont="1" applyBorder="1" applyAlignment="1">
      <alignment horizontal="left" vertical="center" wrapText="1"/>
    </xf>
    <xf numFmtId="4" fontId="67" fillId="0" borderId="26" xfId="58" applyNumberFormat="1" applyFont="1" applyBorder="1" applyAlignment="1">
      <alignment horizontal="center"/>
    </xf>
    <xf numFmtId="4" fontId="32" fillId="0" borderId="25" xfId="58" applyNumberFormat="1" applyFont="1" applyBorder="1" applyAlignment="1">
      <alignment horizontal="justify"/>
    </xf>
    <xf numFmtId="0" fontId="53" fillId="0" borderId="0" xfId="0" applyFont="1" applyAlignment="1">
      <alignment horizontal="center" vertical="center" wrapText="1"/>
    </xf>
    <xf numFmtId="0" fontId="53" fillId="0" borderId="25" xfId="0" applyFont="1" applyBorder="1" applyAlignment="1">
      <alignment horizontal="center" vertical="center" wrapText="1"/>
    </xf>
    <xf numFmtId="0" fontId="53" fillId="0" borderId="66" xfId="0" applyFont="1" applyBorder="1" applyAlignment="1">
      <alignment horizontal="center" vertical="center" wrapText="1"/>
    </xf>
    <xf numFmtId="4" fontId="32" fillId="0" borderId="66" xfId="58" applyNumberFormat="1" applyFont="1" applyBorder="1" applyAlignment="1">
      <alignment horizontal="justify"/>
    </xf>
    <xf numFmtId="0" fontId="68" fillId="0" borderId="0" xfId="58" applyFont="1" applyAlignment="1">
      <alignment horizontal="justify"/>
    </xf>
    <xf numFmtId="3" fontId="69" fillId="0" borderId="35" xfId="0" applyNumberFormat="1" applyFont="1" applyBorder="1" applyAlignment="1">
      <alignment horizontal="left"/>
    </xf>
    <xf numFmtId="2" fontId="70" fillId="0" borderId="26" xfId="0" applyNumberFormat="1" applyFont="1" applyBorder="1" applyAlignment="1">
      <alignment horizontal="right"/>
    </xf>
    <xf numFmtId="2" fontId="70" fillId="0" borderId="26" xfId="58" applyNumberFormat="1" applyFont="1" applyBorder="1" applyAlignment="1">
      <alignment horizontal="right"/>
    </xf>
    <xf numFmtId="2" fontId="70" fillId="0" borderId="18" xfId="58" applyNumberFormat="1" applyFont="1" applyBorder="1" applyAlignment="1">
      <alignment horizontal="right"/>
    </xf>
    <xf numFmtId="2" fontId="71" fillId="0" borderId="26" xfId="58" applyNumberFormat="1" applyFont="1" applyBorder="1"/>
    <xf numFmtId="2" fontId="70" fillId="0" borderId="26" xfId="58" applyNumberFormat="1" applyFont="1" applyBorder="1"/>
    <xf numFmtId="2" fontId="70" fillId="0" borderId="38" xfId="58" applyNumberFormat="1" applyFont="1" applyBorder="1"/>
    <xf numFmtId="0" fontId="68" fillId="0" borderId="0" xfId="58" applyFont="1"/>
    <xf numFmtId="3" fontId="69" fillId="0" borderId="50" xfId="0" applyNumberFormat="1" applyFont="1" applyBorder="1" applyAlignment="1">
      <alignment horizontal="left"/>
    </xf>
    <xf numFmtId="2" fontId="70" fillId="0" borderId="50" xfId="0" applyNumberFormat="1" applyFont="1" applyBorder="1" applyAlignment="1">
      <alignment horizontal="right"/>
    </xf>
    <xf numFmtId="2" fontId="70" fillId="0" borderId="50" xfId="58" applyNumberFormat="1" applyFont="1" applyBorder="1" applyAlignment="1">
      <alignment horizontal="right"/>
    </xf>
    <xf numFmtId="2" fontId="70" fillId="0" borderId="63" xfId="58" applyNumberFormat="1" applyFont="1" applyBorder="1" applyAlignment="1">
      <alignment horizontal="right"/>
    </xf>
    <xf numFmtId="2" fontId="71" fillId="0" borderId="48" xfId="58" applyNumberFormat="1" applyFont="1" applyBorder="1"/>
    <xf numFmtId="2" fontId="70" fillId="0" borderId="48" xfId="58" applyNumberFormat="1" applyFont="1" applyBorder="1"/>
    <xf numFmtId="2" fontId="70" fillId="0" borderId="75" xfId="58" applyNumberFormat="1" applyFont="1" applyBorder="1"/>
    <xf numFmtId="2" fontId="70" fillId="0" borderId="50" xfId="58" applyNumberFormat="1" applyFont="1" applyBorder="1"/>
    <xf numFmtId="2" fontId="70" fillId="0" borderId="12" xfId="58" applyNumberFormat="1" applyFont="1" applyBorder="1"/>
    <xf numFmtId="2" fontId="70" fillId="0" borderId="11" xfId="58" applyNumberFormat="1" applyFont="1" applyBorder="1" applyAlignment="1">
      <alignment horizontal="right"/>
    </xf>
    <xf numFmtId="2" fontId="71" fillId="0" borderId="50" xfId="58" applyNumberFormat="1" applyFont="1" applyBorder="1"/>
    <xf numFmtId="2" fontId="50" fillId="0" borderId="50" xfId="58" applyNumberFormat="1" applyFont="1" applyBorder="1"/>
    <xf numFmtId="2" fontId="50" fillId="0" borderId="12" xfId="58" applyNumberFormat="1" applyFont="1" applyBorder="1"/>
    <xf numFmtId="2" fontId="70" fillId="0" borderId="48" xfId="58" applyNumberFormat="1" applyFont="1" applyBorder="1" applyAlignment="1">
      <alignment horizontal="justify"/>
    </xf>
    <xf numFmtId="2" fontId="70" fillId="0" borderId="75" xfId="58" applyNumberFormat="1" applyFont="1" applyBorder="1" applyAlignment="1">
      <alignment horizontal="justify"/>
    </xf>
    <xf numFmtId="2" fontId="61" fillId="0" borderId="11" xfId="58" applyNumberFormat="1" applyFont="1" applyBorder="1" applyAlignment="1">
      <alignment horizontal="right"/>
    </xf>
    <xf numFmtId="2" fontId="61" fillId="0" borderId="50" xfId="58" applyNumberFormat="1" applyFont="1" applyBorder="1"/>
    <xf numFmtId="2" fontId="70" fillId="0" borderId="35" xfId="0" applyNumberFormat="1" applyFont="1" applyBorder="1" applyAlignment="1">
      <alignment horizontal="right"/>
    </xf>
    <xf numFmtId="2" fontId="70" fillId="0" borderId="22" xfId="58" applyNumberFormat="1" applyFont="1" applyBorder="1" applyAlignment="1">
      <alignment horizontal="right"/>
    </xf>
    <xf numFmtId="2" fontId="71" fillId="0" borderId="35" xfId="58" applyNumberFormat="1" applyFont="1" applyBorder="1"/>
    <xf numFmtId="2" fontId="70" fillId="0" borderId="35" xfId="58" applyNumberFormat="1" applyFont="1" applyBorder="1"/>
    <xf numFmtId="2" fontId="70" fillId="0" borderId="14" xfId="58" applyNumberFormat="1" applyFont="1" applyBorder="1"/>
    <xf numFmtId="3" fontId="69" fillId="0" borderId="26" xfId="0" applyNumberFormat="1" applyFont="1" applyBorder="1" applyAlignment="1">
      <alignment horizontal="left"/>
    </xf>
    <xf numFmtId="2" fontId="61" fillId="0" borderId="27" xfId="58" applyNumberFormat="1" applyFont="1" applyBorder="1" applyAlignment="1">
      <alignment horizontal="right"/>
    </xf>
    <xf numFmtId="2" fontId="70" fillId="0" borderId="29" xfId="58" applyNumberFormat="1" applyFont="1" applyBorder="1"/>
    <xf numFmtId="2" fontId="61" fillId="0" borderId="29" xfId="58" applyNumberFormat="1" applyFont="1" applyBorder="1"/>
    <xf numFmtId="4" fontId="65" fillId="0" borderId="37" xfId="58" applyNumberFormat="1" applyFont="1" applyBorder="1"/>
    <xf numFmtId="2" fontId="71" fillId="0" borderId="37" xfId="58" applyNumberFormat="1" applyFont="1" applyBorder="1" applyAlignment="1">
      <alignment horizontal="right"/>
    </xf>
    <xf numFmtId="2" fontId="71" fillId="0" borderId="43" xfId="58" applyNumberFormat="1" applyFont="1" applyBorder="1" applyAlignment="1">
      <alignment horizontal="right"/>
    </xf>
    <xf numFmtId="2" fontId="71" fillId="0" borderId="37" xfId="58" applyNumberFormat="1" applyFont="1" applyBorder="1"/>
    <xf numFmtId="2" fontId="71" fillId="0" borderId="44" xfId="58" applyNumberFormat="1" applyFont="1" applyBorder="1"/>
    <xf numFmtId="4" fontId="69" fillId="0" borderId="37" xfId="58" applyNumberFormat="1" applyFont="1" applyBorder="1"/>
    <xf numFmtId="2" fontId="70" fillId="0" borderId="0" xfId="58" applyNumberFormat="1" applyFont="1" applyAlignment="1">
      <alignment horizontal="right"/>
    </xf>
    <xf numFmtId="2" fontId="70" fillId="0" borderId="37" xfId="58" applyNumberFormat="1" applyFont="1" applyBorder="1"/>
    <xf numFmtId="2" fontId="71" fillId="0" borderId="44" xfId="58" applyNumberFormat="1" applyFont="1" applyBorder="1" applyAlignment="1">
      <alignment horizontal="right"/>
    </xf>
    <xf numFmtId="2" fontId="71" fillId="0" borderId="40" xfId="58" applyNumberFormat="1" applyFont="1" applyBorder="1" applyAlignment="1">
      <alignment horizontal="right"/>
    </xf>
    <xf numFmtId="4" fontId="67" fillId="0" borderId="25" xfId="58" applyNumberFormat="1" applyFont="1" applyBorder="1" applyAlignment="1">
      <alignment horizontal="center"/>
    </xf>
    <xf numFmtId="2" fontId="72" fillId="0" borderId="25" xfId="58" applyNumberFormat="1" applyFont="1" applyBorder="1" applyAlignment="1">
      <alignment horizontal="right"/>
    </xf>
    <xf numFmtId="2" fontId="71" fillId="0" borderId="25" xfId="58" applyNumberFormat="1" applyFont="1" applyBorder="1" applyAlignment="1">
      <alignment horizontal="right"/>
    </xf>
    <xf numFmtId="2" fontId="71" fillId="0" borderId="0" xfId="58" applyNumberFormat="1" applyFont="1" applyAlignment="1">
      <alignment horizontal="right"/>
    </xf>
    <xf numFmtId="2" fontId="71" fillId="0" borderId="38" xfId="58" applyNumberFormat="1" applyFont="1" applyBorder="1"/>
    <xf numFmtId="2" fontId="72" fillId="0" borderId="26" xfId="58" applyNumberFormat="1" applyFont="1" applyBorder="1" applyAlignment="1">
      <alignment horizontal="right"/>
    </xf>
    <xf numFmtId="2" fontId="71" fillId="0" borderId="26" xfId="58" applyNumberFormat="1" applyFont="1" applyBorder="1" applyAlignment="1">
      <alignment horizontal="right"/>
    </xf>
    <xf numFmtId="2" fontId="71" fillId="0" borderId="14" xfId="58" applyNumberFormat="1" applyFont="1" applyBorder="1"/>
    <xf numFmtId="2" fontId="70" fillId="0" borderId="49" xfId="58" applyNumberFormat="1" applyFont="1" applyBorder="1" applyAlignment="1">
      <alignment horizontal="right"/>
    </xf>
    <xf numFmtId="3" fontId="69" fillId="0" borderId="41" xfId="0" applyNumberFormat="1" applyFont="1" applyBorder="1" applyAlignment="1">
      <alignment horizontal="left"/>
    </xf>
    <xf numFmtId="2" fontId="70" fillId="0" borderId="41" xfId="0" applyNumberFormat="1" applyFont="1" applyBorder="1" applyAlignment="1">
      <alignment horizontal="right"/>
    </xf>
    <xf numFmtId="2" fontId="70" fillId="0" borderId="41" xfId="58" applyNumberFormat="1" applyFont="1" applyBorder="1" applyAlignment="1">
      <alignment horizontal="right"/>
    </xf>
    <xf numFmtId="2" fontId="72" fillId="0" borderId="66" xfId="58" applyNumberFormat="1" applyFont="1" applyBorder="1" applyAlignment="1">
      <alignment horizontal="right"/>
    </xf>
    <xf numFmtId="2" fontId="71" fillId="0" borderId="66" xfId="58" applyNumberFormat="1" applyFont="1" applyBorder="1" applyAlignment="1">
      <alignment horizontal="right"/>
    </xf>
    <xf numFmtId="2" fontId="71" fillId="0" borderId="24" xfId="58" applyNumberFormat="1" applyFont="1" applyBorder="1" applyAlignment="1">
      <alignment horizontal="right"/>
    </xf>
    <xf numFmtId="2" fontId="71" fillId="0" borderId="25" xfId="58" applyNumberFormat="1" applyFont="1" applyBorder="1"/>
    <xf numFmtId="2" fontId="71" fillId="0" borderId="66" xfId="58" applyNumberFormat="1" applyFont="1" applyBorder="1"/>
    <xf numFmtId="3" fontId="69" fillId="0" borderId="21" xfId="0" applyNumberFormat="1" applyFont="1" applyBorder="1" applyAlignment="1">
      <alignment horizontal="left" wrapText="1"/>
    </xf>
    <xf numFmtId="2" fontId="70" fillId="0" borderId="26" xfId="0" applyNumberFormat="1" applyFont="1" applyBorder="1" applyAlignment="1">
      <alignment horizontal="right" wrapText="1"/>
    </xf>
    <xf numFmtId="2" fontId="70" fillId="0" borderId="20" xfId="58" applyNumberFormat="1" applyFont="1" applyBorder="1" applyAlignment="1">
      <alignment horizontal="right"/>
    </xf>
    <xf numFmtId="2" fontId="70" fillId="0" borderId="39" xfId="58" applyNumberFormat="1" applyFont="1" applyBorder="1"/>
    <xf numFmtId="3" fontId="69" fillId="0" borderId="21" xfId="0" applyNumberFormat="1" applyFont="1" applyBorder="1" applyAlignment="1">
      <alignment horizontal="left"/>
    </xf>
    <xf numFmtId="2" fontId="70" fillId="0" borderId="29" xfId="58" applyNumberFormat="1" applyFont="1" applyBorder="1" applyAlignment="1">
      <alignment horizontal="right"/>
    </xf>
    <xf numFmtId="2" fontId="70" fillId="0" borderId="28" xfId="58" applyNumberFormat="1" applyFont="1" applyBorder="1" applyAlignment="1">
      <alignment horizontal="right"/>
    </xf>
    <xf numFmtId="2" fontId="71" fillId="0" borderId="29" xfId="58" applyNumberFormat="1" applyFont="1" applyBorder="1"/>
    <xf numFmtId="2" fontId="70" fillId="0" borderId="14" xfId="0" applyNumberFormat="1" applyFont="1" applyBorder="1" applyAlignment="1">
      <alignment horizontal="right"/>
    </xf>
    <xf numFmtId="2" fontId="70" fillId="0" borderId="14" xfId="58" applyNumberFormat="1" applyFont="1" applyBorder="1" applyAlignment="1">
      <alignment horizontal="right"/>
    </xf>
    <xf numFmtId="2" fontId="61" fillId="0" borderId="20" xfId="58" applyNumberFormat="1" applyFont="1" applyBorder="1" applyAlignment="1">
      <alignment horizontal="right"/>
    </xf>
    <xf numFmtId="2" fontId="61" fillId="0" borderId="14" xfId="58" applyNumberFormat="1" applyFont="1" applyBorder="1"/>
    <xf numFmtId="2" fontId="70" fillId="0" borderId="38" xfId="0" applyNumberFormat="1" applyFont="1" applyBorder="1" applyAlignment="1">
      <alignment horizontal="right"/>
    </xf>
    <xf numFmtId="2" fontId="70" fillId="0" borderId="38" xfId="58" applyNumberFormat="1" applyFont="1" applyBorder="1" applyAlignment="1">
      <alignment horizontal="right"/>
    </xf>
    <xf numFmtId="2" fontId="61" fillId="0" borderId="0" xfId="58" applyNumberFormat="1" applyFont="1" applyAlignment="1">
      <alignment horizontal="right"/>
    </xf>
    <xf numFmtId="2" fontId="61" fillId="0" borderId="38" xfId="58" applyNumberFormat="1" applyFont="1" applyBorder="1"/>
    <xf numFmtId="0" fontId="69" fillId="0" borderId="50" xfId="0" applyFont="1" applyBorder="1" applyAlignment="1">
      <alignment horizontal="left"/>
    </xf>
    <xf numFmtId="2" fontId="70" fillId="0" borderId="53" xfId="58" applyNumberFormat="1" applyFont="1" applyBorder="1" applyAlignment="1">
      <alignment horizontal="right"/>
    </xf>
    <xf numFmtId="2" fontId="71" fillId="0" borderId="41" xfId="58" applyNumberFormat="1" applyFont="1" applyBorder="1"/>
    <xf numFmtId="2" fontId="70" fillId="0" borderId="36" xfId="58" applyNumberFormat="1" applyFont="1" applyBorder="1"/>
    <xf numFmtId="2" fontId="71" fillId="0" borderId="36" xfId="58" applyNumberFormat="1" applyFont="1" applyBorder="1"/>
    <xf numFmtId="2" fontId="71" fillId="0" borderId="39" xfId="58" applyNumberFormat="1" applyFont="1" applyBorder="1" applyAlignment="1">
      <alignment horizontal="right"/>
    </xf>
    <xf numFmtId="2" fontId="71" fillId="0" borderId="28" xfId="58" applyNumberFormat="1" applyFont="1" applyBorder="1" applyAlignment="1">
      <alignment horizontal="right"/>
    </xf>
    <xf numFmtId="2" fontId="71" fillId="0" borderId="39" xfId="58" applyNumberFormat="1" applyFont="1" applyBorder="1"/>
    <xf numFmtId="4" fontId="65" fillId="0" borderId="29" xfId="58" applyNumberFormat="1" applyFont="1" applyBorder="1"/>
    <xf numFmtId="4" fontId="65" fillId="0" borderId="29" xfId="58" applyNumberFormat="1" applyFont="1" applyBorder="1" applyAlignment="1">
      <alignment horizontal="left"/>
    </xf>
    <xf numFmtId="0" fontId="32" fillId="0" borderId="0" xfId="58" applyFont="1"/>
    <xf numFmtId="0" fontId="30" fillId="0" borderId="0" xfId="58" applyFont="1"/>
    <xf numFmtId="0" fontId="73" fillId="0" borderId="0" xfId="62" applyFont="1"/>
    <xf numFmtId="0" fontId="75" fillId="0" borderId="0" xfId="62" applyFont="1"/>
    <xf numFmtId="0" fontId="75" fillId="0" borderId="0" xfId="62" applyFont="1" applyAlignment="1">
      <alignment wrapText="1"/>
    </xf>
    <xf numFmtId="3" fontId="76" fillId="0" borderId="0" xfId="62" applyNumberFormat="1" applyFont="1"/>
    <xf numFmtId="3" fontId="76" fillId="0" borderId="0" xfId="62" applyNumberFormat="1" applyFont="1" applyAlignment="1">
      <alignment horizontal="right"/>
    </xf>
    <xf numFmtId="0" fontId="40" fillId="0" borderId="73" xfId="62" applyFont="1" applyBorder="1" applyAlignment="1">
      <alignment horizontal="center" wrapText="1"/>
    </xf>
    <xf numFmtId="3" fontId="74" fillId="0" borderId="79" xfId="62" applyNumberFormat="1" applyFont="1" applyBorder="1" applyAlignment="1">
      <alignment horizontal="center" vertical="center" wrapText="1"/>
    </xf>
    <xf numFmtId="0" fontId="77" fillId="0" borderId="0" xfId="62" applyFont="1"/>
    <xf numFmtId="0" fontId="24" fillId="0" borderId="63" xfId="62" applyFont="1" applyBorder="1" applyAlignment="1">
      <alignment wrapText="1"/>
    </xf>
    <xf numFmtId="3" fontId="78" fillId="0" borderId="81" xfId="62" applyNumberFormat="1" applyFont="1" applyBorder="1"/>
    <xf numFmtId="0" fontId="79" fillId="0" borderId="0" xfId="62" applyFont="1"/>
    <xf numFmtId="0" fontId="80" fillId="0" borderId="22" xfId="62" applyFont="1" applyBorder="1" applyAlignment="1">
      <alignment wrapText="1"/>
    </xf>
    <xf numFmtId="3" fontId="81" fillId="0" borderId="10" xfId="62" applyNumberFormat="1" applyFont="1" applyBorder="1"/>
    <xf numFmtId="0" fontId="80" fillId="0" borderId="11" xfId="62" applyFont="1" applyBorder="1" applyAlignment="1">
      <alignment wrapText="1"/>
    </xf>
    <xf numFmtId="3" fontId="81" fillId="0" borderId="13" xfId="62" applyNumberFormat="1" applyFont="1" applyBorder="1"/>
    <xf numFmtId="3" fontId="81" fillId="28" borderId="13" xfId="62" applyNumberFormat="1" applyFont="1" applyFill="1" applyBorder="1"/>
    <xf numFmtId="0" fontId="80" fillId="0" borderId="18" xfId="62" applyFont="1" applyBorder="1" applyAlignment="1">
      <alignment wrapText="1"/>
    </xf>
    <xf numFmtId="0" fontId="24" fillId="29" borderId="82" xfId="62" applyFont="1" applyFill="1" applyBorder="1" applyAlignment="1">
      <alignment wrapText="1"/>
    </xf>
    <xf numFmtId="3" fontId="82" fillId="29" borderId="83" xfId="62" applyNumberFormat="1" applyFont="1" applyFill="1" applyBorder="1"/>
    <xf numFmtId="0" fontId="24" fillId="0" borderId="0" xfId="62" applyFont="1"/>
    <xf numFmtId="0" fontId="24" fillId="0" borderId="18" xfId="62" applyFont="1" applyBorder="1" applyAlignment="1">
      <alignment wrapText="1"/>
    </xf>
    <xf numFmtId="3" fontId="82" fillId="0" borderId="80" xfId="62" applyNumberFormat="1" applyFont="1" applyBorder="1"/>
    <xf numFmtId="0" fontId="83" fillId="0" borderId="18" xfId="62" applyFont="1" applyBorder="1" applyAlignment="1">
      <alignment wrapText="1"/>
    </xf>
    <xf numFmtId="3" fontId="81" fillId="0" borderId="80" xfId="62" applyNumberFormat="1" applyFont="1" applyBorder="1"/>
    <xf numFmtId="0" fontId="84" fillId="0" borderId="22" xfId="62" applyFont="1" applyBorder="1" applyAlignment="1">
      <alignment wrapText="1"/>
    </xf>
    <xf numFmtId="0" fontId="48" fillId="0" borderId="18" xfId="62" applyFont="1" applyBorder="1" applyAlignment="1">
      <alignment wrapText="1"/>
    </xf>
    <xf numFmtId="3" fontId="81" fillId="0" borderId="81" xfId="62" applyNumberFormat="1" applyFont="1" applyBorder="1"/>
    <xf numFmtId="0" fontId="83" fillId="0" borderId="22" xfId="62" applyFont="1" applyBorder="1" applyAlignment="1">
      <alignment wrapText="1"/>
    </xf>
    <xf numFmtId="0" fontId="83" fillId="0" borderId="63" xfId="62" applyFont="1" applyBorder="1" applyAlignment="1">
      <alignment wrapText="1"/>
    </xf>
    <xf numFmtId="0" fontId="85" fillId="0" borderId="18" xfId="62" applyFont="1" applyBorder="1" applyAlignment="1">
      <alignment wrapText="1"/>
    </xf>
    <xf numFmtId="0" fontId="83" fillId="0" borderId="84" xfId="62" applyFont="1" applyBorder="1" applyAlignment="1">
      <alignment wrapText="1"/>
    </xf>
    <xf numFmtId="0" fontId="80" fillId="0" borderId="18" xfId="62" applyFont="1" applyBorder="1" applyAlignment="1">
      <alignment horizontal="left" wrapText="1"/>
    </xf>
    <xf numFmtId="0" fontId="80" fillId="0" borderId="45" xfId="62" applyFont="1" applyBorder="1" applyAlignment="1">
      <alignment wrapText="1"/>
    </xf>
    <xf numFmtId="0" fontId="80" fillId="0" borderId="85" xfId="62" applyFont="1" applyBorder="1" applyAlignment="1">
      <alignment horizontal="left" wrapText="1"/>
    </xf>
    <xf numFmtId="0" fontId="84" fillId="0" borderId="63" xfId="62" applyFont="1" applyBorder="1" applyAlignment="1">
      <alignment wrapText="1"/>
    </xf>
    <xf numFmtId="0" fontId="85" fillId="0" borderId="22" xfId="62" applyFont="1" applyBorder="1" applyAlignment="1">
      <alignment wrapText="1"/>
    </xf>
    <xf numFmtId="0" fontId="80" fillId="0" borderId="86" xfId="62" applyFont="1" applyBorder="1" applyAlignment="1">
      <alignment wrapText="1"/>
    </xf>
    <xf numFmtId="3" fontId="81" fillId="0" borderId="87" xfId="62" applyNumberFormat="1" applyFont="1" applyBorder="1"/>
    <xf numFmtId="3" fontId="81" fillId="29" borderId="83" xfId="62" applyNumberFormat="1" applyFont="1" applyFill="1" applyBorder="1"/>
    <xf numFmtId="0" fontId="25" fillId="0" borderId="0" xfId="62" applyFont="1"/>
    <xf numFmtId="3" fontId="80" fillId="0" borderId="18" xfId="62" applyNumberFormat="1" applyFont="1" applyBorder="1"/>
    <xf numFmtId="3" fontId="81" fillId="28" borderId="10" xfId="62" applyNumberFormat="1" applyFont="1" applyFill="1" applyBorder="1"/>
    <xf numFmtId="0" fontId="80" fillId="28" borderId="11" xfId="62" applyFont="1" applyFill="1" applyBorder="1" applyAlignment="1">
      <alignment wrapText="1"/>
    </xf>
    <xf numFmtId="0" fontId="85" fillId="0" borderId="11" xfId="62" applyFont="1" applyBorder="1" applyAlignment="1">
      <alignment wrapText="1"/>
    </xf>
    <xf numFmtId="0" fontId="86" fillId="0" borderId="11" xfId="62" applyFont="1" applyBorder="1" applyAlignment="1">
      <alignment wrapText="1"/>
    </xf>
    <xf numFmtId="0" fontId="83" fillId="0" borderId="82" xfId="62" applyFont="1" applyBorder="1" applyAlignment="1">
      <alignment wrapText="1"/>
    </xf>
    <xf numFmtId="3" fontId="81" fillId="0" borderId="83" xfId="62" applyNumberFormat="1" applyFont="1" applyBorder="1"/>
    <xf numFmtId="0" fontId="83" fillId="0" borderId="86" xfId="62" applyFont="1" applyBorder="1" applyAlignment="1">
      <alignment wrapText="1"/>
    </xf>
    <xf numFmtId="0" fontId="83" fillId="0" borderId="88" xfId="62" applyFont="1" applyBorder="1" applyAlignment="1">
      <alignment wrapText="1"/>
    </xf>
    <xf numFmtId="3" fontId="81" fillId="0" borderId="89" xfId="62" applyNumberFormat="1" applyFont="1" applyBorder="1"/>
    <xf numFmtId="0" fontId="77" fillId="0" borderId="18" xfId="62" applyFont="1" applyBorder="1" applyAlignment="1">
      <alignment wrapText="1"/>
    </xf>
    <xf numFmtId="0" fontId="87" fillId="0" borderId="18" xfId="62" applyFont="1" applyBorder="1" applyAlignment="1">
      <alignment wrapText="1"/>
    </xf>
    <xf numFmtId="0" fontId="88" fillId="0" borderId="18" xfId="62" applyFont="1" applyBorder="1" applyAlignment="1">
      <alignment wrapText="1"/>
    </xf>
    <xf numFmtId="0" fontId="88" fillId="0" borderId="11" xfId="62" applyFont="1" applyBorder="1" applyAlignment="1">
      <alignment horizontal="left" wrapText="1"/>
    </xf>
    <xf numFmtId="0" fontId="77" fillId="29" borderId="82" xfId="62" applyFont="1" applyFill="1" applyBorder="1" applyAlignment="1">
      <alignment wrapText="1"/>
    </xf>
    <xf numFmtId="0" fontId="77" fillId="0" borderId="88" xfId="62" applyFont="1" applyBorder="1" applyAlignment="1">
      <alignment wrapText="1"/>
    </xf>
    <xf numFmtId="0" fontId="79" fillId="0" borderId="22" xfId="62" applyFont="1" applyBorder="1" applyAlignment="1">
      <alignment wrapText="1"/>
    </xf>
    <xf numFmtId="0" fontId="79" fillId="0" borderId="11" xfId="62" applyFont="1" applyBorder="1" applyAlignment="1">
      <alignment wrapText="1"/>
    </xf>
    <xf numFmtId="0" fontId="77" fillId="29" borderId="90" xfId="62" applyFont="1" applyFill="1" applyBorder="1" applyAlignment="1">
      <alignment wrapText="1"/>
    </xf>
    <xf numFmtId="3" fontId="81" fillId="29" borderId="91" xfId="62" applyNumberFormat="1" applyFont="1" applyFill="1" applyBorder="1"/>
    <xf numFmtId="0" fontId="87" fillId="0" borderId="23" xfId="62" applyFont="1" applyBorder="1" applyAlignment="1">
      <alignment horizontal="center" wrapText="1"/>
    </xf>
    <xf numFmtId="3" fontId="90" fillId="0" borderId="16" xfId="62" applyNumberFormat="1" applyFont="1" applyBorder="1" applyAlignment="1">
      <alignment horizontal="center"/>
    </xf>
    <xf numFmtId="0" fontId="86" fillId="28" borderId="22" xfId="61" applyFont="1" applyFill="1" applyBorder="1" applyAlignment="1">
      <alignment horizontal="left"/>
    </xf>
    <xf numFmtId="3" fontId="90" fillId="0" borderId="10" xfId="62" applyNumberFormat="1" applyFont="1" applyBorder="1" applyAlignment="1">
      <alignment horizontal="right"/>
    </xf>
    <xf numFmtId="0" fontId="86" fillId="28" borderId="35" xfId="61" applyFont="1" applyFill="1" applyBorder="1" applyAlignment="1">
      <alignment horizontal="left"/>
    </xf>
    <xf numFmtId="3" fontId="90" fillId="0" borderId="38" xfId="62" applyNumberFormat="1" applyFont="1" applyBorder="1" applyAlignment="1">
      <alignment horizontal="right"/>
    </xf>
    <xf numFmtId="0" fontId="80" fillId="0" borderId="45" xfId="62" applyFont="1" applyBorder="1"/>
    <xf numFmtId="0" fontId="80" fillId="0" borderId="46" xfId="62" applyFont="1" applyBorder="1"/>
    <xf numFmtId="0" fontId="80" fillId="0" borderId="10" xfId="62" applyFont="1" applyBorder="1"/>
    <xf numFmtId="3" fontId="90" fillId="0" borderId="12" xfId="62" applyNumberFormat="1" applyFont="1" applyBorder="1" applyAlignment="1">
      <alignment horizontal="right"/>
    </xf>
    <xf numFmtId="0" fontId="91" fillId="26" borderId="78" xfId="61" applyFont="1" applyFill="1" applyBorder="1" applyAlignment="1">
      <alignment wrapText="1"/>
    </xf>
    <xf numFmtId="3" fontId="89" fillId="26" borderId="12" xfId="62" applyNumberFormat="1" applyFont="1" applyFill="1" applyBorder="1"/>
    <xf numFmtId="0" fontId="92" fillId="28" borderId="22" xfId="61" applyFont="1" applyFill="1" applyBorder="1" applyAlignment="1">
      <alignment horizontal="left"/>
    </xf>
    <xf numFmtId="3" fontId="82" fillId="28" borderId="80" xfId="62" applyNumberFormat="1" applyFont="1" applyFill="1" applyBorder="1"/>
    <xf numFmtId="3" fontId="82" fillId="28" borderId="13" xfId="62" applyNumberFormat="1" applyFont="1" applyFill="1" applyBorder="1"/>
    <xf numFmtId="0" fontId="92" fillId="28" borderId="18" xfId="61" applyFont="1" applyFill="1" applyBorder="1"/>
    <xf numFmtId="0" fontId="92" fillId="0" borderId="11" xfId="61" applyFont="1" applyBorder="1" applyAlignment="1">
      <alignment wrapText="1"/>
    </xf>
    <xf numFmtId="0" fontId="92" fillId="0" borderId="78" xfId="61" applyFont="1" applyBorder="1" applyAlignment="1">
      <alignment wrapText="1"/>
    </xf>
    <xf numFmtId="3" fontId="82" fillId="28" borderId="12" xfId="62" applyNumberFormat="1" applyFont="1" applyFill="1" applyBorder="1"/>
    <xf numFmtId="0" fontId="93" fillId="26" borderId="85" xfId="61" applyFont="1" applyFill="1" applyBorder="1" applyAlignment="1">
      <alignment wrapText="1"/>
    </xf>
    <xf numFmtId="0" fontId="26" fillId="0" borderId="0" xfId="62" applyFont="1"/>
    <xf numFmtId="0" fontId="86" fillId="28" borderId="11" xfId="61" applyFont="1" applyFill="1" applyBorder="1" applyAlignment="1">
      <alignment vertical="top" wrapText="1"/>
    </xf>
    <xf numFmtId="3" fontId="89" fillId="0" borderId="92" xfId="62" applyNumberFormat="1" applyFont="1" applyBorder="1"/>
    <xf numFmtId="3" fontId="89" fillId="0" borderId="38" xfId="62" applyNumberFormat="1" applyFont="1" applyBorder="1"/>
    <xf numFmtId="3" fontId="82" fillId="28" borderId="81" xfId="62" applyNumberFormat="1" applyFont="1" applyFill="1" applyBorder="1"/>
    <xf numFmtId="0" fontId="86" fillId="28" borderId="78" xfId="61" applyFont="1" applyFill="1" applyBorder="1" applyAlignment="1">
      <alignment vertical="top" wrapText="1"/>
    </xf>
    <xf numFmtId="3" fontId="89" fillId="0" borderId="13" xfId="62" applyNumberFormat="1" applyFont="1" applyBorder="1"/>
    <xf numFmtId="3" fontId="89" fillId="0" borderId="12" xfId="62" applyNumberFormat="1" applyFont="1" applyBorder="1"/>
    <xf numFmtId="0" fontId="93" fillId="26" borderId="78" xfId="61" applyFont="1" applyFill="1" applyBorder="1" applyAlignment="1">
      <alignment wrapText="1"/>
    </xf>
    <xf numFmtId="3" fontId="89" fillId="26" borderId="38" xfId="62" applyNumberFormat="1" applyFont="1" applyFill="1" applyBorder="1"/>
    <xf numFmtId="0" fontId="24" fillId="29" borderId="50" xfId="62" applyFont="1" applyFill="1" applyBorder="1" applyAlignment="1">
      <alignment wrapText="1"/>
    </xf>
    <xf numFmtId="3" fontId="82" fillId="29" borderId="50" xfId="62" applyNumberFormat="1" applyFont="1" applyFill="1" applyBorder="1"/>
    <xf numFmtId="3" fontId="24" fillId="29" borderId="86" xfId="62" applyNumberFormat="1" applyFont="1" applyFill="1" applyBorder="1" applyAlignment="1">
      <alignment wrapText="1"/>
    </xf>
    <xf numFmtId="3" fontId="82" fillId="29" borderId="93" xfId="62" applyNumberFormat="1" applyFont="1" applyFill="1" applyBorder="1"/>
    <xf numFmtId="3" fontId="73" fillId="0" borderId="0" xfId="62" applyNumberFormat="1" applyFont="1"/>
    <xf numFmtId="3" fontId="71" fillId="0" borderId="0" xfId="47" applyNumberFormat="1" applyFont="1"/>
    <xf numFmtId="3" fontId="71" fillId="0" borderId="0" xfId="47" applyNumberFormat="1" applyFont="1" applyAlignment="1">
      <alignment horizontal="right"/>
    </xf>
    <xf numFmtId="3" fontId="94" fillId="0" borderId="0" xfId="47" applyNumberFormat="1" applyFont="1" applyAlignment="1">
      <alignment horizontal="left"/>
    </xf>
    <xf numFmtId="3" fontId="71" fillId="0" borderId="0" xfId="47" applyNumberFormat="1" applyFont="1" applyAlignment="1">
      <alignment horizontal="center"/>
    </xf>
    <xf numFmtId="0" fontId="30" fillId="0" borderId="0" xfId="0" applyFont="1" applyAlignment="1">
      <alignment horizontal="center"/>
    </xf>
    <xf numFmtId="3" fontId="37" fillId="0" borderId="0" xfId="0" applyNumberFormat="1" applyFont="1" applyAlignment="1">
      <alignment horizontal="center"/>
    </xf>
    <xf numFmtId="0" fontId="29" fillId="0" borderId="32" xfId="0" applyFont="1" applyBorder="1" applyAlignment="1">
      <alignment horizontal="left" wrapText="1"/>
    </xf>
    <xf numFmtId="0" fontId="29" fillId="0" borderId="65" xfId="0" applyFont="1" applyBorder="1" applyAlignment="1">
      <alignment horizontal="left" wrapText="1"/>
    </xf>
    <xf numFmtId="0" fontId="32" fillId="0" borderId="0" xfId="0" applyFont="1" applyAlignment="1">
      <alignment horizontal="center"/>
    </xf>
    <xf numFmtId="0" fontId="54" fillId="0" borderId="0" xfId="47" applyFont="1" applyAlignment="1">
      <alignment horizontal="center"/>
    </xf>
    <xf numFmtId="3" fontId="54" fillId="0" borderId="0" xfId="47" applyNumberFormat="1" applyFont="1" applyAlignment="1">
      <alignment horizontal="center"/>
    </xf>
    <xf numFmtId="3" fontId="54" fillId="0" borderId="23" xfId="47" applyNumberFormat="1" applyFont="1" applyBorder="1" applyAlignment="1">
      <alignment horizontal="center" wrapText="1"/>
    </xf>
    <xf numFmtId="3" fontId="54" fillId="0" borderId="24" xfId="47" applyNumberFormat="1" applyFont="1" applyBorder="1" applyAlignment="1">
      <alignment horizontal="center" wrapText="1"/>
    </xf>
    <xf numFmtId="3" fontId="54" fillId="0" borderId="66" xfId="47" applyNumberFormat="1" applyFont="1" applyBorder="1" applyAlignment="1">
      <alignment horizontal="center" wrapText="1"/>
    </xf>
    <xf numFmtId="3" fontId="54" fillId="0" borderId="23" xfId="47" applyNumberFormat="1" applyFont="1" applyBorder="1" applyAlignment="1">
      <alignment horizontal="center"/>
    </xf>
    <xf numFmtId="3" fontId="54" fillId="0" borderId="24" xfId="47" applyNumberFormat="1" applyFont="1" applyBorder="1" applyAlignment="1">
      <alignment horizontal="center"/>
    </xf>
    <xf numFmtId="3" fontId="54" fillId="0" borderId="66" xfId="47" applyNumberFormat="1" applyFont="1" applyBorder="1" applyAlignment="1">
      <alignment horizontal="center"/>
    </xf>
    <xf numFmtId="3" fontId="54" fillId="0" borderId="27" xfId="47" applyNumberFormat="1" applyFont="1" applyBorder="1" applyAlignment="1">
      <alignment horizontal="center"/>
    </xf>
    <xf numFmtId="3" fontId="54" fillId="0" borderId="28" xfId="47" applyNumberFormat="1" applyFont="1" applyBorder="1" applyAlignment="1">
      <alignment horizontal="center"/>
    </xf>
    <xf numFmtId="3" fontId="54" fillId="0" borderId="39" xfId="47" applyNumberFormat="1" applyFont="1" applyBorder="1" applyAlignment="1">
      <alignment horizontal="center"/>
    </xf>
    <xf numFmtId="0" fontId="24" fillId="0" borderId="0" xfId="61" applyFont="1" applyAlignment="1">
      <alignment horizontal="center"/>
    </xf>
    <xf numFmtId="0" fontId="74" fillId="0" borderId="0" xfId="62" applyFont="1" applyAlignment="1">
      <alignment horizontal="center" wrapText="1"/>
    </xf>
    <xf numFmtId="3" fontId="54" fillId="0" borderId="25" xfId="47" applyNumberFormat="1" applyFont="1" applyBorder="1" applyAlignment="1">
      <alignment horizontal="center" vertical="center"/>
    </xf>
    <xf numFmtId="3" fontId="54" fillId="0" borderId="26" xfId="47" applyNumberFormat="1" applyFont="1" applyBorder="1" applyAlignment="1">
      <alignment horizontal="center" vertical="center"/>
    </xf>
    <xf numFmtId="3" fontId="54" fillId="0" borderId="23" xfId="47" applyNumberFormat="1" applyFont="1" applyBorder="1" applyAlignment="1">
      <alignment horizontal="center" vertical="center" wrapText="1"/>
    </xf>
    <xf numFmtId="3" fontId="54" fillId="0" borderId="24" xfId="47" applyNumberFormat="1" applyFont="1" applyBorder="1" applyAlignment="1">
      <alignment horizontal="center" vertical="center" wrapText="1"/>
    </xf>
    <xf numFmtId="3" fontId="54" fillId="0" borderId="66" xfId="47" applyNumberFormat="1" applyFont="1" applyBorder="1" applyAlignment="1">
      <alignment horizontal="center" vertical="center" wrapText="1"/>
    </xf>
    <xf numFmtId="3" fontId="54" fillId="0" borderId="18" xfId="47" applyNumberFormat="1" applyFont="1" applyBorder="1" applyAlignment="1">
      <alignment horizontal="center" vertical="center" wrapText="1"/>
    </xf>
    <xf numFmtId="3" fontId="54" fillId="0" borderId="0" xfId="47" applyNumberFormat="1" applyFont="1" applyAlignment="1">
      <alignment horizontal="center" vertical="center" wrapText="1"/>
    </xf>
    <xf numFmtId="3" fontId="54" fillId="0" borderId="38" xfId="47" applyNumberFormat="1" applyFont="1" applyBorder="1" applyAlignment="1">
      <alignment horizontal="center" vertical="center" wrapText="1"/>
    </xf>
    <xf numFmtId="3" fontId="54" fillId="0" borderId="27" xfId="47" applyNumberFormat="1" applyFont="1" applyBorder="1" applyAlignment="1">
      <alignment horizontal="center" vertical="center" wrapText="1"/>
    </xf>
    <xf numFmtId="3" fontId="54" fillId="0" borderId="28" xfId="47" applyNumberFormat="1" applyFont="1" applyBorder="1" applyAlignment="1">
      <alignment horizontal="center" vertical="center" wrapText="1"/>
    </xf>
    <xf numFmtId="3" fontId="54" fillId="0" borderId="39" xfId="47" applyNumberFormat="1" applyFont="1" applyBorder="1" applyAlignment="1">
      <alignment horizontal="center" vertical="center" wrapText="1"/>
    </xf>
    <xf numFmtId="3" fontId="54" fillId="0" borderId="23" xfId="47" applyNumberFormat="1" applyFont="1" applyBorder="1" applyAlignment="1">
      <alignment horizontal="center" vertical="center"/>
    </xf>
    <xf numFmtId="3" fontId="54" fillId="0" borderId="24" xfId="47" applyNumberFormat="1" applyFont="1" applyBorder="1" applyAlignment="1">
      <alignment horizontal="center" vertical="center"/>
    </xf>
    <xf numFmtId="3" fontId="54" fillId="0" borderId="66" xfId="47" applyNumberFormat="1" applyFont="1" applyBorder="1" applyAlignment="1">
      <alignment horizontal="center" vertical="center"/>
    </xf>
    <xf numFmtId="3" fontId="54" fillId="0" borderId="18" xfId="47" applyNumberFormat="1" applyFont="1" applyBorder="1" applyAlignment="1">
      <alignment horizontal="center" vertical="center"/>
    </xf>
    <xf numFmtId="3" fontId="54" fillId="0" borderId="0" xfId="47" applyNumberFormat="1" applyFont="1" applyAlignment="1">
      <alignment horizontal="center" vertical="center"/>
    </xf>
    <xf numFmtId="3" fontId="54" fillId="0" borderId="38" xfId="47" applyNumberFormat="1" applyFont="1" applyBorder="1" applyAlignment="1">
      <alignment horizontal="center" vertical="center"/>
    </xf>
    <xf numFmtId="3" fontId="54" fillId="0" borderId="27" xfId="47" applyNumberFormat="1" applyFont="1" applyBorder="1" applyAlignment="1">
      <alignment horizontal="center" vertical="center"/>
    </xf>
    <xf numFmtId="3" fontId="54" fillId="0" borderId="28" xfId="47" applyNumberFormat="1" applyFont="1" applyBorder="1" applyAlignment="1">
      <alignment horizontal="center" vertical="center"/>
    </xf>
    <xf numFmtId="3" fontId="54" fillId="0" borderId="39" xfId="47" applyNumberFormat="1" applyFont="1" applyBorder="1" applyAlignment="1">
      <alignment horizontal="center" vertical="center"/>
    </xf>
    <xf numFmtId="0" fontId="58" fillId="0" borderId="0" xfId="58" applyFont="1" applyAlignment="1">
      <alignment horizontal="center"/>
    </xf>
    <xf numFmtId="4" fontId="58" fillId="0" borderId="0" xfId="58" applyNumberFormat="1" applyFont="1" applyAlignment="1">
      <alignment horizontal="center"/>
    </xf>
    <xf numFmtId="4" fontId="65" fillId="0" borderId="25" xfId="58" applyNumberFormat="1" applyFont="1" applyBorder="1" applyAlignment="1">
      <alignment horizontal="center" vertical="center" wrapText="1"/>
    </xf>
    <xf numFmtId="4" fontId="65" fillId="0" borderId="26" xfId="58" applyNumberFormat="1" applyFont="1" applyBorder="1" applyAlignment="1">
      <alignment horizontal="center" vertical="center" wrapText="1"/>
    </xf>
    <xf numFmtId="4" fontId="65" fillId="0" borderId="29" xfId="58" applyNumberFormat="1" applyFont="1" applyBorder="1" applyAlignment="1">
      <alignment horizontal="center" vertical="center" wrapText="1"/>
    </xf>
    <xf numFmtId="4" fontId="65" fillId="0" borderId="25" xfId="58" applyNumberFormat="1" applyFont="1" applyBorder="1" applyAlignment="1">
      <alignment horizontal="center" wrapText="1"/>
    </xf>
    <xf numFmtId="4" fontId="65" fillId="0" borderId="26" xfId="58" applyNumberFormat="1" applyFont="1" applyBorder="1" applyAlignment="1">
      <alignment horizontal="center" wrapText="1"/>
    </xf>
    <xf numFmtId="4" fontId="65" fillId="0" borderId="43" xfId="58" applyNumberFormat="1" applyFont="1" applyBorder="1" applyAlignment="1">
      <alignment horizontal="center"/>
    </xf>
    <xf numFmtId="4" fontId="65" fillId="0" borderId="40" xfId="58" applyNumberFormat="1" applyFont="1" applyBorder="1" applyAlignment="1">
      <alignment horizontal="center"/>
    </xf>
    <xf numFmtId="4" fontId="65" fillId="0" borderId="44" xfId="58" applyNumberFormat="1" applyFont="1" applyBorder="1" applyAlignment="1">
      <alignment horizontal="center"/>
    </xf>
    <xf numFmtId="4" fontId="65" fillId="0" borderId="43" xfId="58" applyNumberFormat="1" applyFont="1" applyBorder="1" applyAlignment="1">
      <alignment horizontal="center" wrapText="1"/>
    </xf>
    <xf numFmtId="4" fontId="65" fillId="0" borderId="44" xfId="58" applyNumberFormat="1" applyFont="1" applyBorder="1" applyAlignment="1">
      <alignment horizontal="center" wrapText="1"/>
    </xf>
    <xf numFmtId="0" fontId="32" fillId="0" borderId="0" xfId="0" applyFont="1" applyAlignment="1">
      <alignment horizontal="center" wrapText="1"/>
    </xf>
    <xf numFmtId="0" fontId="32" fillId="0" borderId="54" xfId="48" applyFont="1" applyBorder="1" applyAlignment="1">
      <alignment horizontal="left"/>
    </xf>
    <xf numFmtId="0" fontId="32" fillId="0" borderId="53" xfId="48" applyFont="1" applyBorder="1" applyAlignment="1">
      <alignment horizontal="left"/>
    </xf>
    <xf numFmtId="0" fontId="32" fillId="0" borderId="11" xfId="48" applyFont="1" applyBorder="1" applyAlignment="1">
      <alignment horizontal="left" wrapText="1"/>
    </xf>
    <xf numFmtId="0" fontId="32" fillId="0" borderId="49" xfId="48" applyFont="1" applyBorder="1" applyAlignment="1">
      <alignment horizontal="left" wrapText="1"/>
    </xf>
    <xf numFmtId="0" fontId="32" fillId="0" borderId="11" xfId="48" applyFont="1" applyBorder="1" applyAlignment="1">
      <alignment horizontal="left"/>
    </xf>
    <xf numFmtId="0" fontId="32" fillId="0" borderId="49" xfId="48" applyFont="1" applyBorder="1" applyAlignment="1">
      <alignment horizontal="left"/>
    </xf>
    <xf numFmtId="0" fontId="32" fillId="0" borderId="0" xfId="48" applyFont="1" applyAlignment="1">
      <alignment horizontal="center"/>
    </xf>
    <xf numFmtId="0" fontId="32" fillId="0" borderId="43" xfId="48" applyFont="1" applyBorder="1" applyAlignment="1">
      <alignment horizontal="left"/>
    </xf>
    <xf numFmtId="0" fontId="32" fillId="0" borderId="40" xfId="48" applyFont="1" applyBorder="1" applyAlignment="1">
      <alignment horizontal="left"/>
    </xf>
    <xf numFmtId="0" fontId="32" fillId="0" borderId="23" xfId="48" applyFont="1" applyBorder="1" applyAlignment="1">
      <alignment horizontal="center"/>
    </xf>
    <xf numFmtId="0" fontId="32" fillId="0" borderId="24" xfId="48" applyFont="1" applyBorder="1" applyAlignment="1">
      <alignment horizontal="center"/>
    </xf>
    <xf numFmtId="0" fontId="31" fillId="0" borderId="18" xfId="48" applyFont="1" applyBorder="1" applyAlignment="1">
      <alignment horizontal="left"/>
    </xf>
    <xf numFmtId="0" fontId="31" fillId="0" borderId="0" xfId="48" applyFont="1" applyAlignment="1">
      <alignment horizontal="left"/>
    </xf>
    <xf numFmtId="0" fontId="32" fillId="0" borderId="0" xfId="50" applyFont="1" applyAlignment="1">
      <alignment horizontal="center"/>
    </xf>
  </cellXfs>
  <cellStyles count="63">
    <cellStyle name="20% - 1. jelölőszín" xfId="1" xr:uid="{00000000-0005-0000-0000-000000000000}"/>
    <cellStyle name="20% - 2. jelölőszín" xfId="2" xr:uid="{00000000-0005-0000-0000-000001000000}"/>
    <cellStyle name="20% - 3. jelölőszín" xfId="3" xr:uid="{00000000-0005-0000-0000-000002000000}"/>
    <cellStyle name="20% - 4. jelölőszín" xfId="4" xr:uid="{00000000-0005-0000-0000-000003000000}"/>
    <cellStyle name="20% - 5. jelölőszín" xfId="5" xr:uid="{00000000-0005-0000-0000-000004000000}"/>
    <cellStyle name="20% - 6. jelölőszín" xfId="6" xr:uid="{00000000-0005-0000-0000-000005000000}"/>
    <cellStyle name="40% - 1. jelölőszín" xfId="7" xr:uid="{00000000-0005-0000-0000-000006000000}"/>
    <cellStyle name="40% - 2. jelölőszín" xfId="8" xr:uid="{00000000-0005-0000-0000-000007000000}"/>
    <cellStyle name="40% - 3. jelölőszín" xfId="9" xr:uid="{00000000-0005-0000-0000-000008000000}"/>
    <cellStyle name="40% - 4. jelölőszín" xfId="10" xr:uid="{00000000-0005-0000-0000-000009000000}"/>
    <cellStyle name="40% - 5. jelölőszín" xfId="11" xr:uid="{00000000-0005-0000-0000-00000A000000}"/>
    <cellStyle name="40% - 6. jelölőszín" xfId="12" xr:uid="{00000000-0005-0000-0000-00000B000000}"/>
    <cellStyle name="60% - 1. jelölőszín" xfId="13" xr:uid="{00000000-0005-0000-0000-00000C000000}"/>
    <cellStyle name="60% - 2. jelölőszín" xfId="14" xr:uid="{00000000-0005-0000-0000-00000D000000}"/>
    <cellStyle name="60% - 3. jelölőszín" xfId="15" xr:uid="{00000000-0005-0000-0000-00000E000000}"/>
    <cellStyle name="60% - 4. jelölőszín" xfId="16" xr:uid="{00000000-0005-0000-0000-00000F000000}"/>
    <cellStyle name="60% - 5. jelölőszín" xfId="17" xr:uid="{00000000-0005-0000-0000-000010000000}"/>
    <cellStyle name="60% - 6. jelölőszín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Bevitel" xfId="26" xr:uid="{00000000-0005-0000-0000-000019000000}"/>
    <cellStyle name="Calculation" xfId="27" xr:uid="{00000000-0005-0000-0000-00001A000000}"/>
    <cellStyle name="Check Cell" xfId="28" xr:uid="{00000000-0005-0000-0000-00001B000000}"/>
    <cellStyle name="Cím" xfId="29" xr:uid="{00000000-0005-0000-0000-00001C000000}"/>
    <cellStyle name="Címsor 1" xfId="30" xr:uid="{00000000-0005-0000-0000-00001D000000}"/>
    <cellStyle name="Címsor 2" xfId="31" xr:uid="{00000000-0005-0000-0000-00001E000000}"/>
    <cellStyle name="Címsor 3" xfId="32" xr:uid="{00000000-0005-0000-0000-00001F000000}"/>
    <cellStyle name="Címsor 4" xfId="33" xr:uid="{00000000-0005-0000-0000-000020000000}"/>
    <cellStyle name="Ellenőrzőcella" xfId="34" xr:uid="{00000000-0005-0000-0000-000021000000}"/>
    <cellStyle name="Explanatory Text" xfId="35" xr:uid="{00000000-0005-0000-0000-000022000000}"/>
    <cellStyle name="Ezres" xfId="36" builtinId="3"/>
    <cellStyle name="Ezres 2" xfId="57" xr:uid="{621AA41D-BF7C-4240-89D7-7A2FB216C0C6}"/>
    <cellStyle name="Figyelmeztetés" xfId="37" xr:uid="{00000000-0005-0000-0000-000024000000}"/>
    <cellStyle name="Good" xfId="38" xr:uid="{00000000-0005-0000-0000-000025000000}"/>
    <cellStyle name="Hivatkozott cella" xfId="39" xr:uid="{00000000-0005-0000-0000-000026000000}"/>
    <cellStyle name="Jegyzet" xfId="40" xr:uid="{00000000-0005-0000-0000-000027000000}"/>
    <cellStyle name="Jó" xfId="41" xr:uid="{00000000-0005-0000-0000-000028000000}"/>
    <cellStyle name="Kimenet" xfId="42" xr:uid="{00000000-0005-0000-0000-000029000000}"/>
    <cellStyle name="Magyarázó szöveg" xfId="43" xr:uid="{00000000-0005-0000-0000-00002A000000}"/>
    <cellStyle name="Neutral" xfId="44" xr:uid="{00000000-0005-0000-0000-00002B000000}"/>
    <cellStyle name="Normál" xfId="0" builtinId="0"/>
    <cellStyle name="Normal 2" xfId="45" xr:uid="{00000000-0005-0000-0000-00002D000000}"/>
    <cellStyle name="Normál 2" xfId="46" xr:uid="{00000000-0005-0000-0000-00002E000000}"/>
    <cellStyle name="Normál 3" xfId="47" xr:uid="{00000000-0005-0000-0000-00002F000000}"/>
    <cellStyle name="Normál 4" xfId="56" xr:uid="{D263C561-080B-4D75-A6C1-2F84914E3D5B}"/>
    <cellStyle name="Normál 5" xfId="62" xr:uid="{E00EDC44-3647-4866-B57B-BD299AAC0746}"/>
    <cellStyle name="Normál_99LETSZ_LETSZ02" xfId="58" xr:uid="{15F3F097-3859-4217-A3F5-872BE553FC7A}"/>
    <cellStyle name="Normál_GUCIFEJL" xfId="48" xr:uid="{00000000-0005-0000-0000-000030000000}"/>
    <cellStyle name="Normál_IKÖZI" xfId="61" xr:uid="{264BD155-C106-4D18-81C2-7138BD3E7912}"/>
    <cellStyle name="Normál_kiemelt eik 2013" xfId="49" xr:uid="{00000000-0005-0000-0000-000031000000}"/>
    <cellStyle name="Normál_LETSZ06" xfId="60" xr:uid="{DDC81FED-735B-49B8-8492-D0C36D2C6287}"/>
    <cellStyle name="Normál_letsz2011" xfId="59" xr:uid="{A4E04220-5BBB-4474-B799-9F46239E233E}"/>
    <cellStyle name="Normál_módIV12önk" xfId="50" xr:uid="{00000000-0005-0000-0000-000033000000}"/>
    <cellStyle name="Normál_Munkafüzet2" xfId="51" xr:uid="{00000000-0005-0000-0000-000034000000}"/>
    <cellStyle name="Összesen" xfId="52" xr:uid="{00000000-0005-0000-0000-000036000000}"/>
    <cellStyle name="Rossz" xfId="53" xr:uid="{00000000-0005-0000-0000-000037000000}"/>
    <cellStyle name="Semleges" xfId="54" xr:uid="{00000000-0005-0000-0000-000038000000}"/>
    <cellStyle name="Számítás" xfId="55" xr:uid="{00000000-0005-0000-0000-000039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iliana\Local%20Settings\Temporary%20Internet%20Files\OLK4D\norma_2008\0_eredeti\igeny_kieg_tablak\5_Kieg%20t&#225;bla%20k&#246;zs&#233;geknek%20a%203.%20sz&#225;m&#250;%20mell&#233;klethez_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sers/PERESZ~1/AppData/Local/Temp/DOCUME~1/MOLNAR~1.ZSU/LOCALS~1/Temp/norma_2008/0_eredeti/igeny_kieg_tablak/5_Kieg%20t&#225;bla%20k&#246;zs&#233;geknek%20a%203.%20sz&#225;m&#250;%20mell&#233;klethez_.xls" TargetMode="External"/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O:\kozgazd\2026\Rendeletm&#243;dos&#237;t&#225;s\INTrend.m&#243;d.2026.xls" TargetMode="External"/><Relationship Id="rId1" Type="http://schemas.openxmlformats.org/officeDocument/2006/relationships/externalLinkPath" Target="file:///O:\kozgazd\2026\Rendeletm&#243;dos&#237;t&#225;s\INTrend.m&#243;d.2026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O:\kozgazd\2026\Statisztika\Rendeletm&#243;dos&#237;t&#225;s.xlsx" TargetMode="External"/><Relationship Id="rId1" Type="http://schemas.openxmlformats.org/officeDocument/2006/relationships/externalLinkPath" Target="file:///O:\kozgazd\2026\Statisztika\Rendeletm&#243;dos&#237;t&#225;s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O:\kozgazd\2026\K&#246;lts&#233;gvet&#233;s\Int&#233;zm&#233;nyi%20k&#246;lts&#233;gvet&#233;s\Int&#233;zm&#233;nyi%20Kgy%20t&#225;bl&#225;k\Int.l&#233;tsz&#225;m2026%20ktgvet&#233;s.xls" TargetMode="External"/><Relationship Id="rId1" Type="http://schemas.openxmlformats.org/officeDocument/2006/relationships/externalLinkPath" Target="file:///O:\kozgazd\2026\K&#246;lts&#233;gvet&#233;s\Int&#233;zm&#233;nyi%20k&#246;lts&#233;gvet&#233;s\Int&#233;zm&#233;nyi%20Kgy%20t&#225;bl&#225;k\Int.l&#233;tsz&#225;m2026%20ktgvet&#233;s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O:\kozgazd\2026\Rendeletm&#243;dos&#237;t&#225;s\K&#214;ZGY&#368;L&#201;SI%20l&#233;tsz&#225;m2026.xlsx" TargetMode="External"/><Relationship Id="rId1" Type="http://schemas.openxmlformats.org/officeDocument/2006/relationships/externalLinkPath" Target="file:///O:\kozgazd\2026\Rendeletm&#243;dos&#237;t&#225;s\K&#214;ZGY&#368;L&#201;SI%20l&#233;tsz&#225;m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2"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3"/>
      <sheetData sheetId="4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 t="str">
            <v/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2">
        <row r="32">
          <cell r="C32" t="str">
            <v/>
          </cell>
        </row>
      </sheetData>
      <sheetData sheetId="3"/>
      <sheetData sheetId="4">
        <row r="9">
          <cell r="C9" t="str">
            <v>Aka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t.bevételek RM I maradvány"/>
      <sheetName val="int.kiadások RM I maradvány"/>
      <sheetName val="int.bevételek RM I"/>
      <sheetName val="int.kiadások RM I"/>
      <sheetName val="int.bevételek RM II"/>
      <sheetName val="int.kiadások RM II"/>
      <sheetName val="int.bevételek RM III"/>
      <sheetName val="int.kiadások RM III"/>
      <sheetName val="int.bevételek RM IV"/>
      <sheetName val="int.kiadások RM IV"/>
    </sheetNames>
    <sheetDataSet>
      <sheetData sheetId="0"/>
      <sheetData sheetId="1"/>
      <sheetData sheetId="2">
        <row r="10">
          <cell r="D10">
            <v>2568</v>
          </cell>
          <cell r="G10">
            <v>0</v>
          </cell>
          <cell r="J10">
            <v>0</v>
          </cell>
          <cell r="M10">
            <v>0</v>
          </cell>
          <cell r="T10">
            <v>0</v>
          </cell>
          <cell r="W10">
            <v>0</v>
          </cell>
          <cell r="Z10">
            <v>0</v>
          </cell>
          <cell r="AJ10">
            <v>3426</v>
          </cell>
          <cell r="AM10">
            <v>326005</v>
          </cell>
        </row>
        <row r="11">
          <cell r="D11">
            <v>1000</v>
          </cell>
          <cell r="G11">
            <v>0</v>
          </cell>
          <cell r="J11">
            <v>0</v>
          </cell>
          <cell r="M11">
            <v>0</v>
          </cell>
          <cell r="T11">
            <v>0</v>
          </cell>
          <cell r="W11">
            <v>0</v>
          </cell>
          <cell r="Z11">
            <v>0</v>
          </cell>
          <cell r="AJ11">
            <v>886</v>
          </cell>
          <cell r="AM11">
            <v>219948</v>
          </cell>
        </row>
        <row r="12">
          <cell r="D12">
            <v>960</v>
          </cell>
          <cell r="G12">
            <v>64</v>
          </cell>
          <cell r="J12">
            <v>0</v>
          </cell>
          <cell r="M12">
            <v>0</v>
          </cell>
          <cell r="T12">
            <v>0</v>
          </cell>
          <cell r="W12">
            <v>0</v>
          </cell>
          <cell r="Z12">
            <v>0</v>
          </cell>
          <cell r="AJ12">
            <v>2589</v>
          </cell>
          <cell r="AM12">
            <v>228445</v>
          </cell>
        </row>
        <row r="13">
          <cell r="D13">
            <v>1256</v>
          </cell>
          <cell r="G13">
            <v>48</v>
          </cell>
          <cell r="J13">
            <v>0</v>
          </cell>
          <cell r="M13">
            <v>0</v>
          </cell>
          <cell r="T13">
            <v>0</v>
          </cell>
          <cell r="W13">
            <v>0</v>
          </cell>
          <cell r="Z13">
            <v>0</v>
          </cell>
          <cell r="AJ13">
            <v>1730</v>
          </cell>
          <cell r="AM13">
            <v>279608</v>
          </cell>
        </row>
        <row r="14">
          <cell r="D14">
            <v>1328</v>
          </cell>
          <cell r="G14">
            <v>183</v>
          </cell>
          <cell r="J14">
            <v>0</v>
          </cell>
          <cell r="M14">
            <v>0</v>
          </cell>
          <cell r="T14">
            <v>0</v>
          </cell>
          <cell r="W14">
            <v>0</v>
          </cell>
          <cell r="Z14">
            <v>0</v>
          </cell>
          <cell r="AJ14">
            <v>1850</v>
          </cell>
          <cell r="AM14">
            <v>276947</v>
          </cell>
        </row>
        <row r="15">
          <cell r="D15">
            <v>1600</v>
          </cell>
          <cell r="G15">
            <v>60</v>
          </cell>
          <cell r="J15">
            <v>0</v>
          </cell>
          <cell r="M15">
            <v>0</v>
          </cell>
          <cell r="T15">
            <v>0</v>
          </cell>
          <cell r="W15">
            <v>0</v>
          </cell>
          <cell r="Z15">
            <v>0</v>
          </cell>
          <cell r="AJ15">
            <v>2051</v>
          </cell>
          <cell r="AM15">
            <v>255747</v>
          </cell>
        </row>
        <row r="16">
          <cell r="D16">
            <v>1400</v>
          </cell>
          <cell r="G16">
            <v>0</v>
          </cell>
          <cell r="J16">
            <v>0</v>
          </cell>
          <cell r="M16">
            <v>0</v>
          </cell>
          <cell r="T16">
            <v>0</v>
          </cell>
          <cell r="W16">
            <v>0</v>
          </cell>
          <cell r="Z16">
            <v>0</v>
          </cell>
          <cell r="AJ16">
            <v>1230</v>
          </cell>
          <cell r="AM16">
            <v>181439</v>
          </cell>
        </row>
        <row r="17">
          <cell r="D17">
            <v>1568</v>
          </cell>
          <cell r="G17">
            <v>0</v>
          </cell>
          <cell r="J17">
            <v>0</v>
          </cell>
          <cell r="M17">
            <v>0</v>
          </cell>
          <cell r="T17">
            <v>0</v>
          </cell>
          <cell r="W17">
            <v>0</v>
          </cell>
          <cell r="Z17">
            <v>0</v>
          </cell>
          <cell r="AJ17">
            <v>957</v>
          </cell>
          <cell r="AM17">
            <v>194615</v>
          </cell>
        </row>
        <row r="18">
          <cell r="D18">
            <v>880</v>
          </cell>
          <cell r="G18">
            <v>0</v>
          </cell>
          <cell r="J18">
            <v>0</v>
          </cell>
          <cell r="M18">
            <v>0</v>
          </cell>
          <cell r="T18">
            <v>0</v>
          </cell>
          <cell r="W18">
            <v>0</v>
          </cell>
          <cell r="Z18">
            <v>0</v>
          </cell>
          <cell r="AJ18">
            <v>1896</v>
          </cell>
          <cell r="AM18">
            <v>282991</v>
          </cell>
        </row>
        <row r="19">
          <cell r="D19">
            <v>3384</v>
          </cell>
          <cell r="G19">
            <v>0</v>
          </cell>
          <cell r="J19">
            <v>0</v>
          </cell>
          <cell r="M19">
            <v>0</v>
          </cell>
          <cell r="T19">
            <v>0</v>
          </cell>
          <cell r="W19">
            <v>0</v>
          </cell>
          <cell r="Z19">
            <v>0</v>
          </cell>
          <cell r="AJ19">
            <v>5227</v>
          </cell>
          <cell r="AM19">
            <v>323830</v>
          </cell>
        </row>
        <row r="20">
          <cell r="D20">
            <v>124</v>
          </cell>
          <cell r="G20">
            <v>44</v>
          </cell>
          <cell r="J20">
            <v>0</v>
          </cell>
          <cell r="M20">
            <v>0</v>
          </cell>
          <cell r="T20">
            <v>0</v>
          </cell>
          <cell r="W20">
            <v>0</v>
          </cell>
          <cell r="Z20">
            <v>0</v>
          </cell>
          <cell r="AJ20">
            <v>864</v>
          </cell>
          <cell r="AM20">
            <v>146970</v>
          </cell>
        </row>
        <row r="21">
          <cell r="D21">
            <v>1160</v>
          </cell>
          <cell r="G21">
            <v>0</v>
          </cell>
          <cell r="J21">
            <v>0</v>
          </cell>
          <cell r="M21">
            <v>0</v>
          </cell>
          <cell r="T21">
            <v>0</v>
          </cell>
          <cell r="W21">
            <v>0</v>
          </cell>
          <cell r="Z21">
            <v>0</v>
          </cell>
          <cell r="AJ21">
            <v>1185</v>
          </cell>
          <cell r="AM21">
            <v>150794</v>
          </cell>
        </row>
        <row r="22">
          <cell r="D22">
            <v>2552</v>
          </cell>
          <cell r="G22">
            <v>24</v>
          </cell>
          <cell r="J22">
            <v>0</v>
          </cell>
          <cell r="M22">
            <v>0</v>
          </cell>
          <cell r="T22">
            <v>0</v>
          </cell>
          <cell r="W22">
            <v>0</v>
          </cell>
          <cell r="Z22">
            <v>0</v>
          </cell>
          <cell r="AJ22">
            <v>1195</v>
          </cell>
          <cell r="AM22">
            <v>182784</v>
          </cell>
        </row>
        <row r="23">
          <cell r="D23">
            <v>280</v>
          </cell>
          <cell r="G23">
            <v>49</v>
          </cell>
          <cell r="J23">
            <v>0</v>
          </cell>
          <cell r="M23">
            <v>0</v>
          </cell>
          <cell r="T23">
            <v>0</v>
          </cell>
          <cell r="W23">
            <v>0</v>
          </cell>
          <cell r="Z23">
            <v>0</v>
          </cell>
          <cell r="AJ23">
            <v>2476</v>
          </cell>
          <cell r="AM23">
            <v>222120</v>
          </cell>
        </row>
        <row r="24">
          <cell r="D24">
            <v>1640</v>
          </cell>
          <cell r="G24">
            <v>0</v>
          </cell>
          <cell r="J24">
            <v>0</v>
          </cell>
          <cell r="M24">
            <v>0</v>
          </cell>
          <cell r="T24">
            <v>0</v>
          </cell>
          <cell r="W24">
            <v>0</v>
          </cell>
          <cell r="Z24">
            <v>0</v>
          </cell>
          <cell r="AJ24">
            <v>1221</v>
          </cell>
          <cell r="AM24">
            <v>314681</v>
          </cell>
        </row>
        <row r="25">
          <cell r="D25">
            <v>329</v>
          </cell>
          <cell r="G25">
            <v>96</v>
          </cell>
          <cell r="J25">
            <v>0</v>
          </cell>
          <cell r="M25">
            <v>0</v>
          </cell>
          <cell r="T25">
            <v>0</v>
          </cell>
          <cell r="W25">
            <v>0</v>
          </cell>
          <cell r="Z25">
            <v>0</v>
          </cell>
          <cell r="AJ25">
            <v>2113</v>
          </cell>
          <cell r="AM25">
            <v>227601</v>
          </cell>
        </row>
        <row r="26">
          <cell r="D26">
            <v>1104</v>
          </cell>
          <cell r="G26">
            <v>0</v>
          </cell>
          <cell r="J26">
            <v>0</v>
          </cell>
          <cell r="M26">
            <v>0</v>
          </cell>
          <cell r="T26">
            <v>0</v>
          </cell>
          <cell r="W26">
            <v>0</v>
          </cell>
          <cell r="Z26">
            <v>0</v>
          </cell>
          <cell r="AJ26">
            <v>799</v>
          </cell>
          <cell r="AM26">
            <v>181158</v>
          </cell>
        </row>
        <row r="27">
          <cell r="D27">
            <v>1600</v>
          </cell>
          <cell r="G27">
            <v>0</v>
          </cell>
          <cell r="J27">
            <v>0</v>
          </cell>
          <cell r="M27">
            <v>0</v>
          </cell>
          <cell r="T27">
            <v>0</v>
          </cell>
          <cell r="W27">
            <v>0</v>
          </cell>
          <cell r="Z27">
            <v>0</v>
          </cell>
          <cell r="AJ27">
            <v>1228</v>
          </cell>
          <cell r="AM27">
            <v>121141</v>
          </cell>
        </row>
        <row r="29">
          <cell r="D29">
            <v>694181</v>
          </cell>
          <cell r="G29">
            <v>1539</v>
          </cell>
          <cell r="J29">
            <v>0</v>
          </cell>
          <cell r="M29">
            <v>0</v>
          </cell>
          <cell r="T29">
            <v>0</v>
          </cell>
          <cell r="W29">
            <v>0</v>
          </cell>
          <cell r="Z29">
            <v>0</v>
          </cell>
          <cell r="AJ29">
            <v>5542</v>
          </cell>
          <cell r="AM29">
            <v>2086397</v>
          </cell>
        </row>
        <row r="33">
          <cell r="D33">
            <v>38471</v>
          </cell>
          <cell r="G33">
            <v>88087</v>
          </cell>
          <cell r="J33">
            <v>0</v>
          </cell>
          <cell r="M33">
            <v>0</v>
          </cell>
          <cell r="T33">
            <v>0</v>
          </cell>
          <cell r="W33">
            <v>0</v>
          </cell>
          <cell r="Z33">
            <v>0</v>
          </cell>
          <cell r="AJ33">
            <v>53284</v>
          </cell>
          <cell r="AM33">
            <v>125736</v>
          </cell>
        </row>
        <row r="34">
          <cell r="D34">
            <v>133344</v>
          </cell>
          <cell r="G34">
            <v>208152</v>
          </cell>
          <cell r="J34">
            <v>0</v>
          </cell>
          <cell r="M34">
            <v>0</v>
          </cell>
          <cell r="T34">
            <v>0</v>
          </cell>
          <cell r="W34">
            <v>12000</v>
          </cell>
          <cell r="Z34">
            <v>0</v>
          </cell>
          <cell r="AJ34">
            <v>304325</v>
          </cell>
          <cell r="AM34">
            <v>644378</v>
          </cell>
        </row>
        <row r="35">
          <cell r="D35">
            <v>34400</v>
          </cell>
          <cell r="G35">
            <v>7000</v>
          </cell>
          <cell r="J35">
            <v>0</v>
          </cell>
          <cell r="M35">
            <v>0</v>
          </cell>
          <cell r="T35">
            <v>0</v>
          </cell>
          <cell r="W35">
            <v>0</v>
          </cell>
          <cell r="Z35">
            <v>0</v>
          </cell>
          <cell r="AJ35">
            <v>32419</v>
          </cell>
          <cell r="AM35">
            <v>532286</v>
          </cell>
        </row>
        <row r="36">
          <cell r="D36">
            <v>154078</v>
          </cell>
          <cell r="G36">
            <v>52707</v>
          </cell>
          <cell r="J36">
            <v>0</v>
          </cell>
          <cell r="M36">
            <v>0</v>
          </cell>
          <cell r="T36">
            <v>0</v>
          </cell>
          <cell r="W36">
            <v>600</v>
          </cell>
          <cell r="Z36">
            <v>0</v>
          </cell>
          <cell r="AJ36">
            <v>71319</v>
          </cell>
          <cell r="AM36">
            <v>808506</v>
          </cell>
        </row>
        <row r="39">
          <cell r="D39">
            <v>254185</v>
          </cell>
          <cell r="G39">
            <v>0</v>
          </cell>
          <cell r="J39">
            <v>0</v>
          </cell>
          <cell r="M39">
            <v>0</v>
          </cell>
          <cell r="T39">
            <v>0</v>
          </cell>
          <cell r="W39">
            <v>0</v>
          </cell>
          <cell r="Z39">
            <v>0</v>
          </cell>
          <cell r="AJ39">
            <v>2784</v>
          </cell>
          <cell r="AM39">
            <v>1754503</v>
          </cell>
        </row>
        <row r="41">
          <cell r="D41">
            <v>70816</v>
          </cell>
          <cell r="G41">
            <v>532064</v>
          </cell>
          <cell r="J41">
            <v>0</v>
          </cell>
          <cell r="M41">
            <v>0</v>
          </cell>
          <cell r="T41">
            <v>0</v>
          </cell>
          <cell r="W41">
            <v>0</v>
          </cell>
          <cell r="AJ41">
            <v>154463</v>
          </cell>
          <cell r="AM41">
            <v>401909</v>
          </cell>
        </row>
        <row r="43">
          <cell r="D43">
            <v>86282</v>
          </cell>
          <cell r="G43">
            <v>12181</v>
          </cell>
          <cell r="J43">
            <v>0</v>
          </cell>
          <cell r="M43">
            <v>0</v>
          </cell>
          <cell r="T43">
            <v>0</v>
          </cell>
          <cell r="W43">
            <v>0</v>
          </cell>
          <cell r="Z43">
            <v>0</v>
          </cell>
          <cell r="AJ43">
            <v>3629</v>
          </cell>
          <cell r="AM43">
            <v>2220369</v>
          </cell>
        </row>
        <row r="45">
          <cell r="D45">
            <v>203300</v>
          </cell>
          <cell r="G45">
            <v>0</v>
          </cell>
          <cell r="J45">
            <v>0</v>
          </cell>
          <cell r="M45">
            <v>0</v>
          </cell>
          <cell r="T45">
            <v>0</v>
          </cell>
          <cell r="W45">
            <v>0</v>
          </cell>
          <cell r="Z45">
            <v>0</v>
          </cell>
          <cell r="AJ45">
            <v>15005</v>
          </cell>
          <cell r="AM45">
            <v>34700</v>
          </cell>
        </row>
        <row r="46">
          <cell r="D46">
            <v>21537</v>
          </cell>
          <cell r="G46">
            <v>0</v>
          </cell>
          <cell r="J46">
            <v>0</v>
          </cell>
          <cell r="M46">
            <v>0</v>
          </cell>
          <cell r="T46">
            <v>14416</v>
          </cell>
          <cell r="W46">
            <v>0</v>
          </cell>
          <cell r="Z46">
            <v>0</v>
          </cell>
          <cell r="AJ46">
            <v>0</v>
          </cell>
          <cell r="AM46">
            <v>494966</v>
          </cell>
        </row>
        <row r="47">
          <cell r="D47">
            <v>21655</v>
          </cell>
          <cell r="G47">
            <v>64645</v>
          </cell>
          <cell r="J47">
            <v>1000</v>
          </cell>
          <cell r="M47">
            <v>1350</v>
          </cell>
          <cell r="T47">
            <v>0</v>
          </cell>
          <cell r="W47">
            <v>0</v>
          </cell>
          <cell r="Z47">
            <v>0</v>
          </cell>
          <cell r="AJ47">
            <v>9929</v>
          </cell>
          <cell r="AM47">
            <v>3600013</v>
          </cell>
        </row>
      </sheetData>
      <sheetData sheetId="3">
        <row r="10">
          <cell r="D10">
            <v>280344</v>
          </cell>
          <cell r="G10">
            <v>42572</v>
          </cell>
          <cell r="J10">
            <v>9083</v>
          </cell>
          <cell r="N10">
            <v>0</v>
          </cell>
          <cell r="Q10">
            <v>0</v>
          </cell>
          <cell r="X10">
            <v>0</v>
          </cell>
          <cell r="AA10">
            <v>0</v>
          </cell>
          <cell r="AD10">
            <v>0</v>
          </cell>
        </row>
        <row r="11">
          <cell r="D11">
            <v>191581</v>
          </cell>
          <cell r="G11">
            <v>25485</v>
          </cell>
          <cell r="J11">
            <v>4652</v>
          </cell>
          <cell r="N11">
            <v>0</v>
          </cell>
          <cell r="Q11">
            <v>0</v>
          </cell>
          <cell r="X11">
            <v>116</v>
          </cell>
          <cell r="AA11">
            <v>0</v>
          </cell>
          <cell r="AD11">
            <v>0</v>
          </cell>
        </row>
        <row r="12">
          <cell r="D12">
            <v>200616</v>
          </cell>
          <cell r="G12">
            <v>26897</v>
          </cell>
          <cell r="J12">
            <v>4510</v>
          </cell>
          <cell r="N12">
            <v>0</v>
          </cell>
          <cell r="Q12">
            <v>0</v>
          </cell>
          <cell r="X12">
            <v>35</v>
          </cell>
          <cell r="AA12">
            <v>0</v>
          </cell>
          <cell r="AD12">
            <v>0</v>
          </cell>
        </row>
        <row r="13">
          <cell r="D13">
            <v>240296</v>
          </cell>
          <cell r="G13">
            <v>36515</v>
          </cell>
          <cell r="J13">
            <v>5831</v>
          </cell>
          <cell r="N13">
            <v>0</v>
          </cell>
          <cell r="Q13">
            <v>0</v>
          </cell>
          <cell r="X13">
            <v>0</v>
          </cell>
          <cell r="AA13">
            <v>0</v>
          </cell>
          <cell r="AD13">
            <v>0</v>
          </cell>
        </row>
        <row r="14">
          <cell r="D14">
            <v>239514</v>
          </cell>
          <cell r="G14">
            <v>36500</v>
          </cell>
          <cell r="J14">
            <v>3890</v>
          </cell>
          <cell r="N14">
            <v>0</v>
          </cell>
          <cell r="Q14">
            <v>0</v>
          </cell>
          <cell r="X14">
            <v>404</v>
          </cell>
          <cell r="AA14">
            <v>0</v>
          </cell>
          <cell r="AD14">
            <v>0</v>
          </cell>
        </row>
        <row r="15">
          <cell r="D15">
            <v>222995</v>
          </cell>
          <cell r="G15">
            <v>31712</v>
          </cell>
          <cell r="J15">
            <v>4155</v>
          </cell>
          <cell r="N15">
            <v>0</v>
          </cell>
          <cell r="Q15">
            <v>0</v>
          </cell>
          <cell r="X15">
            <v>21</v>
          </cell>
          <cell r="AA15">
            <v>575</v>
          </cell>
          <cell r="AD15">
            <v>0</v>
          </cell>
        </row>
        <row r="16">
          <cell r="D16">
            <v>158472</v>
          </cell>
          <cell r="G16">
            <v>21329</v>
          </cell>
          <cell r="J16">
            <v>4254</v>
          </cell>
          <cell r="N16">
            <v>0</v>
          </cell>
          <cell r="Q16">
            <v>0</v>
          </cell>
          <cell r="X16">
            <v>14</v>
          </cell>
          <cell r="AA16">
            <v>0</v>
          </cell>
          <cell r="AD16">
            <v>0</v>
          </cell>
        </row>
        <row r="17">
          <cell r="D17">
            <v>170166</v>
          </cell>
          <cell r="G17">
            <v>22864</v>
          </cell>
          <cell r="J17">
            <v>3931</v>
          </cell>
          <cell r="N17">
            <v>0</v>
          </cell>
          <cell r="Q17">
            <v>0</v>
          </cell>
          <cell r="X17">
            <v>179</v>
          </cell>
          <cell r="AA17">
            <v>0</v>
          </cell>
          <cell r="AD17">
            <v>0</v>
          </cell>
        </row>
        <row r="18">
          <cell r="D18">
            <v>239064</v>
          </cell>
          <cell r="G18">
            <v>36398</v>
          </cell>
          <cell r="J18">
            <v>4873</v>
          </cell>
          <cell r="N18">
            <v>0</v>
          </cell>
          <cell r="Q18">
            <v>0</v>
          </cell>
          <cell r="X18">
            <v>5432</v>
          </cell>
          <cell r="AA18">
            <v>0</v>
          </cell>
          <cell r="AD18">
            <v>0</v>
          </cell>
        </row>
        <row r="19">
          <cell r="D19">
            <v>283581</v>
          </cell>
          <cell r="G19">
            <v>42746</v>
          </cell>
          <cell r="J19">
            <v>6006</v>
          </cell>
          <cell r="N19">
            <v>0</v>
          </cell>
          <cell r="Q19">
            <v>0</v>
          </cell>
          <cell r="X19">
            <v>108</v>
          </cell>
          <cell r="AA19">
            <v>0</v>
          </cell>
          <cell r="AD19">
            <v>0</v>
          </cell>
        </row>
        <row r="20">
          <cell r="D20">
            <v>127128</v>
          </cell>
          <cell r="G20">
            <v>17134</v>
          </cell>
          <cell r="J20">
            <v>3700</v>
          </cell>
          <cell r="N20">
            <v>0</v>
          </cell>
          <cell r="Q20">
            <v>0</v>
          </cell>
          <cell r="X20">
            <v>40</v>
          </cell>
          <cell r="AA20">
            <v>0</v>
          </cell>
          <cell r="AD20">
            <v>0</v>
          </cell>
        </row>
        <row r="21">
          <cell r="D21">
            <v>132435</v>
          </cell>
          <cell r="G21">
            <v>17894</v>
          </cell>
          <cell r="J21">
            <v>2810</v>
          </cell>
          <cell r="N21">
            <v>0</v>
          </cell>
          <cell r="Q21">
            <v>0</v>
          </cell>
          <cell r="X21">
            <v>0</v>
          </cell>
          <cell r="AA21">
            <v>0</v>
          </cell>
          <cell r="AD21">
            <v>0</v>
          </cell>
        </row>
        <row r="22">
          <cell r="D22">
            <v>159307</v>
          </cell>
          <cell r="G22">
            <v>21402</v>
          </cell>
          <cell r="J22">
            <v>5846</v>
          </cell>
          <cell r="N22">
            <v>0</v>
          </cell>
          <cell r="Q22">
            <v>0</v>
          </cell>
          <cell r="X22">
            <v>0</v>
          </cell>
          <cell r="AA22">
            <v>0</v>
          </cell>
          <cell r="AD22">
            <v>0</v>
          </cell>
        </row>
        <row r="23">
          <cell r="D23">
            <v>189331</v>
          </cell>
          <cell r="G23">
            <v>25496</v>
          </cell>
          <cell r="J23">
            <v>3767</v>
          </cell>
          <cell r="N23">
            <v>0</v>
          </cell>
          <cell r="Q23">
            <v>0</v>
          </cell>
          <cell r="X23">
            <v>6331</v>
          </cell>
          <cell r="AA23">
            <v>0</v>
          </cell>
          <cell r="AD23">
            <v>0</v>
          </cell>
        </row>
        <row r="24">
          <cell r="D24">
            <v>265658</v>
          </cell>
          <cell r="G24">
            <v>40491</v>
          </cell>
          <cell r="J24">
            <v>11333</v>
          </cell>
          <cell r="N24">
            <v>0</v>
          </cell>
          <cell r="Q24">
            <v>0</v>
          </cell>
          <cell r="X24">
            <v>60</v>
          </cell>
          <cell r="AA24">
            <v>0</v>
          </cell>
          <cell r="AD24">
            <v>0</v>
          </cell>
        </row>
        <row r="25">
          <cell r="D25">
            <v>193440</v>
          </cell>
          <cell r="G25">
            <v>25525</v>
          </cell>
          <cell r="J25">
            <v>10723</v>
          </cell>
          <cell r="N25">
            <v>0</v>
          </cell>
          <cell r="Q25">
            <v>0</v>
          </cell>
          <cell r="X25">
            <v>451</v>
          </cell>
          <cell r="AA25">
            <v>0</v>
          </cell>
          <cell r="AD25">
            <v>0</v>
          </cell>
        </row>
        <row r="26">
          <cell r="D26">
            <v>157211</v>
          </cell>
          <cell r="G26">
            <v>21132</v>
          </cell>
          <cell r="J26">
            <v>4683</v>
          </cell>
          <cell r="N26">
            <v>0</v>
          </cell>
          <cell r="Q26">
            <v>0</v>
          </cell>
          <cell r="X26">
            <v>35</v>
          </cell>
          <cell r="AA26">
            <v>0</v>
          </cell>
          <cell r="AD26">
            <v>0</v>
          </cell>
        </row>
        <row r="27">
          <cell r="D27">
            <v>106514</v>
          </cell>
          <cell r="G27">
            <v>14155</v>
          </cell>
          <cell r="J27">
            <v>3300</v>
          </cell>
          <cell r="N27">
            <v>0</v>
          </cell>
          <cell r="Q27">
            <v>0</v>
          </cell>
          <cell r="X27">
            <v>0</v>
          </cell>
          <cell r="AA27">
            <v>0</v>
          </cell>
          <cell r="AD27">
            <v>0</v>
          </cell>
        </row>
        <row r="29">
          <cell r="D29">
            <v>385839</v>
          </cell>
          <cell r="G29">
            <v>59599</v>
          </cell>
          <cell r="J29">
            <v>2330736</v>
          </cell>
          <cell r="N29">
            <v>0</v>
          </cell>
          <cell r="Q29">
            <v>0</v>
          </cell>
          <cell r="X29">
            <v>3487</v>
          </cell>
          <cell r="AA29">
            <v>7998</v>
          </cell>
          <cell r="AD29">
            <v>0</v>
          </cell>
        </row>
        <row r="33">
          <cell r="D33">
            <v>195637</v>
          </cell>
          <cell r="G33">
            <v>23752</v>
          </cell>
          <cell r="J33">
            <v>85689</v>
          </cell>
          <cell r="N33">
            <v>0</v>
          </cell>
          <cell r="Q33">
            <v>0</v>
          </cell>
          <cell r="X33">
            <v>500</v>
          </cell>
          <cell r="AA33">
            <v>0</v>
          </cell>
          <cell r="AD33">
            <v>0</v>
          </cell>
        </row>
        <row r="34">
          <cell r="D34">
            <v>807097</v>
          </cell>
          <cell r="G34">
            <v>113755</v>
          </cell>
          <cell r="J34">
            <v>323658</v>
          </cell>
          <cell r="N34">
            <v>0</v>
          </cell>
          <cell r="Q34">
            <v>0</v>
          </cell>
          <cell r="X34">
            <v>57689</v>
          </cell>
          <cell r="AA34">
            <v>0</v>
          </cell>
          <cell r="AD34">
            <v>0</v>
          </cell>
        </row>
        <row r="35">
          <cell r="D35">
            <v>342643</v>
          </cell>
          <cell r="G35">
            <v>48977</v>
          </cell>
          <cell r="J35">
            <v>202485</v>
          </cell>
          <cell r="N35">
            <v>0</v>
          </cell>
          <cell r="Q35">
            <v>0</v>
          </cell>
          <cell r="X35">
            <v>12000</v>
          </cell>
          <cell r="AA35">
            <v>0</v>
          </cell>
          <cell r="AD35">
            <v>0</v>
          </cell>
        </row>
        <row r="36">
          <cell r="D36">
            <v>697935</v>
          </cell>
          <cell r="G36">
            <v>98143</v>
          </cell>
          <cell r="J36">
            <v>281339</v>
          </cell>
          <cell r="N36">
            <v>0</v>
          </cell>
          <cell r="Q36">
            <v>0</v>
          </cell>
          <cell r="X36">
            <v>9793</v>
          </cell>
          <cell r="AA36">
            <v>0</v>
          </cell>
          <cell r="AD36">
            <v>0</v>
          </cell>
        </row>
        <row r="39">
          <cell r="D39">
            <v>1120645</v>
          </cell>
          <cell r="G39">
            <v>188052</v>
          </cell>
          <cell r="J39">
            <v>675966</v>
          </cell>
          <cell r="N39">
            <v>0</v>
          </cell>
          <cell r="Q39">
            <v>90</v>
          </cell>
          <cell r="X39">
            <v>0</v>
          </cell>
          <cell r="AA39">
            <v>26719</v>
          </cell>
          <cell r="AD39">
            <v>0</v>
          </cell>
        </row>
        <row r="41">
          <cell r="D41">
            <v>647456</v>
          </cell>
          <cell r="G41">
            <v>99139</v>
          </cell>
          <cell r="J41">
            <v>404241</v>
          </cell>
          <cell r="N41">
            <v>0</v>
          </cell>
          <cell r="Q41">
            <v>0</v>
          </cell>
          <cell r="X41">
            <v>8416</v>
          </cell>
          <cell r="AA41">
            <v>0</v>
          </cell>
          <cell r="AD41">
            <v>0</v>
          </cell>
        </row>
        <row r="43">
          <cell r="D43">
            <v>1756008</v>
          </cell>
          <cell r="G43">
            <v>273281</v>
          </cell>
          <cell r="J43">
            <v>233816</v>
          </cell>
          <cell r="N43">
            <v>0</v>
          </cell>
          <cell r="Q43">
            <v>0</v>
          </cell>
          <cell r="X43">
            <v>27792</v>
          </cell>
          <cell r="AA43">
            <v>31564</v>
          </cell>
          <cell r="AD43">
            <v>0</v>
          </cell>
        </row>
        <row r="45">
          <cell r="D45">
            <v>96676</v>
          </cell>
          <cell r="G45">
            <v>12708</v>
          </cell>
          <cell r="J45">
            <v>129050</v>
          </cell>
          <cell r="N45">
            <v>0</v>
          </cell>
          <cell r="Q45">
            <v>0</v>
          </cell>
          <cell r="X45">
            <v>14571</v>
          </cell>
          <cell r="AA45">
            <v>0</v>
          </cell>
          <cell r="AD45">
            <v>0</v>
          </cell>
        </row>
        <row r="46">
          <cell r="D46">
            <v>282909</v>
          </cell>
          <cell r="G46">
            <v>40347</v>
          </cell>
          <cell r="J46">
            <v>206663</v>
          </cell>
          <cell r="N46">
            <v>0</v>
          </cell>
          <cell r="Q46">
            <v>0</v>
          </cell>
          <cell r="X46">
            <v>1000</v>
          </cell>
          <cell r="AA46">
            <v>0</v>
          </cell>
          <cell r="AD46">
            <v>0</v>
          </cell>
        </row>
        <row r="47">
          <cell r="D47">
            <v>2676512</v>
          </cell>
          <cell r="G47">
            <v>410593</v>
          </cell>
          <cell r="J47">
            <v>504212</v>
          </cell>
          <cell r="N47">
            <v>0</v>
          </cell>
          <cell r="Q47">
            <v>4500</v>
          </cell>
          <cell r="X47">
            <v>94775</v>
          </cell>
          <cell r="AA47">
            <v>8000</v>
          </cell>
          <cell r="AD47">
            <v>0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6.RM.II."/>
      <sheetName val="2026.RM.II.-normatíva"/>
      <sheetName val="2026.fajl.+mutatószváltozás"/>
      <sheetName val="2026.májusi-mutatószám "/>
      <sheetName val="2026.májusi fajlagosem-ped.bér"/>
      <sheetName val="2026.májusi egyszeri"/>
      <sheetName val="2026.I. rendmód"/>
      <sheetName val="2026.kv.rend. végleges"/>
    </sheetNames>
    <sheetDataSet>
      <sheetData sheetId="0"/>
      <sheetData sheetId="1" refreshError="1"/>
      <sheetData sheetId="2" refreshError="1"/>
      <sheetData sheetId="3">
        <row r="17">
          <cell r="E17">
            <v>1896</v>
          </cell>
        </row>
        <row r="19">
          <cell r="E19">
            <v>13752</v>
          </cell>
        </row>
        <row r="23">
          <cell r="E23">
            <v>1625</v>
          </cell>
        </row>
        <row r="24">
          <cell r="E24">
            <v>1243</v>
          </cell>
        </row>
        <row r="25">
          <cell r="E25">
            <v>382</v>
          </cell>
        </row>
        <row r="26">
          <cell r="E26">
            <v>-4278</v>
          </cell>
        </row>
        <row r="37">
          <cell r="E37">
            <v>-8350</v>
          </cell>
        </row>
        <row r="38">
          <cell r="E38">
            <v>17190</v>
          </cell>
        </row>
        <row r="46">
          <cell r="E46">
            <v>-2835</v>
          </cell>
        </row>
        <row r="47">
          <cell r="E47">
            <v>25</v>
          </cell>
        </row>
        <row r="48">
          <cell r="E48">
            <v>-5001</v>
          </cell>
        </row>
        <row r="49">
          <cell r="E49">
            <v>-1213</v>
          </cell>
        </row>
        <row r="50">
          <cell r="E50">
            <v>2160</v>
          </cell>
        </row>
        <row r="54">
          <cell r="E54">
            <v>41854</v>
          </cell>
        </row>
        <row r="55">
          <cell r="E55">
            <v>-31591</v>
          </cell>
        </row>
        <row r="56">
          <cell r="E56">
            <v>-15238</v>
          </cell>
        </row>
        <row r="59">
          <cell r="E59">
            <v>-8675</v>
          </cell>
        </row>
        <row r="65">
          <cell r="E65">
            <v>9064</v>
          </cell>
        </row>
        <row r="66">
          <cell r="E66">
            <v>15505</v>
          </cell>
        </row>
        <row r="67">
          <cell r="E67">
            <v>-122</v>
          </cell>
        </row>
      </sheetData>
      <sheetData sheetId="4">
        <row r="19">
          <cell r="E19">
            <v>8048</v>
          </cell>
        </row>
        <row r="23">
          <cell r="E23">
            <v>179</v>
          </cell>
        </row>
        <row r="24">
          <cell r="E24">
            <v>169</v>
          </cell>
        </row>
        <row r="25">
          <cell r="E25">
            <v>10</v>
          </cell>
        </row>
        <row r="26">
          <cell r="E26">
            <v>192</v>
          </cell>
        </row>
        <row r="28">
          <cell r="E28">
            <v>12</v>
          </cell>
        </row>
        <row r="29">
          <cell r="E29">
            <v>4</v>
          </cell>
        </row>
        <row r="30">
          <cell r="E30">
            <v>8</v>
          </cell>
        </row>
        <row r="31">
          <cell r="E31">
            <v>30</v>
          </cell>
        </row>
        <row r="34">
          <cell r="E34">
            <v>56</v>
          </cell>
        </row>
        <row r="38">
          <cell r="E38">
            <v>340</v>
          </cell>
        </row>
        <row r="39">
          <cell r="E39">
            <v>6</v>
          </cell>
        </row>
        <row r="54">
          <cell r="E54">
            <v>2668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étszám ei mód 2025-2026eltérés"/>
      <sheetName val="2026 évi nyitó létszám"/>
      <sheetName val="2026 évi nyitó létszám KGY"/>
    </sheetNames>
    <sheetDataSet>
      <sheetData sheetId="0"/>
      <sheetData sheetId="1"/>
      <sheetData sheetId="2">
        <row r="8">
          <cell r="B8">
            <v>34</v>
          </cell>
        </row>
        <row r="9">
          <cell r="B9">
            <v>24</v>
          </cell>
        </row>
        <row r="10">
          <cell r="B10">
            <v>24</v>
          </cell>
        </row>
        <row r="11">
          <cell r="B11">
            <v>29</v>
          </cell>
        </row>
        <row r="12">
          <cell r="B12">
            <v>28</v>
          </cell>
        </row>
        <row r="13">
          <cell r="B13">
            <v>24</v>
          </cell>
        </row>
        <row r="14">
          <cell r="B14">
            <v>19</v>
          </cell>
        </row>
        <row r="15">
          <cell r="B15">
            <v>19</v>
          </cell>
        </row>
        <row r="16">
          <cell r="B16">
            <v>28</v>
          </cell>
        </row>
        <row r="17">
          <cell r="B17">
            <v>31</v>
          </cell>
        </row>
        <row r="18">
          <cell r="B18">
            <v>16</v>
          </cell>
        </row>
        <row r="19">
          <cell r="B19">
            <v>15</v>
          </cell>
        </row>
        <row r="20">
          <cell r="B20">
            <v>20</v>
          </cell>
        </row>
        <row r="21">
          <cell r="B21">
            <v>21</v>
          </cell>
        </row>
        <row r="22">
          <cell r="B22">
            <v>32</v>
          </cell>
        </row>
        <row r="23">
          <cell r="B23">
            <v>24</v>
          </cell>
        </row>
        <row r="24">
          <cell r="B24">
            <v>18</v>
          </cell>
        </row>
        <row r="25">
          <cell r="B25">
            <v>13</v>
          </cell>
        </row>
        <row r="27">
          <cell r="B27">
            <v>44</v>
          </cell>
        </row>
        <row r="31">
          <cell r="B31">
            <v>19.75</v>
          </cell>
        </row>
        <row r="32">
          <cell r="B32">
            <v>84.5</v>
          </cell>
        </row>
        <row r="33">
          <cell r="B33">
            <v>46</v>
          </cell>
        </row>
        <row r="34">
          <cell r="B34">
            <v>100.75</v>
          </cell>
        </row>
        <row r="37">
          <cell r="B37">
            <v>182.75</v>
          </cell>
        </row>
        <row r="39">
          <cell r="B39">
            <v>72</v>
          </cell>
        </row>
        <row r="41">
          <cell r="B41">
            <v>201.755</v>
          </cell>
        </row>
        <row r="43">
          <cell r="B43">
            <v>14.5</v>
          </cell>
        </row>
        <row r="44">
          <cell r="B44">
            <v>0</v>
          </cell>
        </row>
        <row r="45">
          <cell r="B45">
            <v>301.5</v>
          </cell>
        </row>
        <row r="49">
          <cell r="B49">
            <v>18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étszám ei mód RM I. int. "/>
      <sheetName val="létszám ei mód RM II. int."/>
      <sheetName val="létszám ei mód RM III."/>
      <sheetName val="létszám ei mód RM IV."/>
    </sheetNames>
    <sheetDataSet>
      <sheetData sheetId="0">
        <row r="8">
          <cell r="C8">
            <v>33</v>
          </cell>
          <cell r="E8">
            <v>33</v>
          </cell>
        </row>
        <row r="9">
          <cell r="C9">
            <v>23</v>
          </cell>
          <cell r="E9">
            <v>23</v>
          </cell>
        </row>
        <row r="10">
          <cell r="C10">
            <v>23</v>
          </cell>
          <cell r="E10">
            <v>23</v>
          </cell>
        </row>
        <row r="11">
          <cell r="C11">
            <v>28</v>
          </cell>
          <cell r="E11">
            <v>28</v>
          </cell>
        </row>
        <row r="12">
          <cell r="C12">
            <v>26</v>
          </cell>
          <cell r="E12">
            <v>26</v>
          </cell>
        </row>
        <row r="13">
          <cell r="C13">
            <v>23</v>
          </cell>
          <cell r="E13">
            <v>23</v>
          </cell>
        </row>
        <row r="14">
          <cell r="C14">
            <v>18</v>
          </cell>
          <cell r="E14">
            <v>18</v>
          </cell>
        </row>
        <row r="15">
          <cell r="C15">
            <v>18.5</v>
          </cell>
          <cell r="E15">
            <v>18.5</v>
          </cell>
        </row>
        <row r="16">
          <cell r="C16">
            <v>28.5</v>
          </cell>
          <cell r="E16">
            <v>28.5</v>
          </cell>
        </row>
        <row r="17">
          <cell r="C17">
            <v>30.5</v>
          </cell>
          <cell r="E17">
            <v>30.5</v>
          </cell>
        </row>
        <row r="18">
          <cell r="C18">
            <v>15</v>
          </cell>
          <cell r="E18">
            <v>15</v>
          </cell>
        </row>
        <row r="19">
          <cell r="C19">
            <v>14</v>
          </cell>
          <cell r="E19">
            <v>14</v>
          </cell>
        </row>
        <row r="20">
          <cell r="C20">
            <v>19</v>
          </cell>
          <cell r="E20">
            <v>19</v>
          </cell>
        </row>
        <row r="21">
          <cell r="C21">
            <v>20.5</v>
          </cell>
          <cell r="E21">
            <v>20.5</v>
          </cell>
        </row>
        <row r="22">
          <cell r="C22">
            <v>31.5</v>
          </cell>
          <cell r="E22">
            <v>31.5</v>
          </cell>
        </row>
        <row r="23">
          <cell r="C23">
            <v>23</v>
          </cell>
          <cell r="E23">
            <v>23</v>
          </cell>
        </row>
        <row r="24">
          <cell r="C24">
            <v>17</v>
          </cell>
          <cell r="E24">
            <v>17</v>
          </cell>
        </row>
        <row r="25">
          <cell r="C25">
            <v>11.5</v>
          </cell>
          <cell r="E25">
            <v>11.5</v>
          </cell>
        </row>
        <row r="27">
          <cell r="C27">
            <v>49</v>
          </cell>
          <cell r="E27">
            <v>49</v>
          </cell>
        </row>
        <row r="31">
          <cell r="C31">
            <v>19.75</v>
          </cell>
          <cell r="E31">
            <v>19.75</v>
          </cell>
        </row>
        <row r="32">
          <cell r="C32">
            <v>84.5</v>
          </cell>
          <cell r="E32">
            <v>84.5</v>
          </cell>
        </row>
        <row r="33">
          <cell r="C33">
            <v>46</v>
          </cell>
          <cell r="E33">
            <v>46</v>
          </cell>
        </row>
        <row r="34">
          <cell r="C34">
            <v>100.75</v>
          </cell>
          <cell r="E34">
            <v>100.75</v>
          </cell>
        </row>
        <row r="37">
          <cell r="C37">
            <v>181.75</v>
          </cell>
          <cell r="E37">
            <v>181.75</v>
          </cell>
        </row>
        <row r="39">
          <cell r="C39">
            <v>77</v>
          </cell>
          <cell r="E39">
            <v>77</v>
          </cell>
        </row>
        <row r="41">
          <cell r="C41">
            <v>201.755</v>
          </cell>
          <cell r="E41">
            <v>201.755</v>
          </cell>
        </row>
        <row r="43">
          <cell r="C43">
            <v>14.5</v>
          </cell>
          <cell r="E43">
            <v>14.5</v>
          </cell>
        </row>
        <row r="44">
          <cell r="C44">
            <v>43</v>
          </cell>
          <cell r="E44">
            <v>43</v>
          </cell>
        </row>
        <row r="45">
          <cell r="C45">
            <v>289.75</v>
          </cell>
          <cell r="E45">
            <v>289.75</v>
          </cell>
        </row>
        <row r="49">
          <cell r="C49">
            <v>18</v>
          </cell>
          <cell r="E49">
            <v>18</v>
          </cell>
        </row>
      </sheetData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4.bin"/><Relationship Id="rId2" Type="http://schemas.openxmlformats.org/officeDocument/2006/relationships/printerSettings" Target="../printerSettings/printerSettings33.bin"/><Relationship Id="rId1" Type="http://schemas.openxmlformats.org/officeDocument/2006/relationships/printerSettings" Target="../printerSettings/printerSettings3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8.bin"/><Relationship Id="rId2" Type="http://schemas.openxmlformats.org/officeDocument/2006/relationships/printerSettings" Target="../printerSettings/printerSettings37.bin"/><Relationship Id="rId1" Type="http://schemas.openxmlformats.org/officeDocument/2006/relationships/printerSettings" Target="../printerSettings/printerSettings3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0"/>
  <sheetViews>
    <sheetView zoomScale="118" zoomScaleNormal="118" workbookViewId="0">
      <selection activeCell="P13" sqref="P13"/>
    </sheetView>
  </sheetViews>
  <sheetFormatPr defaultColWidth="9.33203125" defaultRowHeight="18.75" x14ac:dyDescent="0.3"/>
  <cols>
    <col min="1" max="1" width="10.83203125" style="168" customWidth="1"/>
    <col min="2" max="2" width="102.83203125" style="168" customWidth="1"/>
    <col min="3" max="3" width="31.33203125" style="168" customWidth="1"/>
    <col min="4" max="6" width="27" style="168" customWidth="1"/>
    <col min="7" max="7" width="27.5" style="170" customWidth="1"/>
    <col min="8" max="8" width="14" style="170" customWidth="1"/>
    <col min="9" max="9" width="86.1640625" style="168" customWidth="1"/>
    <col min="10" max="13" width="27" style="168" customWidth="1"/>
    <col min="14" max="14" width="27" style="170" customWidth="1"/>
    <col min="15" max="15" width="17.5" style="168" customWidth="1"/>
    <col min="16" max="16384" width="9.33203125" style="168"/>
  </cols>
  <sheetData>
    <row r="1" spans="1:15" x14ac:dyDescent="0.3">
      <c r="B1" s="969" t="s">
        <v>209</v>
      </c>
      <c r="C1" s="969"/>
      <c r="D1" s="969"/>
      <c r="E1" s="969"/>
      <c r="F1" s="969"/>
      <c r="G1" s="969"/>
      <c r="H1" s="1"/>
      <c r="I1" s="969" t="s">
        <v>209</v>
      </c>
      <c r="J1" s="969"/>
      <c r="K1" s="969"/>
      <c r="L1" s="969"/>
      <c r="M1" s="969"/>
      <c r="N1" s="969"/>
    </row>
    <row r="2" spans="1:15" x14ac:dyDescent="0.3">
      <c r="B2" s="969" t="s">
        <v>698</v>
      </c>
      <c r="C2" s="969"/>
      <c r="D2" s="969"/>
      <c r="E2" s="969"/>
      <c r="F2" s="969"/>
      <c r="G2" s="969"/>
      <c r="H2" s="1"/>
      <c r="I2" s="969" t="s">
        <v>727</v>
      </c>
      <c r="J2" s="969"/>
      <c r="K2" s="969"/>
      <c r="L2" s="969"/>
      <c r="M2" s="969"/>
      <c r="N2" s="969"/>
    </row>
    <row r="3" spans="1:15" ht="19.5" thickBot="1" x14ac:dyDescent="0.35">
      <c r="A3" s="169"/>
      <c r="N3" s="171" t="s">
        <v>201</v>
      </c>
    </row>
    <row r="4" spans="1:15" x14ac:dyDescent="0.3">
      <c r="A4" s="172"/>
      <c r="B4" s="173" t="s">
        <v>200</v>
      </c>
      <c r="C4" s="172" t="s">
        <v>298</v>
      </c>
      <c r="D4" s="174" t="s">
        <v>299</v>
      </c>
      <c r="E4" s="172" t="s">
        <v>299</v>
      </c>
      <c r="F4" s="174" t="s">
        <v>299</v>
      </c>
      <c r="G4" s="174" t="s">
        <v>216</v>
      </c>
      <c r="H4" s="172"/>
      <c r="I4" s="173" t="s">
        <v>224</v>
      </c>
      <c r="J4" s="172" t="s">
        <v>298</v>
      </c>
      <c r="K4" s="174" t="s">
        <v>299</v>
      </c>
      <c r="L4" s="172" t="s">
        <v>299</v>
      </c>
      <c r="M4" s="174" t="s">
        <v>299</v>
      </c>
      <c r="N4" s="174" t="s">
        <v>216</v>
      </c>
    </row>
    <row r="5" spans="1:15" x14ac:dyDescent="0.3">
      <c r="A5" s="175"/>
      <c r="B5" s="176"/>
      <c r="C5" s="175" t="s">
        <v>300</v>
      </c>
      <c r="D5" s="177"/>
      <c r="E5" s="175"/>
      <c r="F5" s="177" t="s">
        <v>216</v>
      </c>
      <c r="G5" s="177" t="s">
        <v>217</v>
      </c>
      <c r="H5" s="175"/>
      <c r="I5" s="176"/>
      <c r="J5" s="175" t="s">
        <v>301</v>
      </c>
      <c r="K5" s="177"/>
      <c r="L5" s="175"/>
      <c r="M5" s="177" t="s">
        <v>216</v>
      </c>
      <c r="N5" s="177" t="s">
        <v>225</v>
      </c>
    </row>
    <row r="6" spans="1:15" ht="94.5" thickBot="1" x14ac:dyDescent="0.35">
      <c r="A6" s="178"/>
      <c r="B6" s="143"/>
      <c r="C6" s="179"/>
      <c r="D6" s="180"/>
      <c r="E6" s="181" t="s">
        <v>302</v>
      </c>
      <c r="F6" s="180"/>
      <c r="G6" s="182"/>
      <c r="H6" s="178"/>
      <c r="I6" s="143"/>
      <c r="J6" s="179" t="s">
        <v>186</v>
      </c>
      <c r="K6" s="180" t="s">
        <v>303</v>
      </c>
      <c r="L6" s="181" t="s">
        <v>302</v>
      </c>
      <c r="M6" s="180"/>
      <c r="N6" s="182"/>
    </row>
    <row r="7" spans="1:15" x14ac:dyDescent="0.3">
      <c r="A7" s="175"/>
      <c r="B7" s="183" t="s">
        <v>304</v>
      </c>
      <c r="C7" s="184"/>
      <c r="D7" s="185"/>
      <c r="E7" s="185"/>
      <c r="F7" s="185"/>
      <c r="G7" s="174"/>
      <c r="H7" s="175"/>
      <c r="I7" s="173" t="s">
        <v>305</v>
      </c>
      <c r="J7" s="184"/>
      <c r="K7" s="185"/>
      <c r="L7" s="185"/>
      <c r="M7" s="185"/>
      <c r="N7" s="174"/>
    </row>
    <row r="8" spans="1:15" x14ac:dyDescent="0.3">
      <c r="A8" s="186" t="s">
        <v>306</v>
      </c>
      <c r="B8" s="109" t="s">
        <v>241</v>
      </c>
      <c r="C8" s="104">
        <v>1017708</v>
      </c>
      <c r="D8" s="104">
        <v>13833269</v>
      </c>
      <c r="E8" s="104"/>
      <c r="F8" s="104">
        <f>SUM(D8:E8)</f>
        <v>13833269</v>
      </c>
      <c r="G8" s="187">
        <f>SUM(C8+F8)</f>
        <v>14850977</v>
      </c>
      <c r="H8" s="188" t="s">
        <v>307</v>
      </c>
      <c r="I8" s="109" t="s">
        <v>242</v>
      </c>
      <c r="J8" s="105">
        <v>12735018</v>
      </c>
      <c r="K8" s="105">
        <v>543571</v>
      </c>
      <c r="L8" s="104">
        <v>154</v>
      </c>
      <c r="M8" s="104">
        <f>SUM(K8:L8)</f>
        <v>543725</v>
      </c>
      <c r="N8" s="187">
        <f>SUM(J8+M8)</f>
        <v>13278743</v>
      </c>
      <c r="O8" s="107"/>
    </row>
    <row r="9" spans="1:15" x14ac:dyDescent="0.3">
      <c r="A9" s="189" t="s">
        <v>308</v>
      </c>
      <c r="B9" s="110" t="s">
        <v>180</v>
      </c>
      <c r="C9" s="104">
        <v>1350</v>
      </c>
      <c r="D9" s="104">
        <v>14997022</v>
      </c>
      <c r="E9" s="104"/>
      <c r="F9" s="104">
        <f t="shared" ref="F9:F16" si="0">SUM(D9:E9)</f>
        <v>14997022</v>
      </c>
      <c r="G9" s="187">
        <f>SUM(C9+F9)</f>
        <v>14998372</v>
      </c>
      <c r="H9" s="189" t="s">
        <v>309</v>
      </c>
      <c r="I9" s="111" t="s">
        <v>243</v>
      </c>
      <c r="J9" s="190">
        <v>1881382</v>
      </c>
      <c r="K9" s="190">
        <v>76135</v>
      </c>
      <c r="L9" s="104">
        <v>60</v>
      </c>
      <c r="M9" s="104">
        <f>SUM(K9:L9)</f>
        <v>76195</v>
      </c>
      <c r="N9" s="187">
        <f>SUM(J9+M9)</f>
        <v>1957577</v>
      </c>
      <c r="O9" s="107"/>
    </row>
    <row r="10" spans="1:15" x14ac:dyDescent="0.3">
      <c r="A10" s="186" t="s">
        <v>310</v>
      </c>
      <c r="B10" s="109" t="s">
        <v>311</v>
      </c>
      <c r="C10" s="104">
        <v>1768104</v>
      </c>
      <c r="D10" s="104">
        <v>3850122</v>
      </c>
      <c r="E10" s="104"/>
      <c r="F10" s="104">
        <f t="shared" si="0"/>
        <v>3850122</v>
      </c>
      <c r="G10" s="187">
        <f>SUM(C10+F10)</f>
        <v>5618226</v>
      </c>
      <c r="H10" s="189" t="s">
        <v>312</v>
      </c>
      <c r="I10" s="110" t="s">
        <v>244</v>
      </c>
      <c r="J10" s="190">
        <v>5528671</v>
      </c>
      <c r="K10" s="190">
        <v>6758106</v>
      </c>
      <c r="L10" s="104">
        <v>1742889</v>
      </c>
      <c r="M10" s="104">
        <f>SUM(K10:L10)</f>
        <v>8500995</v>
      </c>
      <c r="N10" s="187">
        <f>SUM(J10+M10)</f>
        <v>14029666</v>
      </c>
      <c r="O10" s="107"/>
    </row>
    <row r="11" spans="1:15" x14ac:dyDescent="0.3">
      <c r="A11" s="189" t="s">
        <v>313</v>
      </c>
      <c r="B11" s="110" t="s">
        <v>106</v>
      </c>
      <c r="C11" s="104">
        <v>1516</v>
      </c>
      <c r="D11" s="104">
        <v>2133943</v>
      </c>
      <c r="E11" s="104"/>
      <c r="F11" s="104">
        <f t="shared" si="0"/>
        <v>2133943</v>
      </c>
      <c r="G11" s="187">
        <f>SUM(C11+F11)</f>
        <v>2135459</v>
      </c>
      <c r="H11" s="191" t="s">
        <v>314</v>
      </c>
      <c r="I11" s="112" t="s">
        <v>245</v>
      </c>
      <c r="J11" s="190">
        <v>0</v>
      </c>
      <c r="K11" s="190">
        <v>237011</v>
      </c>
      <c r="L11" s="104">
        <v>0</v>
      </c>
      <c r="M11" s="104">
        <f>SUM(K11:L11)</f>
        <v>237011</v>
      </c>
      <c r="N11" s="187">
        <f>SUM(J11+M11)</f>
        <v>237011</v>
      </c>
      <c r="O11" s="107"/>
    </row>
    <row r="12" spans="1:15" ht="19.5" thickBot="1" x14ac:dyDescent="0.35">
      <c r="A12" s="186"/>
      <c r="B12" s="109"/>
      <c r="C12" s="192"/>
      <c r="D12" s="104"/>
      <c r="E12" s="105"/>
      <c r="F12" s="104">
        <f t="shared" si="0"/>
        <v>0</v>
      </c>
      <c r="G12" s="187">
        <f>SUM(C12+F12)</f>
        <v>0</v>
      </c>
      <c r="H12" s="189" t="s">
        <v>315</v>
      </c>
      <c r="I12" s="110" t="s">
        <v>316</v>
      </c>
      <c r="J12" s="104">
        <v>4590</v>
      </c>
      <c r="K12" s="104">
        <v>9205314</v>
      </c>
      <c r="L12" s="104">
        <v>0</v>
      </c>
      <c r="M12" s="104">
        <f>SUM(K12:L12)</f>
        <v>9205314</v>
      </c>
      <c r="N12" s="187">
        <f>SUM(J12+M12)</f>
        <v>9209904</v>
      </c>
      <c r="O12" s="107"/>
    </row>
    <row r="13" spans="1:15" ht="19.5" thickBot="1" x14ac:dyDescent="0.35">
      <c r="A13" s="193"/>
      <c r="B13" s="106" t="s">
        <v>219</v>
      </c>
      <c r="C13" s="103">
        <f t="shared" ref="C13:G13" si="1">SUM(C8:C12)</f>
        <v>2788678</v>
      </c>
      <c r="D13" s="103">
        <f t="shared" si="1"/>
        <v>34814356</v>
      </c>
      <c r="E13" s="103">
        <f t="shared" si="1"/>
        <v>0</v>
      </c>
      <c r="F13" s="103">
        <f t="shared" si="1"/>
        <v>34814356</v>
      </c>
      <c r="G13" s="103">
        <f t="shared" si="1"/>
        <v>37603034</v>
      </c>
      <c r="H13" s="193"/>
      <c r="I13" s="106" t="s">
        <v>226</v>
      </c>
      <c r="J13" s="103">
        <f>SUM(J8:J12)</f>
        <v>20149661</v>
      </c>
      <c r="K13" s="103">
        <f>SUM(K8:K12)</f>
        <v>16820137</v>
      </c>
      <c r="L13" s="103">
        <f>SUM(L8:L12)</f>
        <v>1743103</v>
      </c>
      <c r="M13" s="103">
        <f>SUM(M8:M12)</f>
        <v>18563240</v>
      </c>
      <c r="N13" s="103">
        <f>SUM(N8:N12)</f>
        <v>38712901</v>
      </c>
      <c r="O13" s="107"/>
    </row>
    <row r="14" spans="1:15" s="170" customFormat="1" x14ac:dyDescent="0.3">
      <c r="A14" s="186" t="s">
        <v>317</v>
      </c>
      <c r="B14" s="110" t="s">
        <v>67</v>
      </c>
      <c r="C14" s="104">
        <v>12600</v>
      </c>
      <c r="D14" s="104">
        <v>7957999</v>
      </c>
      <c r="E14" s="104"/>
      <c r="F14" s="104">
        <f t="shared" si="0"/>
        <v>7957999</v>
      </c>
      <c r="G14" s="187">
        <f>SUM(C14+F14)</f>
        <v>7970599</v>
      </c>
      <c r="H14" s="194" t="s">
        <v>318</v>
      </c>
      <c r="I14" s="113" t="s">
        <v>138</v>
      </c>
      <c r="J14" s="195">
        <v>303916</v>
      </c>
      <c r="K14" s="195">
        <v>3134651</v>
      </c>
      <c r="L14" s="195">
        <v>-1684834</v>
      </c>
      <c r="M14" s="104">
        <f>SUM(K14:L14)</f>
        <v>1449817</v>
      </c>
      <c r="N14" s="187">
        <f>SUM(J14+M14)</f>
        <v>1753733</v>
      </c>
      <c r="O14" s="107"/>
    </row>
    <row r="15" spans="1:15" x14ac:dyDescent="0.3">
      <c r="A15" s="186" t="s">
        <v>319</v>
      </c>
      <c r="B15" s="110" t="s">
        <v>66</v>
      </c>
      <c r="C15" s="104">
        <v>18650</v>
      </c>
      <c r="D15" s="104">
        <v>802100</v>
      </c>
      <c r="E15" s="104"/>
      <c r="F15" s="104">
        <f t="shared" si="0"/>
        <v>802100</v>
      </c>
      <c r="G15" s="187">
        <f>SUM(C15+F15)</f>
        <v>820750</v>
      </c>
      <c r="H15" s="186" t="s">
        <v>320</v>
      </c>
      <c r="I15" s="110" t="s">
        <v>246</v>
      </c>
      <c r="J15" s="190">
        <v>111021</v>
      </c>
      <c r="K15" s="190">
        <v>8787084</v>
      </c>
      <c r="L15" s="190">
        <v>-58096</v>
      </c>
      <c r="M15" s="104">
        <f>SUM(K15:L15)</f>
        <v>8728988</v>
      </c>
      <c r="N15" s="187">
        <f>SUM(J15+M15)</f>
        <v>8840009</v>
      </c>
      <c r="O15" s="107"/>
    </row>
    <row r="16" spans="1:15" ht="19.5" thickBot="1" x14ac:dyDescent="0.35">
      <c r="A16" s="186" t="s">
        <v>321</v>
      </c>
      <c r="B16" s="110" t="s">
        <v>247</v>
      </c>
      <c r="C16" s="104">
        <v>0</v>
      </c>
      <c r="D16" s="104">
        <v>134752</v>
      </c>
      <c r="E16" s="105"/>
      <c r="F16" s="104">
        <f t="shared" si="0"/>
        <v>134752</v>
      </c>
      <c r="G16" s="187">
        <f>SUM(C16+F16)</f>
        <v>134752</v>
      </c>
      <c r="H16" s="191" t="s">
        <v>322</v>
      </c>
      <c r="I16" s="114" t="s">
        <v>248</v>
      </c>
      <c r="J16" s="105">
        <v>0</v>
      </c>
      <c r="K16" s="105">
        <v>129620</v>
      </c>
      <c r="L16" s="104">
        <v>-173</v>
      </c>
      <c r="M16" s="104">
        <f>SUM(K16:L16)</f>
        <v>129447</v>
      </c>
      <c r="N16" s="187">
        <f>SUM(J16+M16)</f>
        <v>129447</v>
      </c>
      <c r="O16" s="107"/>
    </row>
    <row r="17" spans="1:14" ht="19.5" thickBot="1" x14ac:dyDescent="0.35">
      <c r="A17" s="193"/>
      <c r="B17" s="106" t="s">
        <v>220</v>
      </c>
      <c r="C17" s="103">
        <f>SUM(C14:C16)</f>
        <v>31250</v>
      </c>
      <c r="D17" s="103">
        <f t="shared" ref="D17:G17" si="2">SUM(D14:D16)</f>
        <v>8894851</v>
      </c>
      <c r="E17" s="103">
        <f t="shared" si="2"/>
        <v>0</v>
      </c>
      <c r="F17" s="103">
        <f t="shared" si="2"/>
        <v>8894851</v>
      </c>
      <c r="G17" s="103">
        <f t="shared" si="2"/>
        <v>8926101</v>
      </c>
      <c r="H17" s="193"/>
      <c r="I17" s="102" t="s">
        <v>227</v>
      </c>
      <c r="J17" s="103">
        <f>SUM(J14:J16)</f>
        <v>414937</v>
      </c>
      <c r="K17" s="103">
        <f>SUM(K14:K16)</f>
        <v>12051355</v>
      </c>
      <c r="L17" s="103">
        <f>SUM(L14:L16)</f>
        <v>-1743103</v>
      </c>
      <c r="M17" s="103">
        <f>SUM(M14:M16)</f>
        <v>10308252</v>
      </c>
      <c r="N17" s="103">
        <f>SUM(N14:N16)</f>
        <v>10723189</v>
      </c>
    </row>
    <row r="18" spans="1:14" ht="19.5" thickBot="1" x14ac:dyDescent="0.35">
      <c r="A18" s="193"/>
      <c r="B18" s="102" t="s">
        <v>221</v>
      </c>
      <c r="C18" s="103">
        <f>+C13+C17</f>
        <v>2819928</v>
      </c>
      <c r="D18" s="103">
        <f t="shared" ref="D18:G18" si="3">+D13+D17</f>
        <v>43709207</v>
      </c>
      <c r="E18" s="103">
        <f t="shared" si="3"/>
        <v>0</v>
      </c>
      <c r="F18" s="103">
        <f t="shared" si="3"/>
        <v>43709207</v>
      </c>
      <c r="G18" s="103">
        <f t="shared" si="3"/>
        <v>46529135</v>
      </c>
      <c r="H18" s="193"/>
      <c r="I18" s="106" t="s">
        <v>228</v>
      </c>
      <c r="J18" s="103">
        <f>SUM(J17,J13)</f>
        <v>20564598</v>
      </c>
      <c r="K18" s="103">
        <f>SUM(K17,K13)</f>
        <v>28871492</v>
      </c>
      <c r="L18" s="103">
        <f>+L13+L17</f>
        <v>0</v>
      </c>
      <c r="M18" s="103">
        <f>SUM(M13+M17)</f>
        <v>28871492</v>
      </c>
      <c r="N18" s="103">
        <f>SUM(N17,N13)</f>
        <v>49436090</v>
      </c>
    </row>
    <row r="19" spans="1:14" ht="19.5" thickBot="1" x14ac:dyDescent="0.35">
      <c r="A19" s="188" t="s">
        <v>323</v>
      </c>
      <c r="B19" s="115" t="s">
        <v>222</v>
      </c>
      <c r="C19" s="196">
        <v>0</v>
      </c>
      <c r="D19" s="197">
        <v>12363715</v>
      </c>
      <c r="E19" s="197"/>
      <c r="F19" s="104">
        <f t="shared" ref="F19" si="4">SUM(D19:E19)</f>
        <v>12363715</v>
      </c>
      <c r="G19" s="187">
        <f>SUM(C19+F19)</f>
        <v>12363715</v>
      </c>
      <c r="H19" s="198" t="s">
        <v>324</v>
      </c>
      <c r="I19" s="108" t="s">
        <v>229</v>
      </c>
      <c r="J19" s="190">
        <v>0</v>
      </c>
      <c r="K19" s="190">
        <v>9456760</v>
      </c>
      <c r="L19" s="199">
        <v>0</v>
      </c>
      <c r="M19" s="104">
        <f>SUM(K19:L19)</f>
        <v>9456760</v>
      </c>
      <c r="N19" s="187">
        <f>SUM(J19+M19)</f>
        <v>9456760</v>
      </c>
    </row>
    <row r="20" spans="1:14" ht="19.5" thickBot="1" x14ac:dyDescent="0.35">
      <c r="A20" s="193"/>
      <c r="B20" s="106" t="s">
        <v>223</v>
      </c>
      <c r="C20" s="103">
        <f>SUM(C18:C19)</f>
        <v>2819928</v>
      </c>
      <c r="D20" s="103">
        <f t="shared" ref="D20:G20" si="5">SUM(D18:D19)</f>
        <v>56072922</v>
      </c>
      <c r="E20" s="103">
        <f t="shared" si="5"/>
        <v>0</v>
      </c>
      <c r="F20" s="103">
        <f t="shared" si="5"/>
        <v>56072922</v>
      </c>
      <c r="G20" s="103">
        <f t="shared" si="5"/>
        <v>58892850</v>
      </c>
      <c r="H20" s="193"/>
      <c r="I20" s="106" t="s">
        <v>230</v>
      </c>
      <c r="J20" s="103">
        <f>SUM(J18:J19)</f>
        <v>20564598</v>
      </c>
      <c r="K20" s="103">
        <f>SUM(K18:K19)</f>
        <v>38328252</v>
      </c>
      <c r="L20" s="103">
        <f>SUM(L18:L19)</f>
        <v>0</v>
      </c>
      <c r="M20" s="103">
        <f>SUM(M18:M19)</f>
        <v>38328252</v>
      </c>
      <c r="N20" s="103">
        <f>SUM(N18:N19)</f>
        <v>58892850</v>
      </c>
    </row>
  </sheetData>
  <mergeCells count="4">
    <mergeCell ref="B1:G1"/>
    <mergeCell ref="I1:N1"/>
    <mergeCell ref="B2:G2"/>
    <mergeCell ref="I2:N2"/>
  </mergeCells>
  <printOptions horizontalCentered="1" verticalCentered="1"/>
  <pageMargins left="0.19685039370078741" right="0.19685039370078741" top="0.15748031496062992" bottom="0" header="0.55118110236220474" footer="0.15748031496062992"/>
  <pageSetup paperSize="9" scale="78" orientation="landscape" r:id="rId1"/>
  <headerFooter alignWithMargins="0">
    <oddHeader xml:space="preserve">&amp;R&amp;"Times New Roman CE,Félkövér"&amp;16 &amp;12 1. melléklet a 14/2026. (IX.25.) önkormányzati &amp;"-,Félkövér"rendelethez
"1. melléklet a 3/2026.(II.27.) önkormányzati rendelethez"
 &amp;16
&amp;"Times New Roman CE,Félkövér" </oddHeader>
  </headerFooter>
  <colBreaks count="1" manualBreakCount="1">
    <brk id="7" max="1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Munka2"/>
  <dimension ref="A2:O61"/>
  <sheetViews>
    <sheetView zoomScale="77" zoomScaleNormal="77" workbookViewId="0">
      <selection activeCell="X14" sqref="X14"/>
    </sheetView>
  </sheetViews>
  <sheetFormatPr defaultColWidth="9.33203125" defaultRowHeight="15" customHeight="1" x14ac:dyDescent="0.35"/>
  <cols>
    <col min="1" max="1" width="3.1640625" style="78" customWidth="1"/>
    <col min="2" max="2" width="5" style="78" customWidth="1"/>
    <col min="3" max="3" width="119" style="78" bestFit="1" customWidth="1"/>
    <col min="4" max="4" width="39.33203125" style="78" customWidth="1"/>
    <col min="5" max="5" width="38" style="78" customWidth="1"/>
    <col min="6" max="6" width="44.1640625" style="78" customWidth="1"/>
    <col min="7" max="7" width="43.83203125" style="78" customWidth="1"/>
    <col min="8" max="8" width="45.1640625" style="78" customWidth="1"/>
    <col min="9" max="9" width="33.6640625" style="78" customWidth="1"/>
    <col min="10" max="10" width="120.6640625" style="78" customWidth="1"/>
    <col min="11" max="11" width="40.1640625" style="78" customWidth="1"/>
    <col min="12" max="12" width="37.83203125" style="78" customWidth="1"/>
    <col min="13" max="13" width="41.6640625" style="78" customWidth="1"/>
    <col min="14" max="14" width="45.5" style="78" customWidth="1"/>
    <col min="15" max="15" width="46.83203125" style="78" customWidth="1"/>
    <col min="16" max="16384" width="9.33203125" style="78"/>
  </cols>
  <sheetData>
    <row r="2" spans="1:15" ht="18.75" customHeight="1" x14ac:dyDescent="0.35">
      <c r="A2" s="970" t="s">
        <v>385</v>
      </c>
      <c r="B2" s="970"/>
      <c r="C2" s="970"/>
      <c r="D2" s="970"/>
      <c r="E2" s="970"/>
      <c r="F2" s="970"/>
      <c r="G2" s="970"/>
      <c r="H2" s="970"/>
      <c r="I2" s="970"/>
      <c r="J2" s="970"/>
      <c r="K2" s="970"/>
      <c r="L2" s="970"/>
      <c r="M2" s="970"/>
      <c r="N2" s="970"/>
      <c r="O2" s="970"/>
    </row>
    <row r="3" spans="1:15" ht="15" customHeight="1" thickBot="1" x14ac:dyDescent="0.4">
      <c r="A3" s="200"/>
      <c r="B3" s="200"/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200"/>
      <c r="O3" s="201" t="s">
        <v>201</v>
      </c>
    </row>
    <row r="4" spans="1:15" ht="23.25" x14ac:dyDescent="0.35">
      <c r="A4" s="202"/>
      <c r="B4" s="203" t="s">
        <v>14</v>
      </c>
      <c r="C4" s="203"/>
      <c r="D4" s="204" t="s">
        <v>417</v>
      </c>
      <c r="E4" s="204" t="s">
        <v>438</v>
      </c>
      <c r="F4" s="204" t="s">
        <v>662</v>
      </c>
      <c r="G4" s="204" t="s">
        <v>663</v>
      </c>
      <c r="H4" s="204" t="s">
        <v>697</v>
      </c>
      <c r="I4" s="203" t="s">
        <v>15</v>
      </c>
      <c r="J4" s="205"/>
      <c r="K4" s="204" t="s">
        <v>417</v>
      </c>
      <c r="L4" s="204" t="s">
        <v>438</v>
      </c>
      <c r="M4" s="204" t="s">
        <v>662</v>
      </c>
      <c r="N4" s="204" t="s">
        <v>663</v>
      </c>
      <c r="O4" s="204" t="s">
        <v>697</v>
      </c>
    </row>
    <row r="5" spans="1:15" ht="23.25" x14ac:dyDescent="0.35">
      <c r="A5" s="206"/>
      <c r="B5" s="122"/>
      <c r="C5" s="122"/>
      <c r="D5" s="207" t="s">
        <v>665</v>
      </c>
      <c r="E5" s="207" t="s">
        <v>331</v>
      </c>
      <c r="F5" s="207" t="s">
        <v>344</v>
      </c>
      <c r="G5" s="207" t="s">
        <v>664</v>
      </c>
      <c r="H5" s="207" t="s">
        <v>344</v>
      </c>
      <c r="I5" s="122"/>
      <c r="K5" s="207" t="s">
        <v>665</v>
      </c>
      <c r="L5" s="207" t="s">
        <v>331</v>
      </c>
      <c r="M5" s="207" t="s">
        <v>344</v>
      </c>
      <c r="N5" s="207" t="s">
        <v>664</v>
      </c>
      <c r="O5" s="207" t="s">
        <v>344</v>
      </c>
    </row>
    <row r="6" spans="1:15" ht="24" thickBot="1" x14ac:dyDescent="0.4">
      <c r="A6" s="208"/>
      <c r="B6" s="209"/>
      <c r="C6" s="209"/>
      <c r="D6" s="210"/>
      <c r="E6" s="210"/>
      <c r="F6" s="210"/>
      <c r="G6" s="210"/>
      <c r="H6" s="210"/>
      <c r="I6" s="211"/>
      <c r="J6" s="212"/>
      <c r="K6" s="210"/>
      <c r="L6" s="210"/>
      <c r="M6" s="210"/>
      <c r="N6" s="210"/>
      <c r="O6" s="210"/>
    </row>
    <row r="7" spans="1:15" ht="26.25" x14ac:dyDescent="0.4">
      <c r="A7" s="213" t="s">
        <v>105</v>
      </c>
      <c r="B7" s="214"/>
      <c r="C7" s="214"/>
      <c r="D7" s="668">
        <f>'3 működési bevételek'!F59</f>
        <v>9963486</v>
      </c>
      <c r="E7" s="668">
        <f>'3 működési bevételek'!G59</f>
        <v>11782041</v>
      </c>
      <c r="F7" s="668">
        <f>'3 működési bevételek'!H59</f>
        <v>12030675</v>
      </c>
      <c r="G7" s="668">
        <f>'3 működési bevételek'!I59</f>
        <v>1802594</v>
      </c>
      <c r="H7" s="668">
        <f>'3 működési bevételek'!J59</f>
        <v>13833269</v>
      </c>
      <c r="I7" s="214" t="s">
        <v>195</v>
      </c>
      <c r="J7" s="215"/>
      <c r="K7" s="641">
        <f>+'8 oktatás'!B24+'8 oktatás'!B9</f>
        <v>6001882</v>
      </c>
      <c r="L7" s="641">
        <f>+'8 oktatás'!C24+'8 oktatás'!C9</f>
        <v>6593717</v>
      </c>
      <c r="M7" s="641">
        <f>'8 oktatás'!D25</f>
        <v>6967379</v>
      </c>
      <c r="N7" s="641">
        <f>'8 oktatás'!E25</f>
        <v>-2776</v>
      </c>
      <c r="O7" s="641">
        <f>'8 oktatás'!F25</f>
        <v>6964603</v>
      </c>
    </row>
    <row r="8" spans="1:15" ht="26.25" x14ac:dyDescent="0.4">
      <c r="A8" s="216" t="s">
        <v>180</v>
      </c>
      <c r="B8" s="120"/>
      <c r="C8" s="120"/>
      <c r="D8" s="645">
        <f>'3 működési bevételek'!F73</f>
        <v>16204265</v>
      </c>
      <c r="E8" s="645">
        <f>'3 működési bevételek'!G73</f>
        <v>14991000</v>
      </c>
      <c r="F8" s="645">
        <f>'3 működési bevételek'!H73</f>
        <v>14993026</v>
      </c>
      <c r="G8" s="645">
        <f>'3 működési bevételek'!I73</f>
        <v>3996</v>
      </c>
      <c r="H8" s="645">
        <f>'3 működési bevételek'!J73</f>
        <v>14997022</v>
      </c>
      <c r="I8" s="120" t="s">
        <v>274</v>
      </c>
      <c r="J8" s="217"/>
      <c r="K8" s="642">
        <f>'9 kultúra'!B66</f>
        <v>3546874</v>
      </c>
      <c r="L8" s="642">
        <f>'9 kultúra'!C66</f>
        <v>3694119</v>
      </c>
      <c r="M8" s="642">
        <f>'9 kultúra'!D66</f>
        <v>4415349</v>
      </c>
      <c r="N8" s="642">
        <f>'9 kultúra'!E66</f>
        <v>31194</v>
      </c>
      <c r="O8" s="642">
        <f>'9 kultúra'!F66</f>
        <v>4446543</v>
      </c>
    </row>
    <row r="9" spans="1:15" ht="26.25" x14ac:dyDescent="0.4">
      <c r="A9" s="218" t="s">
        <v>50</v>
      </c>
      <c r="B9" s="219"/>
      <c r="C9" s="219"/>
      <c r="D9" s="646">
        <f>'3 működési bevételek'!F111</f>
        <v>3015061</v>
      </c>
      <c r="E9" s="646">
        <f>'3 működési bevételek'!G111</f>
        <v>2100686</v>
      </c>
      <c r="F9" s="646">
        <f>'3 működési bevételek'!H111</f>
        <v>3686459</v>
      </c>
      <c r="G9" s="646">
        <f>'3 működési bevételek'!I111</f>
        <v>163663</v>
      </c>
      <c r="H9" s="646">
        <f>'3 működési bevételek'!J111</f>
        <v>3850122</v>
      </c>
      <c r="I9" s="219" t="s">
        <v>144</v>
      </c>
      <c r="J9" s="220"/>
      <c r="K9" s="643">
        <f>'10 szociális'!B39</f>
        <v>2505141</v>
      </c>
      <c r="L9" s="643">
        <f>'10 szociális'!C39</f>
        <v>2284192</v>
      </c>
      <c r="M9" s="643">
        <f>'10 szociális'!D39</f>
        <v>2556663</v>
      </c>
      <c r="N9" s="643">
        <f>'10 szociális'!E39</f>
        <v>165959</v>
      </c>
      <c r="O9" s="643">
        <f>'10 szociális'!F39</f>
        <v>2722622</v>
      </c>
    </row>
    <row r="10" spans="1:15" ht="26.25" x14ac:dyDescent="0.4">
      <c r="A10" s="218" t="s">
        <v>106</v>
      </c>
      <c r="B10" s="219"/>
      <c r="C10" s="219"/>
      <c r="D10" s="646">
        <f>'3 működési bevételek'!F141</f>
        <v>38469</v>
      </c>
      <c r="E10" s="646">
        <f>'3 működési bevételek'!G141</f>
        <v>0</v>
      </c>
      <c r="F10" s="646">
        <f>'3 működési bevételek'!H141</f>
        <v>1944780</v>
      </c>
      <c r="G10" s="646">
        <f>'3 működési bevételek'!I141</f>
        <v>189163</v>
      </c>
      <c r="H10" s="646">
        <f>'3 működési bevételek'!J141</f>
        <v>2133943</v>
      </c>
      <c r="I10" s="219" t="s">
        <v>140</v>
      </c>
      <c r="J10" s="220"/>
      <c r="K10" s="643">
        <f>'11 egészségügy'!B19</f>
        <v>934767</v>
      </c>
      <c r="L10" s="643">
        <f>'11 egészségügy'!C19</f>
        <v>1038794</v>
      </c>
      <c r="M10" s="643">
        <f>'11 egészségügy'!D19</f>
        <v>1231050</v>
      </c>
      <c r="N10" s="643">
        <f>'11 egészségügy'!E19</f>
        <v>2553</v>
      </c>
      <c r="O10" s="643">
        <f>'11 egészségügy'!F19</f>
        <v>1233603</v>
      </c>
    </row>
    <row r="11" spans="1:15" ht="26.25" x14ac:dyDescent="0.4">
      <c r="A11" s="218" t="s">
        <v>83</v>
      </c>
      <c r="B11" s="219"/>
      <c r="C11" s="219"/>
      <c r="D11" s="646">
        <f>'3 működési bevételek'!F155</f>
        <v>2616703</v>
      </c>
      <c r="E11" s="646">
        <f>'3 működési bevételek'!G155</f>
        <v>2269013</v>
      </c>
      <c r="F11" s="646">
        <f>'3 működési bevételek'!H155</f>
        <v>2706275</v>
      </c>
      <c r="G11" s="646">
        <f>'3 működési bevételek'!I155</f>
        <v>82403</v>
      </c>
      <c r="H11" s="646">
        <f>'3 működési bevételek'!J155</f>
        <v>2788678</v>
      </c>
      <c r="I11" s="219" t="s">
        <v>283</v>
      </c>
      <c r="J11" s="220"/>
      <c r="K11" s="643">
        <f>'12 gyermekvédelm'!B12</f>
        <v>1998458</v>
      </c>
      <c r="L11" s="643">
        <f>'12 gyermekvédelm'!C12</f>
        <v>2147581</v>
      </c>
      <c r="M11" s="643">
        <f>'12 gyermekvédelm'!D12</f>
        <v>2270346</v>
      </c>
      <c r="N11" s="643">
        <f>'12 gyermekvédelm'!E12</f>
        <v>26073</v>
      </c>
      <c r="O11" s="643">
        <f>'12 gyermekvédelm'!F12</f>
        <v>2296419</v>
      </c>
    </row>
    <row r="12" spans="1:15" ht="26.25" x14ac:dyDescent="0.4">
      <c r="A12" s="221"/>
      <c r="D12" s="661"/>
      <c r="E12" s="661"/>
      <c r="F12" s="661"/>
      <c r="G12" s="661"/>
      <c r="H12" s="661"/>
      <c r="I12" s="219" t="s">
        <v>284</v>
      </c>
      <c r="J12" s="222"/>
      <c r="K12" s="643">
        <f>'13 egyéb'!B118</f>
        <v>13719352</v>
      </c>
      <c r="L12" s="643">
        <f>'13 egyéb'!C118</f>
        <v>12726120</v>
      </c>
      <c r="M12" s="643">
        <f>'13 egyéb'!D118</f>
        <v>13435441</v>
      </c>
      <c r="N12" s="643">
        <f>'13 egyéb'!E118</f>
        <v>295135</v>
      </c>
      <c r="O12" s="643">
        <f>'13 egyéb'!F118</f>
        <v>13730576</v>
      </c>
    </row>
    <row r="13" spans="1:15" ht="26.25" x14ac:dyDescent="0.4">
      <c r="A13" s="223"/>
      <c r="B13" s="121"/>
      <c r="C13" s="121"/>
      <c r="D13" s="669"/>
      <c r="E13" s="669"/>
      <c r="F13" s="669"/>
      <c r="G13" s="669"/>
      <c r="H13" s="669"/>
      <c r="I13" s="219" t="s">
        <v>152</v>
      </c>
      <c r="J13" s="224"/>
      <c r="K13" s="643">
        <f>+'14 sport'!B26</f>
        <v>1222396</v>
      </c>
      <c r="L13" s="643">
        <f>+'14 sport'!C26</f>
        <v>984977</v>
      </c>
      <c r="M13" s="643">
        <f>+'14 sport'!D26</f>
        <v>995559</v>
      </c>
      <c r="N13" s="643">
        <f>+'14 sport'!E26</f>
        <v>146785</v>
      </c>
      <c r="O13" s="643">
        <f>+'14 sport'!F26</f>
        <v>1142344</v>
      </c>
    </row>
    <row r="14" spans="1:15" ht="26.25" x14ac:dyDescent="0.4">
      <c r="A14" s="223"/>
      <c r="C14" s="121"/>
      <c r="D14" s="669"/>
      <c r="E14" s="669"/>
      <c r="F14" s="669"/>
      <c r="G14" s="669"/>
      <c r="H14" s="669"/>
      <c r="I14" s="219" t="s">
        <v>91</v>
      </c>
      <c r="J14" s="225"/>
      <c r="K14" s="643">
        <f>+'15 város.ü.'!B31</f>
        <v>1736670</v>
      </c>
      <c r="L14" s="643">
        <f>+'15 város.ü.'!C31</f>
        <v>3079786</v>
      </c>
      <c r="M14" s="643">
        <f>+'15 város.ü.'!D31</f>
        <v>3238352</v>
      </c>
      <c r="N14" s="643">
        <f>+'15 város.ü.'!E31</f>
        <v>20597</v>
      </c>
      <c r="O14" s="643">
        <f>+'15 város.ü.'!F31</f>
        <v>3258949</v>
      </c>
    </row>
    <row r="15" spans="1:15" ht="26.25" x14ac:dyDescent="0.4">
      <c r="A15" s="223"/>
      <c r="C15" s="121"/>
      <c r="D15" s="669"/>
      <c r="E15" s="669"/>
      <c r="F15" s="669"/>
      <c r="G15" s="669"/>
      <c r="H15" s="661"/>
      <c r="I15" s="219" t="s">
        <v>187</v>
      </c>
      <c r="J15" s="225"/>
      <c r="K15" s="643">
        <f>+'16 út-híd'!B28</f>
        <v>353805</v>
      </c>
      <c r="L15" s="643">
        <f>+'16 út-híd'!C28</f>
        <v>396000</v>
      </c>
      <c r="M15" s="643">
        <f>+'16 út-híd'!D28</f>
        <v>714820</v>
      </c>
      <c r="N15" s="643">
        <f>+'16 út-híd'!E28</f>
        <v>300736</v>
      </c>
      <c r="O15" s="643">
        <f>+'16 út-híd'!F28</f>
        <v>1015556</v>
      </c>
    </row>
    <row r="16" spans="1:15" ht="26.25" x14ac:dyDescent="0.4">
      <c r="A16" s="223"/>
      <c r="C16" s="121"/>
      <c r="D16" s="669"/>
      <c r="E16" s="669"/>
      <c r="F16" s="669"/>
      <c r="G16" s="669"/>
      <c r="H16" s="661"/>
      <c r="I16" s="121" t="s">
        <v>11</v>
      </c>
      <c r="J16" s="226"/>
      <c r="K16" s="644"/>
      <c r="L16" s="644"/>
      <c r="M16" s="644"/>
      <c r="N16" s="644"/>
      <c r="O16" s="644"/>
    </row>
    <row r="17" spans="1:15" ht="26.25" x14ac:dyDescent="0.4">
      <c r="A17" s="227"/>
      <c r="B17" s="228"/>
      <c r="C17" s="228"/>
      <c r="D17" s="670"/>
      <c r="E17" s="670"/>
      <c r="F17" s="670"/>
      <c r="G17" s="670"/>
      <c r="H17" s="661"/>
      <c r="I17" s="121"/>
      <c r="J17" s="120" t="s">
        <v>135</v>
      </c>
      <c r="K17" s="645"/>
      <c r="L17" s="645">
        <f>2245+1+6686+3649-200+1510</f>
        <v>13891</v>
      </c>
      <c r="M17" s="645">
        <v>6868</v>
      </c>
      <c r="N17" s="645">
        <f>-500-350</f>
        <v>-850</v>
      </c>
      <c r="O17" s="645">
        <f>SUM(M17:N17)</f>
        <v>6018</v>
      </c>
    </row>
    <row r="18" spans="1:15" ht="70.5" x14ac:dyDescent="0.4">
      <c r="A18" s="227"/>
      <c r="B18" s="228"/>
      <c r="C18" s="228"/>
      <c r="D18" s="670"/>
      <c r="E18" s="670"/>
      <c r="F18" s="670"/>
      <c r="G18" s="670"/>
      <c r="H18" s="661"/>
      <c r="I18" s="121"/>
      <c r="J18" s="229" t="s">
        <v>555</v>
      </c>
      <c r="K18" s="645"/>
      <c r="L18" s="645">
        <f>142713-392</f>
        <v>142321</v>
      </c>
      <c r="M18" s="645">
        <v>0</v>
      </c>
      <c r="N18" s="646"/>
      <c r="O18" s="645">
        <f t="shared" ref="O18:O24" si="0">SUM(M18:N18)</f>
        <v>0</v>
      </c>
    </row>
    <row r="19" spans="1:15" ht="43.9" customHeight="1" x14ac:dyDescent="0.4">
      <c r="A19" s="227"/>
      <c r="B19" s="228"/>
      <c r="C19" s="228"/>
      <c r="D19" s="670"/>
      <c r="E19" s="670"/>
      <c r="F19" s="670"/>
      <c r="G19" s="670"/>
      <c r="H19" s="670"/>
      <c r="I19" s="121"/>
      <c r="J19" s="229" t="s">
        <v>556</v>
      </c>
      <c r="K19" s="645"/>
      <c r="L19" s="645">
        <f>243763-19926-77726-38000-79910-3631</f>
        <v>24570</v>
      </c>
      <c r="M19" s="645">
        <v>0</v>
      </c>
      <c r="N19" s="646"/>
      <c r="O19" s="645">
        <f t="shared" si="0"/>
        <v>0</v>
      </c>
    </row>
    <row r="20" spans="1:15" ht="43.9" customHeight="1" x14ac:dyDescent="0.4">
      <c r="A20" s="227"/>
      <c r="B20" s="228"/>
      <c r="C20" s="228"/>
      <c r="D20" s="670"/>
      <c r="E20" s="670"/>
      <c r="F20" s="670"/>
      <c r="G20" s="670"/>
      <c r="H20" s="670"/>
      <c r="I20" s="121"/>
      <c r="J20" s="229" t="s">
        <v>655</v>
      </c>
      <c r="K20" s="645"/>
      <c r="L20" s="645">
        <v>139829</v>
      </c>
      <c r="M20" s="645">
        <v>0</v>
      </c>
      <c r="N20" s="645"/>
      <c r="O20" s="645">
        <f t="shared" si="0"/>
        <v>0</v>
      </c>
    </row>
    <row r="21" spans="1:15" ht="43.9" customHeight="1" x14ac:dyDescent="0.4">
      <c r="A21" s="227"/>
      <c r="B21" s="228"/>
      <c r="C21" s="228"/>
      <c r="D21" s="670"/>
      <c r="E21" s="670"/>
      <c r="F21" s="670"/>
      <c r="G21" s="670"/>
      <c r="H21" s="670"/>
      <c r="I21" s="121"/>
      <c r="J21" s="229" t="s">
        <v>630</v>
      </c>
      <c r="K21" s="645"/>
      <c r="L21" s="645"/>
      <c r="M21" s="645">
        <v>0</v>
      </c>
      <c r="N21" s="645"/>
      <c r="O21" s="645">
        <f t="shared" si="0"/>
        <v>0</v>
      </c>
    </row>
    <row r="22" spans="1:15" ht="43.9" customHeight="1" x14ac:dyDescent="0.4">
      <c r="A22" s="227"/>
      <c r="B22" s="228"/>
      <c r="C22" s="228"/>
      <c r="D22" s="670"/>
      <c r="E22" s="670"/>
      <c r="F22" s="670"/>
      <c r="G22" s="670"/>
      <c r="H22" s="670"/>
      <c r="I22" s="121"/>
      <c r="J22" s="229" t="s">
        <v>631</v>
      </c>
      <c r="K22" s="645"/>
      <c r="L22" s="645"/>
      <c r="M22" s="645">
        <v>0</v>
      </c>
      <c r="N22" s="645"/>
      <c r="O22" s="645">
        <f t="shared" si="0"/>
        <v>0</v>
      </c>
    </row>
    <row r="23" spans="1:15" ht="43.9" customHeight="1" x14ac:dyDescent="0.4">
      <c r="A23" s="227"/>
      <c r="B23" s="228"/>
      <c r="C23" s="228"/>
      <c r="D23" s="670"/>
      <c r="E23" s="670"/>
      <c r="F23" s="670"/>
      <c r="G23" s="670"/>
      <c r="H23" s="670"/>
      <c r="I23" s="121"/>
      <c r="J23" s="229" t="s">
        <v>551</v>
      </c>
      <c r="K23" s="645"/>
      <c r="L23" s="645">
        <f>7158+42842+7842+7890+76016-1000-1000-300+5000-4000-1000+500-5000-6966</f>
        <v>127982</v>
      </c>
      <c r="M23" s="645">
        <v>273946</v>
      </c>
      <c r="N23" s="645">
        <f>-37522-10000-118030-2700-21560-4282+62713</f>
        <v>-131381</v>
      </c>
      <c r="O23" s="645">
        <f t="shared" si="0"/>
        <v>142565</v>
      </c>
    </row>
    <row r="24" spans="1:15" ht="26.25" x14ac:dyDescent="0.4">
      <c r="A24" s="227"/>
      <c r="B24" s="228"/>
      <c r="C24" s="228"/>
      <c r="D24" s="670"/>
      <c r="E24" s="670"/>
      <c r="F24" s="670"/>
      <c r="G24" s="670"/>
      <c r="H24" s="670"/>
      <c r="I24" s="121"/>
      <c r="J24" s="229" t="s">
        <v>651</v>
      </c>
      <c r="K24" s="645"/>
      <c r="L24" s="645">
        <f>10000-5000+5000</f>
        <v>10000</v>
      </c>
      <c r="M24" s="645">
        <v>10000</v>
      </c>
      <c r="N24" s="645"/>
      <c r="O24" s="645">
        <f t="shared" si="0"/>
        <v>10000</v>
      </c>
    </row>
    <row r="25" spans="1:15" ht="27" thickBot="1" x14ac:dyDescent="0.45">
      <c r="A25" s="230"/>
      <c r="B25" s="231"/>
      <c r="C25" s="232"/>
      <c r="D25" s="671"/>
      <c r="E25" s="671"/>
      <c r="F25" s="671"/>
      <c r="G25" s="671"/>
      <c r="H25" s="671"/>
      <c r="I25" s="233" t="s">
        <v>36</v>
      </c>
      <c r="J25" s="117"/>
      <c r="K25" s="647">
        <f>SUM(K17:K24)</f>
        <v>0</v>
      </c>
      <c r="L25" s="647">
        <f>SUM(L17:L24)</f>
        <v>458593</v>
      </c>
      <c r="M25" s="647">
        <f t="shared" ref="M25:N25" si="1">SUM(M17:M24)</f>
        <v>290814</v>
      </c>
      <c r="N25" s="647">
        <f t="shared" si="1"/>
        <v>-132231</v>
      </c>
      <c r="O25" s="647">
        <f>SUM(O17:O24)</f>
        <v>158583</v>
      </c>
    </row>
    <row r="26" spans="1:15" ht="27" thickBot="1" x14ac:dyDescent="0.45">
      <c r="A26" s="234" t="s">
        <v>130</v>
      </c>
      <c r="B26" s="235"/>
      <c r="C26" s="236"/>
      <c r="D26" s="672">
        <f>SUM(D7:D25)</f>
        <v>31837984</v>
      </c>
      <c r="E26" s="672">
        <f>SUM(E7:E25)</f>
        <v>31142740</v>
      </c>
      <c r="F26" s="672">
        <f t="shared" ref="F26:G26" si="2">SUM(F7:F25)</f>
        <v>35361215</v>
      </c>
      <c r="G26" s="672">
        <f t="shared" si="2"/>
        <v>2241819</v>
      </c>
      <c r="H26" s="672">
        <f>SUM(H7:H25)</f>
        <v>37603034</v>
      </c>
      <c r="I26" s="209" t="s">
        <v>149</v>
      </c>
      <c r="J26" s="209"/>
      <c r="K26" s="648">
        <f>+K25+K15+K14+K13+K12+K11+K10+K9+K8+K7</f>
        <v>32019345</v>
      </c>
      <c r="L26" s="648">
        <f>+L25+L15+L14+L13+L12+L11+L10+L9+L8+L7</f>
        <v>33403879</v>
      </c>
      <c r="M26" s="648">
        <f t="shared" ref="M26:N26" si="3">+M25+M15+M14+M13+M12+M11+M10+M9+M8+M7</f>
        <v>36115773</v>
      </c>
      <c r="N26" s="648">
        <f t="shared" si="3"/>
        <v>854025</v>
      </c>
      <c r="O26" s="648">
        <f>+O25+O15+O14+O13+O12+O11+O10+O9+O8+O7</f>
        <v>36969798</v>
      </c>
    </row>
    <row r="27" spans="1:15" ht="24" thickBot="1" x14ac:dyDescent="0.4">
      <c r="A27" s="200"/>
      <c r="B27" s="200"/>
      <c r="C27" s="200"/>
      <c r="D27" s="200"/>
      <c r="E27" s="200"/>
      <c r="F27" s="200"/>
      <c r="G27" s="200"/>
      <c r="H27" s="200"/>
      <c r="I27" s="200"/>
      <c r="J27" s="200"/>
      <c r="K27" s="200"/>
      <c r="L27" s="200"/>
      <c r="M27" s="200"/>
      <c r="N27" s="200"/>
      <c r="O27" s="200"/>
    </row>
    <row r="28" spans="1:15" ht="28.5" customHeight="1" x14ac:dyDescent="0.35">
      <c r="A28" s="202"/>
      <c r="B28" s="203"/>
      <c r="C28" s="237" t="s">
        <v>57</v>
      </c>
      <c r="D28" s="204" t="s">
        <v>417</v>
      </c>
      <c r="E28" s="204" t="s">
        <v>438</v>
      </c>
      <c r="F28" s="204" t="s">
        <v>662</v>
      </c>
      <c r="G28" s="204" t="s">
        <v>663</v>
      </c>
      <c r="H28" s="204" t="s">
        <v>697</v>
      </c>
      <c r="I28" s="238"/>
      <c r="J28" s="203" t="s">
        <v>69</v>
      </c>
      <c r="K28" s="204" t="s">
        <v>417</v>
      </c>
      <c r="L28" s="204" t="s">
        <v>438</v>
      </c>
      <c r="M28" s="204" t="s">
        <v>662</v>
      </c>
      <c r="N28" s="204" t="s">
        <v>663</v>
      </c>
      <c r="O28" s="204" t="s">
        <v>697</v>
      </c>
    </row>
    <row r="29" spans="1:15" ht="20.25" customHeight="1" x14ac:dyDescent="0.35">
      <c r="A29" s="206"/>
      <c r="B29" s="122"/>
      <c r="C29" s="239"/>
      <c r="D29" s="207" t="s">
        <v>665</v>
      </c>
      <c r="E29" s="207" t="s">
        <v>331</v>
      </c>
      <c r="F29" s="207" t="s">
        <v>344</v>
      </c>
      <c r="G29" s="207" t="s">
        <v>664</v>
      </c>
      <c r="H29" s="207" t="s">
        <v>344</v>
      </c>
      <c r="I29" s="240"/>
      <c r="J29" s="122"/>
      <c r="K29" s="207" t="s">
        <v>665</v>
      </c>
      <c r="L29" s="207" t="s">
        <v>331</v>
      </c>
      <c r="M29" s="207" t="s">
        <v>344</v>
      </c>
      <c r="N29" s="207" t="s">
        <v>664</v>
      </c>
      <c r="O29" s="207" t="s">
        <v>344</v>
      </c>
    </row>
    <row r="30" spans="1:15" ht="18.75" customHeight="1" thickBot="1" x14ac:dyDescent="0.4">
      <c r="A30" s="208"/>
      <c r="B30" s="209"/>
      <c r="C30" s="241"/>
      <c r="D30" s="210"/>
      <c r="E30" s="210"/>
      <c r="F30" s="210"/>
      <c r="G30" s="210"/>
      <c r="H30" s="210"/>
      <c r="I30" s="211"/>
      <c r="J30" s="212"/>
      <c r="K30" s="210"/>
      <c r="L30" s="210"/>
      <c r="M30" s="210"/>
      <c r="N30" s="210"/>
      <c r="O30" s="210"/>
    </row>
    <row r="31" spans="1:15" ht="26.25" x14ac:dyDescent="0.4">
      <c r="A31" s="242" t="s">
        <v>67</v>
      </c>
      <c r="B31" s="243"/>
      <c r="C31" s="244"/>
      <c r="D31" s="650">
        <f>'17 felhalm.bevétel '!C27</f>
        <v>15364</v>
      </c>
      <c r="E31" s="650">
        <f>'17 felhalm.bevétel '!D27</f>
        <v>0</v>
      </c>
      <c r="F31" s="650">
        <f>'17 felhalm.bevétel '!E27</f>
        <v>7957999</v>
      </c>
      <c r="G31" s="650">
        <f>'17 felhalm.bevétel '!F27</f>
        <v>0</v>
      </c>
      <c r="H31" s="650">
        <f>'17 felhalm.bevétel '!G27</f>
        <v>7957999</v>
      </c>
      <c r="I31" s="245" t="s">
        <v>158</v>
      </c>
      <c r="J31" s="246"/>
      <c r="K31" s="649"/>
      <c r="L31" s="649"/>
      <c r="M31" s="649"/>
      <c r="N31" s="649"/>
      <c r="O31" s="649"/>
    </row>
    <row r="32" spans="1:15" ht="26.25" x14ac:dyDescent="0.4">
      <c r="A32" s="247" t="s">
        <v>66</v>
      </c>
      <c r="B32" s="225"/>
      <c r="C32" s="248"/>
      <c r="D32" s="643">
        <f>'17 felhalm.bevétel '!C34</f>
        <v>902249</v>
      </c>
      <c r="E32" s="643">
        <f>'17 felhalm.bevétel '!D34</f>
        <v>500000</v>
      </c>
      <c r="F32" s="643">
        <f>'17 felhalm.bevétel '!E34</f>
        <v>502100</v>
      </c>
      <c r="G32" s="643">
        <f>'17 felhalm.bevétel '!F34</f>
        <v>300000</v>
      </c>
      <c r="H32" s="643">
        <f>'17 felhalm.bevétel '!G34</f>
        <v>802100</v>
      </c>
      <c r="I32" s="120" t="s">
        <v>195</v>
      </c>
      <c r="J32" s="249"/>
      <c r="K32" s="642">
        <f>+'8 oktatás'!B32</f>
        <v>91293</v>
      </c>
      <c r="L32" s="642">
        <f>+'8 oktatás'!C32</f>
        <v>0</v>
      </c>
      <c r="M32" s="642">
        <f>+'8 oktatás'!D32</f>
        <v>25286</v>
      </c>
      <c r="N32" s="642">
        <f>+'8 oktatás'!E32</f>
        <v>76278</v>
      </c>
      <c r="O32" s="642">
        <f>+'8 oktatás'!F32</f>
        <v>101564</v>
      </c>
    </row>
    <row r="33" spans="1:15" ht="26.25" x14ac:dyDescent="0.4">
      <c r="A33" s="247" t="s">
        <v>68</v>
      </c>
      <c r="B33" s="248"/>
      <c r="C33" s="250"/>
      <c r="D33" s="643">
        <f>'17 felhalm.bevétel '!C44</f>
        <v>130957</v>
      </c>
      <c r="E33" s="643">
        <f>'17 felhalm.bevétel '!D44</f>
        <v>7000</v>
      </c>
      <c r="F33" s="643">
        <f>'17 felhalm.bevétel '!E44</f>
        <v>119131</v>
      </c>
      <c r="G33" s="643">
        <f>'17 felhalm.bevétel '!F44</f>
        <v>15621</v>
      </c>
      <c r="H33" s="643">
        <f>'17 felhalm.bevétel '!G44</f>
        <v>134752</v>
      </c>
      <c r="I33" s="219" t="s">
        <v>274</v>
      </c>
      <c r="J33" s="251"/>
      <c r="K33" s="643">
        <f>'9 kultúra'!B75</f>
        <v>108483</v>
      </c>
      <c r="L33" s="643">
        <f>'9 kultúra'!C75</f>
        <v>0</v>
      </c>
      <c r="M33" s="643">
        <f>'9 kultúra'!D75</f>
        <v>79982</v>
      </c>
      <c r="N33" s="643">
        <f>'9 kultúra'!E75</f>
        <v>0</v>
      </c>
      <c r="O33" s="643">
        <f>'9 kultúra'!F75</f>
        <v>79982</v>
      </c>
    </row>
    <row r="34" spans="1:15" ht="26.25" x14ac:dyDescent="0.4">
      <c r="A34" s="218" t="s">
        <v>84</v>
      </c>
      <c r="B34" s="219"/>
      <c r="C34" s="219"/>
      <c r="D34" s="643">
        <f>'17 felhalm.bevétel '!C58</f>
        <v>45998</v>
      </c>
      <c r="E34" s="643">
        <f>'17 felhalm.bevétel '!D58</f>
        <v>0</v>
      </c>
      <c r="F34" s="643">
        <f>'17 felhalm.bevétel '!E58</f>
        <v>27016</v>
      </c>
      <c r="G34" s="643">
        <f>'17 felhalm.bevétel '!F58</f>
        <v>4234</v>
      </c>
      <c r="H34" s="643">
        <f>'17 felhalm.bevétel '!G58</f>
        <v>31250</v>
      </c>
      <c r="I34" s="219" t="s">
        <v>144</v>
      </c>
      <c r="J34" s="251"/>
      <c r="K34" s="643">
        <f>'10 szociális'!B44</f>
        <v>27472</v>
      </c>
      <c r="L34" s="643">
        <f>'10 szociális'!C44</f>
        <v>14967</v>
      </c>
      <c r="M34" s="643">
        <f>'10 szociális'!D44</f>
        <v>26719</v>
      </c>
      <c r="N34" s="643">
        <f>'10 szociális'!E44</f>
        <v>6192</v>
      </c>
      <c r="O34" s="643">
        <f>'10 szociális'!F44</f>
        <v>32911</v>
      </c>
    </row>
    <row r="35" spans="1:15" ht="26.25" x14ac:dyDescent="0.4">
      <c r="A35" s="252"/>
      <c r="B35" s="244"/>
      <c r="C35" s="244"/>
      <c r="D35" s="658"/>
      <c r="E35" s="658"/>
      <c r="F35" s="658"/>
      <c r="G35" s="658"/>
      <c r="H35" s="659"/>
      <c r="I35" s="219" t="s">
        <v>140</v>
      </c>
      <c r="J35" s="251"/>
      <c r="K35" s="643">
        <f>'11 egészségügy'!B25</f>
        <v>16562</v>
      </c>
      <c r="L35" s="643">
        <f>'11 egészségügy'!C25</f>
        <v>0</v>
      </c>
      <c r="M35" s="643">
        <f>'11 egészségügy'!D25</f>
        <v>8416</v>
      </c>
      <c r="N35" s="643">
        <f>'11 egészségügy'!E25</f>
        <v>0</v>
      </c>
      <c r="O35" s="643">
        <f>'11 egészségügy'!F25</f>
        <v>8416</v>
      </c>
    </row>
    <row r="36" spans="1:15" ht="26.25" x14ac:dyDescent="0.4">
      <c r="A36" s="252"/>
      <c r="B36" s="244"/>
      <c r="C36" s="244"/>
      <c r="D36" s="658"/>
      <c r="E36" s="658"/>
      <c r="F36" s="658"/>
      <c r="G36" s="658"/>
      <c r="H36" s="659"/>
      <c r="I36" s="219" t="s">
        <v>283</v>
      </c>
      <c r="J36" s="251"/>
      <c r="K36" s="643">
        <f>'12 gyermekvédelm'!B17</f>
        <v>27208</v>
      </c>
      <c r="L36" s="643">
        <f>'12 gyermekvédelm'!C17</f>
        <v>51660</v>
      </c>
      <c r="M36" s="643">
        <f>'12 gyermekvédelm'!D17</f>
        <v>59356</v>
      </c>
      <c r="N36" s="643">
        <f>'12 gyermekvédelm'!E17</f>
        <v>13175</v>
      </c>
      <c r="O36" s="643">
        <f>'12 gyermekvédelm'!F17</f>
        <v>72531</v>
      </c>
    </row>
    <row r="37" spans="1:15" ht="26.25" x14ac:dyDescent="0.4">
      <c r="A37" s="253"/>
      <c r="B37" s="254"/>
      <c r="C37" s="254"/>
      <c r="D37" s="660"/>
      <c r="E37" s="660"/>
      <c r="F37" s="660"/>
      <c r="G37" s="660"/>
      <c r="H37" s="656"/>
      <c r="I37" s="219" t="s">
        <v>284</v>
      </c>
      <c r="J37" s="251"/>
      <c r="K37" s="643">
        <f>'13 egyéb'!B125</f>
        <v>91573</v>
      </c>
      <c r="L37" s="643">
        <f>'13 egyéb'!C125</f>
        <v>95155</v>
      </c>
      <c r="M37" s="643">
        <f>'13 egyéb'!D125</f>
        <v>117346</v>
      </c>
      <c r="N37" s="643">
        <f>'13 egyéb'!E125</f>
        <v>187</v>
      </c>
      <c r="O37" s="643">
        <f>'13 egyéb'!F125</f>
        <v>117533</v>
      </c>
    </row>
    <row r="38" spans="1:15" ht="27" thickBot="1" x14ac:dyDescent="0.45">
      <c r="A38" s="253"/>
      <c r="B38" s="254"/>
      <c r="C38" s="254"/>
      <c r="D38" s="660"/>
      <c r="E38" s="660"/>
      <c r="F38" s="660"/>
      <c r="G38" s="660"/>
      <c r="H38" s="656"/>
      <c r="I38" s="219" t="s">
        <v>88</v>
      </c>
      <c r="J38" s="251"/>
      <c r="K38" s="643">
        <f>'15 város.ü.'!B36</f>
        <v>0</v>
      </c>
      <c r="L38" s="643">
        <f>'15 város.ü.'!C36</f>
        <v>0</v>
      </c>
      <c r="M38" s="643">
        <f>'15 város.ü.'!D36</f>
        <v>1000</v>
      </c>
      <c r="N38" s="643">
        <f>'15 város.ü.'!E36</f>
        <v>1000</v>
      </c>
      <c r="O38" s="643">
        <f>'15 város.ü.'!F36</f>
        <v>2000</v>
      </c>
    </row>
    <row r="39" spans="1:15" ht="27" thickBot="1" x14ac:dyDescent="0.45">
      <c r="A39" s="253"/>
      <c r="B39" s="254"/>
      <c r="C39" s="254"/>
      <c r="D39" s="660"/>
      <c r="E39" s="660"/>
      <c r="F39" s="660"/>
      <c r="G39" s="660"/>
      <c r="H39" s="656"/>
      <c r="I39" s="255" t="s">
        <v>159</v>
      </c>
      <c r="J39" s="256"/>
      <c r="K39" s="648">
        <f>SUM(K32:K38)</f>
        <v>362591</v>
      </c>
      <c r="L39" s="648">
        <f t="shared" ref="L39:O39" si="4">SUM(L32:L38)</f>
        <v>161782</v>
      </c>
      <c r="M39" s="648">
        <f t="shared" ref="M39:N39" si="5">SUM(M32:M38)</f>
        <v>318105</v>
      </c>
      <c r="N39" s="648">
        <f t="shared" si="5"/>
        <v>96832</v>
      </c>
      <c r="O39" s="648">
        <f t="shared" si="4"/>
        <v>414937</v>
      </c>
    </row>
    <row r="40" spans="1:15" ht="26.25" x14ac:dyDescent="0.4">
      <c r="A40" s="223"/>
      <c r="D40" s="661"/>
      <c r="E40" s="661"/>
      <c r="F40" s="661"/>
      <c r="G40" s="661"/>
      <c r="H40" s="659"/>
      <c r="I40" s="121" t="s">
        <v>128</v>
      </c>
      <c r="J40" s="243"/>
      <c r="K40" s="650">
        <f>+'18 felhalm.kiadás'!C9</f>
        <v>2308</v>
      </c>
      <c r="L40" s="650">
        <f>+'18 felhalm.kiadás'!D9</f>
        <v>0</v>
      </c>
      <c r="M40" s="650">
        <f>+'18 felhalm.kiadás'!E9</f>
        <v>129447</v>
      </c>
      <c r="N40" s="650">
        <f>+'18 felhalm.kiadás'!F9</f>
        <v>0</v>
      </c>
      <c r="O40" s="650">
        <f>+'18 felhalm.kiadás'!G9</f>
        <v>129447</v>
      </c>
    </row>
    <row r="41" spans="1:15" ht="26.25" x14ac:dyDescent="0.4">
      <c r="A41" s="223"/>
      <c r="D41" s="661"/>
      <c r="E41" s="661"/>
      <c r="F41" s="661"/>
      <c r="G41" s="661"/>
      <c r="H41" s="659"/>
      <c r="I41" s="219" t="s">
        <v>154</v>
      </c>
      <c r="J41" s="225"/>
      <c r="K41" s="643">
        <f>'18 felhalm.kiadás'!C17</f>
        <v>30426</v>
      </c>
      <c r="L41" s="643">
        <f>'18 felhalm.kiadás'!D17</f>
        <v>200000</v>
      </c>
      <c r="M41" s="643">
        <f>'18 felhalm.kiadás'!E17</f>
        <v>301608</v>
      </c>
      <c r="N41" s="643">
        <f>'18 felhalm.kiadás'!F17</f>
        <v>4120</v>
      </c>
      <c r="O41" s="643">
        <f>'18 felhalm.kiadás'!G17</f>
        <v>305728</v>
      </c>
    </row>
    <row r="42" spans="1:15" ht="26.25" x14ac:dyDescent="0.4">
      <c r="A42" s="257"/>
      <c r="B42" s="258"/>
      <c r="D42" s="661"/>
      <c r="E42" s="661"/>
      <c r="F42" s="661"/>
      <c r="G42" s="661"/>
      <c r="H42" s="659"/>
      <c r="I42" s="219" t="s">
        <v>170</v>
      </c>
      <c r="J42" s="224"/>
      <c r="K42" s="643">
        <f>+'18 felhalm.kiadás'!C22</f>
        <v>57324</v>
      </c>
      <c r="L42" s="643">
        <f>+'18 felhalm.kiadás'!D22</f>
        <v>0</v>
      </c>
      <c r="M42" s="643">
        <f>+'18 felhalm.kiadás'!E22</f>
        <v>10512</v>
      </c>
      <c r="N42" s="643">
        <f>+'18 felhalm.kiadás'!F22</f>
        <v>0</v>
      </c>
      <c r="O42" s="643">
        <f>+'18 felhalm.kiadás'!G22</f>
        <v>10512</v>
      </c>
    </row>
    <row r="43" spans="1:15" ht="26.25" x14ac:dyDescent="0.4">
      <c r="A43" s="257"/>
      <c r="B43" s="258"/>
      <c r="C43" s="259"/>
      <c r="D43" s="662"/>
      <c r="E43" s="662"/>
      <c r="F43" s="662"/>
      <c r="G43" s="662"/>
      <c r="H43" s="659"/>
      <c r="I43" s="219" t="s">
        <v>138</v>
      </c>
      <c r="J43" s="224"/>
      <c r="K43" s="643">
        <f>+'18 felhalm.kiadás'!C85</f>
        <v>222202</v>
      </c>
      <c r="L43" s="643">
        <f>+'18 felhalm.kiadás'!D85</f>
        <v>8257432</v>
      </c>
      <c r="M43" s="643">
        <f>+'18 felhalm.kiadás'!E85</f>
        <v>9998798</v>
      </c>
      <c r="N43" s="643">
        <f>+'18 felhalm.kiadás'!F85</f>
        <v>1606697</v>
      </c>
      <c r="O43" s="643">
        <f>+'18 felhalm.kiadás'!G85</f>
        <v>11605495</v>
      </c>
    </row>
    <row r="44" spans="1:15" ht="26.25" x14ac:dyDescent="0.4">
      <c r="A44" s="221"/>
      <c r="B44" s="260"/>
      <c r="C44" s="259"/>
      <c r="D44" s="662"/>
      <c r="E44" s="662"/>
      <c r="F44" s="662"/>
      <c r="G44" s="662"/>
      <c r="H44" s="659"/>
      <c r="I44" s="219" t="s">
        <v>33</v>
      </c>
      <c r="J44" s="219"/>
      <c r="K44" s="643">
        <f>'18 felhalm.kiadás'!C86</f>
        <v>1027</v>
      </c>
      <c r="L44" s="643">
        <f>'18 felhalm.kiadás'!D86</f>
        <v>0</v>
      </c>
      <c r="M44" s="643">
        <f>'18 felhalm.kiadás'!E86</f>
        <v>173</v>
      </c>
      <c r="N44" s="643">
        <f>'18 felhalm.kiadás'!F86</f>
        <v>0</v>
      </c>
      <c r="O44" s="643">
        <f>'18 felhalm.kiadás'!G86</f>
        <v>173</v>
      </c>
    </row>
    <row r="45" spans="1:15" ht="27" thickBot="1" x14ac:dyDescent="0.45">
      <c r="A45" s="221"/>
      <c r="B45" s="260"/>
      <c r="C45" s="259"/>
      <c r="D45" s="663"/>
      <c r="E45" s="663"/>
      <c r="F45" s="663"/>
      <c r="G45" s="663"/>
      <c r="H45" s="663"/>
      <c r="I45" s="261" t="s">
        <v>160</v>
      </c>
      <c r="J45" s="262"/>
      <c r="K45" s="651">
        <f>SUM(K40:K44)</f>
        <v>313287</v>
      </c>
      <c r="L45" s="651">
        <f>SUM(L40:L44)</f>
        <v>8457432</v>
      </c>
      <c r="M45" s="651">
        <f t="shared" ref="M45:N45" si="6">SUM(M40:M44)</f>
        <v>10440538</v>
      </c>
      <c r="N45" s="651">
        <f t="shared" si="6"/>
        <v>1610817</v>
      </c>
      <c r="O45" s="651">
        <f>SUM(O40:O44)</f>
        <v>12051355</v>
      </c>
    </row>
    <row r="46" spans="1:15" ht="27" thickBot="1" x14ac:dyDescent="0.45">
      <c r="A46" s="263" t="s">
        <v>150</v>
      </c>
      <c r="B46" s="263"/>
      <c r="C46" s="264"/>
      <c r="D46" s="652">
        <f>SUM(D31:D45)</f>
        <v>1094568</v>
      </c>
      <c r="E46" s="652">
        <f>SUM(E31:E45)</f>
        <v>507000</v>
      </c>
      <c r="F46" s="652">
        <f t="shared" ref="F46:G46" si="7">SUM(F31:F45)</f>
        <v>8606246</v>
      </c>
      <c r="G46" s="652">
        <f t="shared" si="7"/>
        <v>319855</v>
      </c>
      <c r="H46" s="652">
        <f>SUM(H31:H45)</f>
        <v>8926101</v>
      </c>
      <c r="I46" s="265" t="s">
        <v>151</v>
      </c>
      <c r="J46" s="265"/>
      <c r="K46" s="652">
        <f>+K45+K39</f>
        <v>675878</v>
      </c>
      <c r="L46" s="652">
        <f>+L45+L39</f>
        <v>8619214</v>
      </c>
      <c r="M46" s="652">
        <f t="shared" ref="M46:N46" si="8">+M45+M39</f>
        <v>10758643</v>
      </c>
      <c r="N46" s="652">
        <f t="shared" si="8"/>
        <v>1707649</v>
      </c>
      <c r="O46" s="652">
        <f>+O45+O39</f>
        <v>12466292</v>
      </c>
    </row>
    <row r="47" spans="1:15" ht="18.75" customHeight="1" thickBot="1" x14ac:dyDescent="0.45">
      <c r="A47" s="266"/>
      <c r="B47" s="266"/>
      <c r="C47" s="267"/>
      <c r="D47" s="664"/>
      <c r="E47" s="664"/>
      <c r="F47" s="664"/>
      <c r="G47" s="664"/>
      <c r="H47" s="664"/>
      <c r="I47" s="203"/>
      <c r="J47" s="203"/>
      <c r="K47" s="653"/>
      <c r="L47" s="653"/>
      <c r="M47" s="653"/>
      <c r="N47" s="653"/>
      <c r="O47" s="653"/>
    </row>
    <row r="48" spans="1:15" ht="26.25" x14ac:dyDescent="0.4">
      <c r="A48" s="268" t="s">
        <v>142</v>
      </c>
      <c r="B48" s="269"/>
      <c r="C48" s="270"/>
      <c r="D48" s="665"/>
      <c r="E48" s="665"/>
      <c r="F48" s="665"/>
      <c r="G48" s="665"/>
      <c r="H48" s="665"/>
      <c r="I48" s="268" t="s">
        <v>142</v>
      </c>
      <c r="J48" s="271"/>
      <c r="K48" s="654"/>
      <c r="L48" s="654"/>
      <c r="M48" s="654"/>
      <c r="N48" s="654"/>
      <c r="O48" s="654"/>
    </row>
    <row r="49" spans="1:15" ht="26.25" x14ac:dyDescent="0.4">
      <c r="A49" s="227"/>
      <c r="C49" s="272" t="s">
        <v>95</v>
      </c>
      <c r="D49" s="666">
        <v>1069309</v>
      </c>
      <c r="E49" s="666">
        <v>500000</v>
      </c>
      <c r="F49" s="666">
        <v>685622</v>
      </c>
      <c r="G49" s="666"/>
      <c r="H49" s="666">
        <f>SUM(F49:G49)</f>
        <v>685622</v>
      </c>
      <c r="I49" s="120" t="s">
        <v>365</v>
      </c>
      <c r="J49" s="120"/>
      <c r="K49" s="642">
        <v>120749</v>
      </c>
      <c r="L49" s="642">
        <v>120750</v>
      </c>
      <c r="M49" s="642">
        <v>120750</v>
      </c>
      <c r="N49" s="642"/>
      <c r="O49" s="642">
        <f>SUM(M49:N49)</f>
        <v>120750</v>
      </c>
    </row>
    <row r="50" spans="1:15" ht="26.25" x14ac:dyDescent="0.4">
      <c r="A50" s="227"/>
      <c r="C50" s="273" t="s">
        <v>465</v>
      </c>
      <c r="D50" s="666"/>
      <c r="E50" s="666">
        <v>1940747</v>
      </c>
      <c r="F50" s="666">
        <v>0</v>
      </c>
      <c r="G50" s="666"/>
      <c r="H50" s="666">
        <f t="shared" ref="H50:H56" si="9">SUM(F50:G50)</f>
        <v>0</v>
      </c>
      <c r="I50" s="120" t="s">
        <v>559</v>
      </c>
      <c r="J50" s="120"/>
      <c r="K50" s="642"/>
      <c r="L50" s="642">
        <v>336010</v>
      </c>
      <c r="M50" s="642">
        <v>336010</v>
      </c>
      <c r="N50" s="642"/>
      <c r="O50" s="642">
        <f t="shared" ref="O50:O56" si="10">SUM(M50:N50)</f>
        <v>336010</v>
      </c>
    </row>
    <row r="51" spans="1:15" ht="47.25" x14ac:dyDescent="0.4">
      <c r="A51" s="227"/>
      <c r="C51" s="272" t="s">
        <v>558</v>
      </c>
      <c r="D51" s="666">
        <v>336010</v>
      </c>
      <c r="E51" s="666">
        <v>336010</v>
      </c>
      <c r="F51" s="666">
        <v>0</v>
      </c>
      <c r="G51" s="666"/>
      <c r="H51" s="666">
        <f t="shared" si="9"/>
        <v>0</v>
      </c>
      <c r="I51" s="120" t="s">
        <v>500</v>
      </c>
      <c r="J51" s="120"/>
      <c r="K51" s="642">
        <v>2269238</v>
      </c>
      <c r="L51" s="642"/>
      <c r="M51" s="642">
        <v>0</v>
      </c>
      <c r="N51" s="642"/>
      <c r="O51" s="642">
        <f t="shared" si="10"/>
        <v>0</v>
      </c>
    </row>
    <row r="52" spans="1:15" ht="47.25" x14ac:dyDescent="0.4">
      <c r="A52" s="227"/>
      <c r="C52" s="272" t="s">
        <v>499</v>
      </c>
      <c r="D52" s="666">
        <v>1988234</v>
      </c>
      <c r="E52" s="666"/>
      <c r="F52" s="666">
        <v>0</v>
      </c>
      <c r="G52" s="666"/>
      <c r="H52" s="666">
        <f t="shared" si="9"/>
        <v>0</v>
      </c>
      <c r="I52" s="120" t="s">
        <v>632</v>
      </c>
      <c r="J52" s="120"/>
      <c r="K52" s="642">
        <v>2000000</v>
      </c>
      <c r="L52" s="642"/>
      <c r="M52" s="642">
        <v>4000000</v>
      </c>
      <c r="N52" s="642">
        <v>5000000</v>
      </c>
      <c r="O52" s="642">
        <f t="shared" si="10"/>
        <v>9000000</v>
      </c>
    </row>
    <row r="53" spans="1:15" ht="21" customHeight="1" x14ac:dyDescent="0.4">
      <c r="A53" s="227"/>
      <c r="C53" s="274" t="s">
        <v>123</v>
      </c>
      <c r="D53" s="666">
        <v>1456893</v>
      </c>
      <c r="E53" s="666"/>
      <c r="F53" s="666">
        <v>1178093</v>
      </c>
      <c r="G53" s="666"/>
      <c r="H53" s="666">
        <f t="shared" si="9"/>
        <v>1178093</v>
      </c>
      <c r="I53" s="120"/>
      <c r="J53" s="120"/>
      <c r="K53" s="642"/>
      <c r="L53" s="642"/>
      <c r="M53" s="642">
        <v>0</v>
      </c>
      <c r="N53" s="642"/>
      <c r="O53" s="642">
        <f t="shared" si="10"/>
        <v>0</v>
      </c>
    </row>
    <row r="54" spans="1:15" ht="26.25" x14ac:dyDescent="0.4">
      <c r="A54" s="227"/>
      <c r="C54" s="274" t="s">
        <v>466</v>
      </c>
      <c r="D54" s="666"/>
      <c r="E54" s="666">
        <v>7966774</v>
      </c>
      <c r="F54" s="666">
        <v>0</v>
      </c>
      <c r="G54" s="666"/>
      <c r="H54" s="666">
        <f t="shared" si="9"/>
        <v>0</v>
      </c>
      <c r="I54" s="120"/>
      <c r="J54" s="120"/>
      <c r="K54" s="642"/>
      <c r="L54" s="642"/>
      <c r="M54" s="642">
        <v>0</v>
      </c>
      <c r="N54" s="642"/>
      <c r="O54" s="642">
        <f t="shared" si="10"/>
        <v>0</v>
      </c>
    </row>
    <row r="55" spans="1:15" ht="26.25" x14ac:dyDescent="0.4">
      <c r="A55" s="227"/>
      <c r="B55" s="260"/>
      <c r="C55" s="272" t="s">
        <v>652</v>
      </c>
      <c r="D55" s="666">
        <v>690176</v>
      </c>
      <c r="E55" s="666">
        <f>19955+26670+24990+14967</f>
        <v>86582</v>
      </c>
      <c r="F55" s="666">
        <v>0</v>
      </c>
      <c r="G55" s="666"/>
      <c r="H55" s="666">
        <f t="shared" si="9"/>
        <v>0</v>
      </c>
      <c r="I55" s="120"/>
      <c r="J55" s="120"/>
      <c r="K55" s="642"/>
      <c r="L55" s="642"/>
      <c r="M55" s="642">
        <v>0</v>
      </c>
      <c r="N55" s="642"/>
      <c r="O55" s="642">
        <f t="shared" si="10"/>
        <v>0</v>
      </c>
    </row>
    <row r="56" spans="1:15" ht="48" thickBot="1" x14ac:dyDescent="0.45">
      <c r="A56" s="227"/>
      <c r="B56" s="260"/>
      <c r="C56" s="274" t="s">
        <v>633</v>
      </c>
      <c r="D56" s="666">
        <v>500000</v>
      </c>
      <c r="E56" s="666"/>
      <c r="F56" s="666">
        <v>5500000</v>
      </c>
      <c r="G56" s="666">
        <v>5000000</v>
      </c>
      <c r="H56" s="666">
        <f t="shared" si="9"/>
        <v>10500000</v>
      </c>
      <c r="I56" s="121"/>
      <c r="J56" s="122"/>
      <c r="K56" s="655"/>
      <c r="L56" s="655"/>
      <c r="M56" s="656">
        <v>0</v>
      </c>
      <c r="N56" s="655"/>
      <c r="O56" s="642">
        <f t="shared" si="10"/>
        <v>0</v>
      </c>
    </row>
    <row r="57" spans="1:15" ht="27" thickBot="1" x14ac:dyDescent="0.45">
      <c r="A57" s="275" t="s">
        <v>118</v>
      </c>
      <c r="B57" s="264"/>
      <c r="C57" s="118"/>
      <c r="D57" s="667">
        <f>SUM(D48:D56)</f>
        <v>6040622</v>
      </c>
      <c r="E57" s="667">
        <f t="shared" ref="E57:H57" si="11">SUM(E48:E56)</f>
        <v>10830113</v>
      </c>
      <c r="F57" s="667">
        <f t="shared" si="11"/>
        <v>7363715</v>
      </c>
      <c r="G57" s="667">
        <f t="shared" si="11"/>
        <v>5000000</v>
      </c>
      <c r="H57" s="667">
        <f t="shared" si="11"/>
        <v>12363715</v>
      </c>
      <c r="I57" s="123" t="s">
        <v>118</v>
      </c>
      <c r="J57" s="124"/>
      <c r="K57" s="648">
        <f>SUM(K49:K56)</f>
        <v>4389987</v>
      </c>
      <c r="L57" s="648">
        <f>SUM(L49:L56)</f>
        <v>456760</v>
      </c>
      <c r="M57" s="648">
        <f t="shared" ref="M57:O57" si="12">SUM(M49:M56)</f>
        <v>4456760</v>
      </c>
      <c r="N57" s="648">
        <f t="shared" si="12"/>
        <v>5000000</v>
      </c>
      <c r="O57" s="648">
        <f t="shared" si="12"/>
        <v>9456760</v>
      </c>
    </row>
    <row r="58" spans="1:15" ht="26.25" x14ac:dyDescent="0.4">
      <c r="A58" s="227"/>
      <c r="B58" s="266"/>
      <c r="C58" s="266"/>
      <c r="D58" s="665"/>
      <c r="E58" s="665"/>
      <c r="F58" s="665"/>
      <c r="G58" s="665"/>
      <c r="H58" s="665"/>
      <c r="I58" s="122"/>
      <c r="J58" s="122"/>
      <c r="K58" s="654"/>
      <c r="L58" s="654"/>
      <c r="M58" s="654"/>
      <c r="N58" s="654"/>
      <c r="O58" s="654"/>
    </row>
    <row r="59" spans="1:15" ht="27" thickBot="1" x14ac:dyDescent="0.45">
      <c r="A59" s="276"/>
      <c r="B59" s="126"/>
      <c r="C59" s="126"/>
      <c r="D59" s="657"/>
      <c r="E59" s="657"/>
      <c r="F59" s="657"/>
      <c r="G59" s="657"/>
      <c r="H59" s="657"/>
      <c r="I59" s="125"/>
      <c r="J59" s="126"/>
      <c r="K59" s="657"/>
      <c r="L59" s="657"/>
      <c r="M59" s="657"/>
      <c r="N59" s="657"/>
      <c r="O59" s="657"/>
    </row>
    <row r="60" spans="1:15" ht="27" thickBot="1" x14ac:dyDescent="0.45">
      <c r="A60" s="277" t="s">
        <v>143</v>
      </c>
      <c r="B60" s="264"/>
      <c r="C60" s="264"/>
      <c r="D60" s="652">
        <f>+D57+D46+D26</f>
        <v>38973174</v>
      </c>
      <c r="E60" s="652">
        <f>+E57+E46+E26</f>
        <v>42479853</v>
      </c>
      <c r="F60" s="652">
        <f t="shared" ref="F60:G60" si="13">+F57+F46+F26</f>
        <v>51331176</v>
      </c>
      <c r="G60" s="652">
        <f t="shared" si="13"/>
        <v>7561674</v>
      </c>
      <c r="H60" s="652">
        <f>+H57+H46+H26</f>
        <v>58892850</v>
      </c>
      <c r="I60" s="123" t="s">
        <v>117</v>
      </c>
      <c r="J60" s="124"/>
      <c r="K60" s="648">
        <f>+K57+K46+K26</f>
        <v>37085210</v>
      </c>
      <c r="L60" s="648">
        <f>+L57+L46+L26</f>
        <v>42479853</v>
      </c>
      <c r="M60" s="648">
        <f t="shared" ref="M60:N60" si="14">+M57+M46+M26</f>
        <v>51331176</v>
      </c>
      <c r="N60" s="648">
        <f t="shared" si="14"/>
        <v>7561674</v>
      </c>
      <c r="O60" s="648">
        <f>+O57+O46+O26</f>
        <v>58892850</v>
      </c>
    </row>
    <row r="61" spans="1:15" ht="14.1" customHeight="1" x14ac:dyDescent="0.35"/>
  </sheetData>
  <customSheetViews>
    <customSheetView guid="{6D4B996F-8915-4E78-98C2-E7EAE9C4580C}" scale="75" showRuler="0" topLeftCell="A49">
      <selection activeCell="J61" sqref="J61"/>
      <pageMargins left="0" right="0" top="0" bottom="0" header="0.11811023622047245" footer="7.874015748031496E-2"/>
      <printOptions horizontalCentered="1" verticalCentered="1"/>
      <pageSetup paperSize="9" scale="55" orientation="landscape" horizontalDpi="300" verticalDpi="300" r:id="rId1"/>
      <headerFooter alignWithMargins="0">
        <oddHeader>&amp;L&amp;D&amp;T&amp;R&amp;"Times New Roman CE,Félkövér"&amp;16I.sz.melléklet</oddHeader>
      </headerFooter>
    </customSheetView>
    <customSheetView guid="{186732C5-520C-4E06-B066-B4F3F0A3E322}" scale="75" showRuler="0" topLeftCell="A49">
      <selection activeCell="J61" sqref="J61"/>
      <pageMargins left="0" right="0" top="0" bottom="0" header="0.11811023622047245" footer="7.874015748031496E-2"/>
      <printOptions horizontalCentered="1" verticalCentered="1"/>
      <pageSetup paperSize="9" scale="55" orientation="landscape" horizontalDpi="300" verticalDpi="300" r:id="rId2"/>
      <headerFooter alignWithMargins="0">
        <oddHeader>&amp;L&amp;D&amp;T&amp;R&amp;"Times New Roman CE,Félkövér"&amp;16I.sz.melléklet</oddHeader>
      </headerFooter>
    </customSheetView>
  </customSheetViews>
  <mergeCells count="1">
    <mergeCell ref="A2:O2"/>
  </mergeCells>
  <phoneticPr fontId="0" type="noConversion"/>
  <printOptions horizontalCentered="1" verticalCentered="1"/>
  <pageMargins left="0" right="0" top="0" bottom="0" header="0.39370078740157483" footer="0"/>
  <pageSetup paperSize="9" scale="25" orientation="landscape" r:id="rId3"/>
  <headerFooter alignWithMargins="0">
    <oddHeader xml:space="preserve">&amp;R&amp;"Times New Roman CE,Félkövér"&amp;18
&amp;"-,Félkövér"2. melléklet a 14/2026. (IX.25.) önkormányzati rendelethez 
"2. melléklet a 3/2026.(II.27.) önkormányzati rendelethez"&amp;"Times New Roman CE,Félkövér"
 </oddHeader>
    <oddFooter>&amp;L&amp;14&amp;D&amp;T</oddFooter>
  </headerFooter>
  <rowBreaks count="1" manualBreakCount="1">
    <brk id="26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Munka31"/>
  <dimension ref="A1:M286"/>
  <sheetViews>
    <sheetView zoomScale="93" zoomScaleNormal="93" workbookViewId="0">
      <selection activeCell="E13" sqref="E13"/>
    </sheetView>
  </sheetViews>
  <sheetFormatPr defaultColWidth="9.33203125" defaultRowHeight="21" customHeight="1" x14ac:dyDescent="0.35"/>
  <cols>
    <col min="1" max="1" width="5" style="2" customWidth="1"/>
    <col min="2" max="4" width="2.33203125" style="2" customWidth="1"/>
    <col min="5" max="5" width="179.5" style="2" customWidth="1"/>
    <col min="6" max="6" width="35.1640625" style="2" customWidth="1"/>
    <col min="7" max="7" width="32.5" style="2" customWidth="1"/>
    <col min="8" max="8" width="40.6640625" style="2" customWidth="1"/>
    <col min="9" max="9" width="39.1640625" style="2" customWidth="1"/>
    <col min="10" max="10" width="44.5" style="3" customWidth="1"/>
    <col min="11" max="11" width="17" style="2" bestFit="1" customWidth="1"/>
    <col min="12" max="12" width="9.33203125" style="2"/>
    <col min="13" max="13" width="22" style="3" bestFit="1" customWidth="1"/>
    <col min="14" max="16384" width="9.33203125" style="2"/>
  </cols>
  <sheetData>
    <row r="1" spans="1:13" ht="21" customHeight="1" x14ac:dyDescent="0.35">
      <c r="A1" s="973"/>
      <c r="B1" s="973"/>
      <c r="C1" s="973"/>
      <c r="D1" s="973"/>
      <c r="E1" s="973"/>
      <c r="F1" s="159"/>
      <c r="G1" s="159"/>
      <c r="H1" s="159"/>
      <c r="I1" s="159"/>
      <c r="J1" s="158"/>
    </row>
    <row r="2" spans="1:13" ht="21" customHeight="1" x14ac:dyDescent="0.35">
      <c r="A2" s="973" t="s">
        <v>104</v>
      </c>
      <c r="B2" s="973"/>
      <c r="C2" s="973"/>
      <c r="D2" s="973"/>
      <c r="E2" s="973"/>
      <c r="F2" s="973"/>
      <c r="G2" s="973"/>
      <c r="H2" s="973"/>
      <c r="I2" s="973"/>
      <c r="J2" s="973"/>
    </row>
    <row r="3" spans="1:13" ht="21" customHeight="1" x14ac:dyDescent="0.35">
      <c r="A3" s="159"/>
      <c r="B3" s="159"/>
      <c r="C3" s="159"/>
      <c r="D3" s="159"/>
      <c r="E3" s="159"/>
      <c r="F3" s="159"/>
      <c r="G3" s="159"/>
      <c r="H3" s="159"/>
      <c r="I3" s="159"/>
      <c r="J3" s="158"/>
    </row>
    <row r="4" spans="1:13" ht="21" customHeight="1" thickBot="1" x14ac:dyDescent="0.4">
      <c r="B4" s="278"/>
      <c r="C4" s="278"/>
      <c r="D4" s="278"/>
      <c r="E4" s="279"/>
      <c r="F4" s="45"/>
      <c r="G4" s="45"/>
      <c r="H4" s="45"/>
      <c r="J4" s="280" t="s">
        <v>201</v>
      </c>
    </row>
    <row r="5" spans="1:13" ht="43.5" customHeight="1" x14ac:dyDescent="0.35">
      <c r="A5" s="116"/>
      <c r="B5" s="281"/>
      <c r="C5" s="281"/>
      <c r="D5" s="281"/>
      <c r="E5" s="134" t="s">
        <v>155</v>
      </c>
      <c r="F5" s="162" t="s">
        <v>417</v>
      </c>
      <c r="G5" s="162" t="s">
        <v>438</v>
      </c>
      <c r="H5" s="162" t="s">
        <v>662</v>
      </c>
      <c r="I5" s="162" t="s">
        <v>663</v>
      </c>
      <c r="J5" s="162" t="s">
        <v>697</v>
      </c>
    </row>
    <row r="6" spans="1:13" ht="21" customHeight="1" thickBot="1" x14ac:dyDescent="0.4">
      <c r="A6" s="282"/>
      <c r="B6" s="283"/>
      <c r="C6" s="283"/>
      <c r="D6" s="283"/>
      <c r="E6" s="284"/>
      <c r="F6" s="165" t="s">
        <v>665</v>
      </c>
      <c r="G6" s="165" t="s">
        <v>331</v>
      </c>
      <c r="H6" s="165" t="s">
        <v>344</v>
      </c>
      <c r="I6" s="165" t="s">
        <v>664</v>
      </c>
      <c r="J6" s="165" t="s">
        <v>344</v>
      </c>
    </row>
    <row r="7" spans="1:13" ht="21" customHeight="1" x14ac:dyDescent="0.35">
      <c r="A7" s="285" t="s">
        <v>98</v>
      </c>
      <c r="B7" s="286"/>
      <c r="C7" s="286"/>
      <c r="D7" s="286"/>
      <c r="E7" s="286"/>
      <c r="F7" s="20"/>
      <c r="G7" s="20"/>
      <c r="H7" s="20"/>
      <c r="I7" s="20"/>
      <c r="J7" s="20"/>
    </row>
    <row r="8" spans="1:13" s="288" customFormat="1" ht="21" customHeight="1" x14ac:dyDescent="0.35">
      <c r="A8" s="287"/>
      <c r="B8" s="288" t="s">
        <v>267</v>
      </c>
      <c r="E8" s="289"/>
      <c r="F8" s="21">
        <v>1759844</v>
      </c>
      <c r="G8" s="21">
        <f>1706599+64813+76691</f>
        <v>1848103</v>
      </c>
      <c r="H8" s="21">
        <v>1848103</v>
      </c>
      <c r="I8" s="21"/>
      <c r="J8" s="21">
        <f>SUM(H8:I8)</f>
        <v>1848103</v>
      </c>
      <c r="M8" s="19"/>
    </row>
    <row r="9" spans="1:13" s="288" customFormat="1" ht="24.75" customHeight="1" x14ac:dyDescent="0.35">
      <c r="A9" s="287"/>
      <c r="B9" s="294" t="s">
        <v>269</v>
      </c>
      <c r="C9" s="294"/>
      <c r="D9" s="294"/>
      <c r="E9" s="308"/>
      <c r="F9" s="23">
        <v>3354379</v>
      </c>
      <c r="G9" s="23">
        <f>3333839+220531+61686+41561</f>
        <v>3657617</v>
      </c>
      <c r="H9" s="23">
        <v>3693262</v>
      </c>
      <c r="I9" s="23">
        <f>21835+8863</f>
        <v>30698</v>
      </c>
      <c r="J9" s="23">
        <f t="shared" ref="J9:J11" si="0">SUM(H9:I9)</f>
        <v>3723960</v>
      </c>
      <c r="M9" s="19"/>
    </row>
    <row r="10" spans="1:13" s="288" customFormat="1" ht="21" customHeight="1" x14ac:dyDescent="0.35">
      <c r="A10" s="287"/>
      <c r="B10" s="288" t="s">
        <v>386</v>
      </c>
      <c r="E10" s="293" t="s">
        <v>397</v>
      </c>
      <c r="F10" s="21">
        <v>2130512</v>
      </c>
      <c r="G10" s="21">
        <f>2145681+31918+144277</f>
        <v>2321876</v>
      </c>
      <c r="H10" s="21">
        <v>2332725</v>
      </c>
      <c r="I10" s="21">
        <f>-20514+2668</f>
        <v>-17846</v>
      </c>
      <c r="J10" s="21">
        <f t="shared" si="0"/>
        <v>2314879</v>
      </c>
      <c r="M10" s="19"/>
    </row>
    <row r="11" spans="1:13" s="288" customFormat="1" ht="21" customHeight="1" x14ac:dyDescent="0.35">
      <c r="A11" s="287"/>
      <c r="B11" s="294" t="s">
        <v>387</v>
      </c>
      <c r="C11" s="294"/>
      <c r="D11" s="294"/>
      <c r="E11" s="295" t="s">
        <v>388</v>
      </c>
      <c r="F11" s="23">
        <v>946949</v>
      </c>
      <c r="G11" s="23">
        <f>878065+92235+45120</f>
        <v>1015420</v>
      </c>
      <c r="H11" s="23">
        <v>1015420</v>
      </c>
      <c r="I11" s="23">
        <v>24447</v>
      </c>
      <c r="J11" s="23">
        <f t="shared" si="0"/>
        <v>1039867</v>
      </c>
      <c r="M11" s="19"/>
    </row>
    <row r="12" spans="1:13" s="288" customFormat="1" ht="21" customHeight="1" x14ac:dyDescent="0.35">
      <c r="A12" s="287"/>
      <c r="B12" s="290" t="s">
        <v>389</v>
      </c>
      <c r="C12" s="290"/>
      <c r="D12" s="290"/>
      <c r="E12" s="296"/>
      <c r="F12" s="22">
        <f>SUM(F13:F14)</f>
        <v>214194</v>
      </c>
      <c r="G12" s="22">
        <f>SUM(G13:G14)</f>
        <v>213472</v>
      </c>
      <c r="H12" s="22">
        <v>213472</v>
      </c>
      <c r="I12" s="22">
        <f>SUM(I13:I14)</f>
        <v>0</v>
      </c>
      <c r="J12" s="22">
        <f>SUM(J13:J14)</f>
        <v>213472</v>
      </c>
      <c r="M12" s="19"/>
    </row>
    <row r="13" spans="1:13" s="288" customFormat="1" ht="21" customHeight="1" x14ac:dyDescent="0.35">
      <c r="A13" s="287"/>
      <c r="B13" s="2"/>
      <c r="C13" s="119" t="s">
        <v>542</v>
      </c>
      <c r="D13" s="119"/>
      <c r="E13" s="297"/>
      <c r="F13" s="24">
        <v>71480</v>
      </c>
      <c r="G13" s="24">
        <f>71479-328</f>
        <v>71151</v>
      </c>
      <c r="H13" s="24">
        <v>71151</v>
      </c>
      <c r="I13" s="24"/>
      <c r="J13" s="24">
        <f>SUM(H13:I13)</f>
        <v>71151</v>
      </c>
      <c r="M13" s="19"/>
    </row>
    <row r="14" spans="1:13" s="288" customFormat="1" ht="21" customHeight="1" x14ac:dyDescent="0.35">
      <c r="A14" s="287"/>
      <c r="B14" s="298"/>
      <c r="C14" s="299" t="s">
        <v>543</v>
      </c>
      <c r="D14" s="299"/>
      <c r="E14" s="300"/>
      <c r="F14" s="24">
        <v>142714</v>
      </c>
      <c r="G14" s="24">
        <f>142713-392</f>
        <v>142321</v>
      </c>
      <c r="H14" s="24">
        <v>142321</v>
      </c>
      <c r="I14" s="24"/>
      <c r="J14" s="24">
        <f>SUM(H14:I14)</f>
        <v>142321</v>
      </c>
      <c r="M14" s="19"/>
    </row>
    <row r="15" spans="1:13" s="288" customFormat="1" ht="21" customHeight="1" x14ac:dyDescent="0.35">
      <c r="A15" s="287"/>
      <c r="B15" s="294" t="s">
        <v>390</v>
      </c>
      <c r="C15" s="294"/>
      <c r="D15" s="294"/>
      <c r="E15" s="295"/>
      <c r="F15" s="23">
        <f>F8+F9+F10+F11+F12</f>
        <v>8405878</v>
      </c>
      <c r="G15" s="23">
        <f>G8+G9+G10+G11+G12</f>
        <v>9056488</v>
      </c>
      <c r="H15" s="23">
        <f>H8+H9+H10+H11+H12</f>
        <v>9102982</v>
      </c>
      <c r="I15" s="23">
        <f>I8+I9+I10+I11+I12</f>
        <v>37299</v>
      </c>
      <c r="J15" s="23">
        <f>J8+J9+J10+J11+J12</f>
        <v>9140281</v>
      </c>
      <c r="M15" s="19"/>
    </row>
    <row r="16" spans="1:13" s="288" customFormat="1" ht="21" customHeight="1" x14ac:dyDescent="0.35">
      <c r="A16" s="287"/>
      <c r="B16" s="288" t="s">
        <v>394</v>
      </c>
      <c r="C16" s="543"/>
      <c r="F16" s="22"/>
      <c r="G16" s="22"/>
      <c r="H16" s="22"/>
      <c r="I16" s="22"/>
      <c r="J16" s="22"/>
      <c r="M16" s="19"/>
    </row>
    <row r="17" spans="1:13" s="288" customFormat="1" ht="21" customHeight="1" x14ac:dyDescent="0.35">
      <c r="A17" s="130"/>
      <c r="B17" s="2"/>
      <c r="C17" s="119" t="s">
        <v>398</v>
      </c>
      <c r="D17" s="119"/>
      <c r="E17" s="297"/>
      <c r="F17" s="24">
        <v>5539</v>
      </c>
      <c r="G17" s="24"/>
      <c r="H17" s="24">
        <v>0</v>
      </c>
      <c r="I17" s="24"/>
      <c r="J17" s="24">
        <f>SUM(H17:I17)</f>
        <v>0</v>
      </c>
      <c r="M17" s="19"/>
    </row>
    <row r="18" spans="1:13" s="288" customFormat="1" ht="21" customHeight="1" x14ac:dyDescent="0.35">
      <c r="A18" s="130"/>
      <c r="B18" s="2"/>
      <c r="C18" s="129" t="s">
        <v>399</v>
      </c>
      <c r="D18" s="129"/>
      <c r="E18" s="301"/>
      <c r="F18" s="24">
        <v>251154</v>
      </c>
      <c r="G18" s="24"/>
      <c r="H18" s="24">
        <v>104947</v>
      </c>
      <c r="I18" s="24">
        <v>85331</v>
      </c>
      <c r="J18" s="24">
        <f>SUM(H18:I18)</f>
        <v>190278</v>
      </c>
      <c r="M18" s="19"/>
    </row>
    <row r="19" spans="1:13" s="288" customFormat="1" ht="21" customHeight="1" x14ac:dyDescent="0.35">
      <c r="A19" s="130"/>
      <c r="B19" s="2"/>
      <c r="C19" s="2" t="s">
        <v>683</v>
      </c>
      <c r="D19" s="2"/>
      <c r="E19" s="626"/>
      <c r="F19" s="27"/>
      <c r="G19" s="27"/>
      <c r="H19" s="27">
        <v>37713</v>
      </c>
      <c r="I19" s="27">
        <v>38186</v>
      </c>
      <c r="J19" s="27">
        <f>SUM(H19:I19)</f>
        <v>75899</v>
      </c>
      <c r="M19" s="19"/>
    </row>
    <row r="20" spans="1:13" s="288" customFormat="1" ht="21" customHeight="1" x14ac:dyDescent="0.35">
      <c r="A20" s="287"/>
      <c r="B20" s="294"/>
      <c r="C20" s="294" t="s">
        <v>392</v>
      </c>
      <c r="D20" s="294"/>
      <c r="E20" s="302"/>
      <c r="F20" s="28">
        <f>SUM(F17:F19)</f>
        <v>256693</v>
      </c>
      <c r="G20" s="28">
        <f t="shared" ref="G20:J20" si="1">SUM(G17:G19)</f>
        <v>0</v>
      </c>
      <c r="H20" s="28">
        <f t="shared" si="1"/>
        <v>142660</v>
      </c>
      <c r="I20" s="28">
        <f t="shared" si="1"/>
        <v>123517</v>
      </c>
      <c r="J20" s="28">
        <f t="shared" si="1"/>
        <v>266177</v>
      </c>
      <c r="M20" s="19"/>
    </row>
    <row r="21" spans="1:13" s="288" customFormat="1" ht="21" customHeight="1" x14ac:dyDescent="0.35">
      <c r="A21" s="287"/>
      <c r="B21" s="290" t="s">
        <v>396</v>
      </c>
      <c r="C21" s="290"/>
      <c r="D21" s="290"/>
      <c r="E21" s="303"/>
      <c r="F21" s="26"/>
      <c r="G21" s="26"/>
      <c r="H21" s="26"/>
      <c r="I21" s="26"/>
      <c r="J21" s="26"/>
      <c r="M21" s="19"/>
    </row>
    <row r="22" spans="1:13" s="288" customFormat="1" ht="21" customHeight="1" x14ac:dyDescent="0.35">
      <c r="A22" s="287"/>
      <c r="B22" s="2"/>
      <c r="C22" s="119" t="s">
        <v>539</v>
      </c>
      <c r="D22" s="119"/>
      <c r="E22" s="297"/>
      <c r="F22" s="24">
        <v>230670</v>
      </c>
      <c r="G22" s="24">
        <v>230670</v>
      </c>
      <c r="H22" s="24">
        <v>230670</v>
      </c>
      <c r="I22" s="24"/>
      <c r="J22" s="24">
        <f>SUM(H22:I22)</f>
        <v>230670</v>
      </c>
      <c r="M22" s="19"/>
    </row>
    <row r="23" spans="1:13" s="288" customFormat="1" ht="45.75" customHeight="1" x14ac:dyDescent="0.35">
      <c r="A23" s="287"/>
      <c r="B23" s="2"/>
      <c r="C23" s="971" t="s">
        <v>540</v>
      </c>
      <c r="D23" s="971"/>
      <c r="E23" s="972"/>
      <c r="F23" s="25">
        <v>188000</v>
      </c>
      <c r="G23" s="25">
        <v>188000</v>
      </c>
      <c r="H23" s="24">
        <v>188000</v>
      </c>
      <c r="I23" s="24"/>
      <c r="J23" s="24">
        <f t="shared" ref="J23:J27" si="2">SUM(H23:I23)</f>
        <v>188000</v>
      </c>
      <c r="M23" s="19"/>
    </row>
    <row r="24" spans="1:13" ht="21" customHeight="1" x14ac:dyDescent="0.35">
      <c r="A24" s="130"/>
      <c r="C24" s="129" t="s">
        <v>391</v>
      </c>
      <c r="D24" s="129"/>
      <c r="E24" s="301"/>
      <c r="F24" s="24">
        <v>318266</v>
      </c>
      <c r="G24" s="24">
        <v>318266</v>
      </c>
      <c r="H24" s="24">
        <v>318266</v>
      </c>
      <c r="I24" s="25"/>
      <c r="J24" s="25">
        <f t="shared" si="2"/>
        <v>318266</v>
      </c>
    </row>
    <row r="25" spans="1:13" ht="40.5" customHeight="1" x14ac:dyDescent="0.35">
      <c r="A25" s="130"/>
      <c r="C25" s="971" t="s">
        <v>560</v>
      </c>
      <c r="D25" s="971"/>
      <c r="E25" s="972"/>
      <c r="F25" s="24">
        <v>157338</v>
      </c>
      <c r="G25" s="24">
        <v>157338</v>
      </c>
      <c r="H25" s="24">
        <v>157338</v>
      </c>
      <c r="I25" s="24"/>
      <c r="J25" s="24">
        <f t="shared" si="2"/>
        <v>157338</v>
      </c>
    </row>
    <row r="26" spans="1:13" ht="21" customHeight="1" x14ac:dyDescent="0.35">
      <c r="A26" s="130"/>
      <c r="C26" s="129" t="s">
        <v>653</v>
      </c>
      <c r="D26" s="129"/>
      <c r="E26" s="301"/>
      <c r="F26" s="24"/>
      <c r="G26" s="24">
        <v>236016</v>
      </c>
      <c r="H26" s="24">
        <v>236016</v>
      </c>
      <c r="I26" s="24"/>
      <c r="J26" s="24">
        <f t="shared" si="2"/>
        <v>236016</v>
      </c>
    </row>
    <row r="27" spans="1:13" x14ac:dyDescent="0.35">
      <c r="A27" s="130"/>
      <c r="C27" s="129" t="s">
        <v>654</v>
      </c>
      <c r="F27" s="27"/>
      <c r="G27" s="27">
        <v>139829</v>
      </c>
      <c r="H27" s="27">
        <v>139829</v>
      </c>
      <c r="I27" s="27"/>
      <c r="J27" s="27">
        <f t="shared" si="2"/>
        <v>139829</v>
      </c>
    </row>
    <row r="28" spans="1:13" s="288" customFormat="1" ht="21" customHeight="1" x14ac:dyDescent="0.35">
      <c r="A28" s="287"/>
      <c r="B28" s="294" t="s">
        <v>395</v>
      </c>
      <c r="C28" s="294"/>
      <c r="D28" s="294"/>
      <c r="E28" s="302"/>
      <c r="F28" s="28">
        <f>SUM(F21:F27)</f>
        <v>894274</v>
      </c>
      <c r="G28" s="28">
        <f>SUM(G21:G27)</f>
        <v>1270119</v>
      </c>
      <c r="H28" s="28">
        <f>SUM(H21:H27)</f>
        <v>1270119</v>
      </c>
      <c r="I28" s="28">
        <f>SUM(I21:I27)</f>
        <v>0</v>
      </c>
      <c r="J28" s="28">
        <f>SUM(J21:J27)</f>
        <v>1270119</v>
      </c>
      <c r="M28" s="19"/>
    </row>
    <row r="29" spans="1:13" s="288" customFormat="1" ht="21" customHeight="1" x14ac:dyDescent="0.35">
      <c r="A29" s="287"/>
      <c r="B29" s="290" t="s">
        <v>48</v>
      </c>
      <c r="C29" s="290"/>
      <c r="D29" s="290"/>
      <c r="E29" s="291"/>
      <c r="F29" s="26"/>
      <c r="G29" s="26"/>
      <c r="H29" s="26"/>
      <c r="I29" s="26"/>
      <c r="J29" s="26"/>
      <c r="M29" s="19"/>
    </row>
    <row r="30" spans="1:13" s="288" customFormat="1" ht="42" customHeight="1" x14ac:dyDescent="0.35">
      <c r="A30" s="304"/>
      <c r="B30" s="55"/>
      <c r="C30" s="305"/>
      <c r="D30" s="305"/>
      <c r="E30" s="306" t="s">
        <v>420</v>
      </c>
      <c r="F30" s="4">
        <v>7300</v>
      </c>
      <c r="G30" s="4"/>
      <c r="H30" s="4">
        <v>2420</v>
      </c>
      <c r="I30" s="4">
        <v>1820</v>
      </c>
      <c r="J30" s="4">
        <f>SUM(H30:I30)</f>
        <v>4240</v>
      </c>
      <c r="M30" s="19"/>
    </row>
    <row r="31" spans="1:13" s="288" customFormat="1" ht="21" customHeight="1" x14ac:dyDescent="0.35">
      <c r="A31" s="287"/>
      <c r="B31" s="292"/>
      <c r="E31" s="55" t="s">
        <v>349</v>
      </c>
      <c r="F31" s="8">
        <v>3137</v>
      </c>
      <c r="G31" s="8"/>
      <c r="H31" s="8">
        <v>0</v>
      </c>
      <c r="I31" s="8"/>
      <c r="J31" s="8">
        <f>SUM(H31:I31)</f>
        <v>0</v>
      </c>
      <c r="M31" s="19"/>
    </row>
    <row r="32" spans="1:13" s="288" customFormat="1" ht="21" customHeight="1" x14ac:dyDescent="0.35">
      <c r="A32" s="287"/>
      <c r="B32" s="307" t="s">
        <v>258</v>
      </c>
      <c r="C32" s="294"/>
      <c r="D32" s="294"/>
      <c r="E32" s="308"/>
      <c r="F32" s="28">
        <f>SUM(F30:F31)</f>
        <v>10437</v>
      </c>
      <c r="G32" s="28">
        <f>SUM(G30:G31)</f>
        <v>0</v>
      </c>
      <c r="H32" s="28">
        <f>SUM(H30:H31)</f>
        <v>2420</v>
      </c>
      <c r="I32" s="28">
        <f>SUM(I30:I31)</f>
        <v>1820</v>
      </c>
      <c r="J32" s="28">
        <f>SUM(J30:J31)</f>
        <v>4240</v>
      </c>
      <c r="M32" s="19"/>
    </row>
    <row r="33" spans="1:13" s="288" customFormat="1" ht="21" customHeight="1" x14ac:dyDescent="0.35">
      <c r="A33" s="309" t="s">
        <v>341</v>
      </c>
      <c r="C33" s="290"/>
      <c r="D33" s="290"/>
      <c r="E33" s="291"/>
      <c r="F33" s="26">
        <f>F15+F20+F28+F32</f>
        <v>9567282</v>
      </c>
      <c r="G33" s="26">
        <f>G15+G20+G28+G32</f>
        <v>10326607</v>
      </c>
      <c r="H33" s="26">
        <f>H15+H20+H28+H32</f>
        <v>10518181</v>
      </c>
      <c r="I33" s="26">
        <f>I15+I20+I28+I32</f>
        <v>162636</v>
      </c>
      <c r="J33" s="26">
        <f>J15+J20+J28+J32</f>
        <v>10680817</v>
      </c>
      <c r="M33" s="19"/>
    </row>
    <row r="34" spans="1:13" ht="21" customHeight="1" x14ac:dyDescent="0.35">
      <c r="A34" s="287"/>
      <c r="B34" s="290" t="s">
        <v>260</v>
      </c>
      <c r="C34" s="290"/>
      <c r="D34" s="290"/>
      <c r="E34" s="291"/>
      <c r="F34" s="29"/>
      <c r="G34" s="29"/>
      <c r="H34" s="29"/>
      <c r="I34" s="29"/>
      <c r="J34" s="29"/>
    </row>
    <row r="35" spans="1:13" ht="21" customHeight="1" x14ac:dyDescent="0.35">
      <c r="A35" s="130"/>
      <c r="C35" s="3" t="s">
        <v>669</v>
      </c>
      <c r="D35" s="3"/>
      <c r="E35" s="310"/>
      <c r="F35" s="8"/>
      <c r="G35" s="8"/>
      <c r="H35" s="8"/>
      <c r="I35" s="8">
        <v>8550</v>
      </c>
      <c r="J35" s="8">
        <f>SUM(H35:I35)</f>
        <v>8550</v>
      </c>
    </row>
    <row r="36" spans="1:13" ht="21" customHeight="1" thickBot="1" x14ac:dyDescent="0.4">
      <c r="A36" s="287"/>
      <c r="B36" s="311" t="s">
        <v>259</v>
      </c>
      <c r="C36" s="311"/>
      <c r="D36" s="311"/>
      <c r="E36" s="312"/>
      <c r="F36" s="30">
        <f>SUM(F35)</f>
        <v>0</v>
      </c>
      <c r="G36" s="30">
        <f>SUM(G35)</f>
        <v>0</v>
      </c>
      <c r="H36" s="30">
        <f>SUM(H35)</f>
        <v>0</v>
      </c>
      <c r="I36" s="30">
        <f>SUM(I35)</f>
        <v>8550</v>
      </c>
      <c r="J36" s="30">
        <f>SUM(J35)</f>
        <v>8550</v>
      </c>
    </row>
    <row r="37" spans="1:13" ht="21" customHeight="1" thickBot="1" x14ac:dyDescent="0.4">
      <c r="A37" s="285" t="s">
        <v>261</v>
      </c>
      <c r="B37" s="313" t="s">
        <v>25</v>
      </c>
      <c r="C37" s="283"/>
      <c r="D37" s="283"/>
      <c r="E37" s="283"/>
      <c r="F37" s="31">
        <f>F33+F36</f>
        <v>9567282</v>
      </c>
      <c r="G37" s="31">
        <f>G33+G36</f>
        <v>10326607</v>
      </c>
      <c r="H37" s="31">
        <f>H33+H36</f>
        <v>10518181</v>
      </c>
      <c r="I37" s="31">
        <f>I33+I36</f>
        <v>171186</v>
      </c>
      <c r="J37" s="31">
        <f>J33+J36</f>
        <v>10689367</v>
      </c>
    </row>
    <row r="38" spans="1:13" ht="21" customHeight="1" x14ac:dyDescent="0.35">
      <c r="A38" s="285"/>
      <c r="B38" s="617"/>
      <c r="C38" s="617" t="s">
        <v>257</v>
      </c>
      <c r="D38" s="617"/>
      <c r="E38" s="617"/>
      <c r="F38" s="618"/>
      <c r="G38" s="618"/>
      <c r="H38" s="618"/>
      <c r="I38" s="618"/>
      <c r="J38" s="618">
        <f>SUM(H38:I38)</f>
        <v>0</v>
      </c>
      <c r="M38" s="19"/>
    </row>
    <row r="39" spans="1:13" ht="21" customHeight="1" thickBot="1" x14ac:dyDescent="0.4">
      <c r="A39" s="285"/>
      <c r="B39" s="313"/>
      <c r="C39" s="119" t="s">
        <v>676</v>
      </c>
      <c r="D39" s="283"/>
      <c r="E39" s="283"/>
      <c r="F39" s="31"/>
      <c r="G39" s="31"/>
      <c r="H39" s="31">
        <v>40279</v>
      </c>
      <c r="I39" s="31"/>
      <c r="J39" s="31">
        <f>SUM(H39:I39)</f>
        <v>40279</v>
      </c>
      <c r="M39" s="19"/>
    </row>
    <row r="40" spans="1:13" ht="21.75" thickBot="1" x14ac:dyDescent="0.4">
      <c r="A40" s="285" t="s">
        <v>262</v>
      </c>
      <c r="B40" s="135" t="s">
        <v>45</v>
      </c>
      <c r="C40" s="314"/>
      <c r="D40" s="314"/>
      <c r="E40" s="314"/>
      <c r="F40" s="11">
        <f>SUM(F38:F39)</f>
        <v>0</v>
      </c>
      <c r="G40" s="11">
        <f t="shared" ref="G40:J40" si="3">SUM(G38:G39)</f>
        <v>0</v>
      </c>
      <c r="H40" s="11">
        <f t="shared" si="3"/>
        <v>40279</v>
      </c>
      <c r="I40" s="11">
        <f t="shared" si="3"/>
        <v>0</v>
      </c>
      <c r="J40" s="11">
        <f t="shared" si="3"/>
        <v>40279</v>
      </c>
    </row>
    <row r="41" spans="1:13" x14ac:dyDescent="0.35">
      <c r="A41" s="130"/>
      <c r="C41" s="119" t="s">
        <v>366</v>
      </c>
      <c r="D41" s="129"/>
      <c r="E41" s="301"/>
      <c r="F41" s="4">
        <v>75519</v>
      </c>
      <c r="G41" s="4">
        <f>302075+55733</f>
        <v>357808</v>
      </c>
      <c r="H41" s="4">
        <v>0</v>
      </c>
      <c r="I41" s="4"/>
      <c r="J41" s="4">
        <f>SUM(H41:I41)</f>
        <v>0</v>
      </c>
    </row>
    <row r="42" spans="1:13" x14ac:dyDescent="0.35">
      <c r="A42" s="130"/>
      <c r="C42" s="119" t="s">
        <v>367</v>
      </c>
      <c r="D42" s="129"/>
      <c r="E42" s="301"/>
      <c r="F42" s="6">
        <v>13250</v>
      </c>
      <c r="G42" s="6">
        <f>53000+30487</f>
        <v>83487</v>
      </c>
      <c r="H42" s="6">
        <v>0</v>
      </c>
      <c r="I42" s="6"/>
      <c r="J42" s="6">
        <f t="shared" ref="J42:J57" si="4">SUM(H42:I42)</f>
        <v>0</v>
      </c>
    </row>
    <row r="43" spans="1:13" x14ac:dyDescent="0.35">
      <c r="A43" s="130"/>
      <c r="C43" s="119" t="s">
        <v>684</v>
      </c>
      <c r="D43" s="129"/>
      <c r="E43" s="301"/>
      <c r="F43" s="4"/>
      <c r="G43" s="4"/>
      <c r="H43" s="4">
        <v>492225</v>
      </c>
      <c r="I43" s="4">
        <v>20138</v>
      </c>
      <c r="J43" s="4">
        <f t="shared" si="4"/>
        <v>512363</v>
      </c>
    </row>
    <row r="44" spans="1:13" x14ac:dyDescent="0.35">
      <c r="A44" s="287"/>
      <c r="B44" s="119"/>
      <c r="C44" s="129" t="s">
        <v>567</v>
      </c>
      <c r="D44" s="301"/>
      <c r="E44" s="315"/>
      <c r="F44" s="4">
        <v>25</v>
      </c>
      <c r="G44" s="4"/>
      <c r="H44" s="4">
        <v>0</v>
      </c>
      <c r="I44" s="4"/>
      <c r="J44" s="4">
        <f t="shared" si="4"/>
        <v>0</v>
      </c>
    </row>
    <row r="45" spans="1:13" x14ac:dyDescent="0.35">
      <c r="A45" s="130"/>
      <c r="B45" s="288"/>
      <c r="C45" s="119" t="s">
        <v>568</v>
      </c>
      <c r="D45" s="129"/>
      <c r="E45" s="316"/>
      <c r="F45" s="4">
        <v>1000</v>
      </c>
      <c r="G45" s="4"/>
      <c r="H45" s="4">
        <v>0</v>
      </c>
      <c r="I45" s="4"/>
      <c r="J45" s="4">
        <f t="shared" si="4"/>
        <v>0</v>
      </c>
    </row>
    <row r="46" spans="1:13" ht="44.25" customHeight="1" x14ac:dyDescent="0.35">
      <c r="A46" s="130"/>
      <c r="B46" s="288"/>
      <c r="C46" s="971" t="s">
        <v>569</v>
      </c>
      <c r="D46" s="971"/>
      <c r="E46" s="972"/>
      <c r="F46" s="4">
        <v>19144</v>
      </c>
      <c r="G46" s="4"/>
      <c r="H46" s="4">
        <v>0</v>
      </c>
      <c r="I46" s="4"/>
      <c r="J46" s="4">
        <f t="shared" si="4"/>
        <v>0</v>
      </c>
    </row>
    <row r="47" spans="1:13" x14ac:dyDescent="0.35">
      <c r="A47" s="130"/>
      <c r="B47" s="288"/>
      <c r="C47" s="119" t="s">
        <v>376</v>
      </c>
      <c r="D47" s="151"/>
      <c r="E47" s="119"/>
      <c r="F47" s="4">
        <v>13406</v>
      </c>
      <c r="G47" s="4"/>
      <c r="H47" s="4">
        <v>5480</v>
      </c>
      <c r="I47" s="4">
        <v>4974</v>
      </c>
      <c r="J47" s="4">
        <f t="shared" si="4"/>
        <v>10454</v>
      </c>
    </row>
    <row r="48" spans="1:13" x14ac:dyDescent="0.35">
      <c r="A48" s="130"/>
      <c r="B48" s="288"/>
      <c r="C48" s="119" t="s">
        <v>491</v>
      </c>
      <c r="D48" s="151"/>
      <c r="E48" s="119"/>
      <c r="F48" s="4">
        <v>23860</v>
      </c>
      <c r="G48" s="4">
        <v>23860</v>
      </c>
      <c r="H48" s="4">
        <v>23860</v>
      </c>
      <c r="I48" s="4"/>
      <c r="J48" s="4">
        <f t="shared" si="4"/>
        <v>23860</v>
      </c>
    </row>
    <row r="49" spans="1:13" x14ac:dyDescent="0.35">
      <c r="A49" s="130"/>
      <c r="B49" s="288"/>
      <c r="C49" s="119" t="s">
        <v>566</v>
      </c>
      <c r="D49" s="151"/>
      <c r="E49" s="119"/>
      <c r="F49" s="4"/>
      <c r="G49" s="4">
        <v>40279</v>
      </c>
      <c r="H49" s="4">
        <v>0</v>
      </c>
      <c r="I49" s="4"/>
      <c r="J49" s="4">
        <f t="shared" si="4"/>
        <v>0</v>
      </c>
      <c r="K49" s="3"/>
    </row>
    <row r="50" spans="1:13" x14ac:dyDescent="0.35">
      <c r="A50" s="130"/>
      <c r="B50" s="288"/>
      <c r="C50" s="119" t="s">
        <v>642</v>
      </c>
      <c r="D50" s="151"/>
      <c r="E50" s="119"/>
      <c r="F50" s="4"/>
      <c r="G50" s="4">
        <v>700000</v>
      </c>
      <c r="H50" s="4">
        <v>700000</v>
      </c>
      <c r="I50" s="4"/>
      <c r="J50" s="4">
        <f t="shared" si="4"/>
        <v>700000</v>
      </c>
    </row>
    <row r="51" spans="1:13" x14ac:dyDescent="0.35">
      <c r="A51" s="130"/>
      <c r="B51" s="288"/>
      <c r="C51" s="119" t="s">
        <v>722</v>
      </c>
      <c r="D51" s="151"/>
      <c r="E51" s="119"/>
      <c r="F51" s="4"/>
      <c r="G51" s="4"/>
      <c r="H51" s="4"/>
      <c r="I51" s="4">
        <v>1606296</v>
      </c>
      <c r="J51" s="4">
        <f t="shared" si="4"/>
        <v>1606296</v>
      </c>
    </row>
    <row r="52" spans="1:13" x14ac:dyDescent="0.35">
      <c r="A52" s="130"/>
      <c r="B52" s="288"/>
      <c r="C52" s="301" t="s">
        <v>562</v>
      </c>
      <c r="D52" s="634"/>
      <c r="E52" s="136"/>
      <c r="F52" s="6"/>
      <c r="G52" s="6">
        <v>250000</v>
      </c>
      <c r="H52" s="6">
        <v>0</v>
      </c>
      <c r="I52" s="6"/>
      <c r="J52" s="6">
        <f t="shared" si="4"/>
        <v>0</v>
      </c>
    </row>
    <row r="53" spans="1:13" x14ac:dyDescent="0.35">
      <c r="A53" s="130"/>
      <c r="B53" s="288"/>
      <c r="D53" s="297" t="s">
        <v>672</v>
      </c>
      <c r="E53" s="305"/>
      <c r="F53" s="4">
        <v>85612</v>
      </c>
      <c r="G53" s="4"/>
      <c r="H53" s="4">
        <v>100000</v>
      </c>
      <c r="I53" s="4"/>
      <c r="J53" s="4">
        <f t="shared" si="4"/>
        <v>100000</v>
      </c>
    </row>
    <row r="54" spans="1:13" x14ac:dyDescent="0.35">
      <c r="A54" s="130"/>
      <c r="B54" s="288"/>
      <c r="D54" s="297" t="s">
        <v>673</v>
      </c>
      <c r="E54" s="305"/>
      <c r="F54" s="4">
        <v>64388</v>
      </c>
      <c r="G54" s="4"/>
      <c r="H54" s="4">
        <v>78650</v>
      </c>
      <c r="I54" s="4"/>
      <c r="J54" s="4">
        <f t="shared" si="4"/>
        <v>78650</v>
      </c>
    </row>
    <row r="55" spans="1:13" x14ac:dyDescent="0.35">
      <c r="A55" s="130"/>
      <c r="B55" s="288"/>
      <c r="D55" s="297" t="s">
        <v>674</v>
      </c>
      <c r="E55" s="305"/>
      <c r="F55" s="4"/>
      <c r="G55" s="4"/>
      <c r="H55" s="4">
        <v>67000</v>
      </c>
      <c r="I55" s="4"/>
      <c r="J55" s="4">
        <f t="shared" si="4"/>
        <v>67000</v>
      </c>
    </row>
    <row r="56" spans="1:13" x14ac:dyDescent="0.35">
      <c r="A56" s="130"/>
      <c r="B56" s="288"/>
      <c r="D56" s="297" t="s">
        <v>675</v>
      </c>
      <c r="E56" s="305"/>
      <c r="F56" s="4"/>
      <c r="G56" s="4"/>
      <c r="H56" s="4">
        <v>5000</v>
      </c>
      <c r="I56" s="4"/>
      <c r="J56" s="4">
        <f t="shared" si="4"/>
        <v>5000</v>
      </c>
    </row>
    <row r="57" spans="1:13" ht="21.75" thickBot="1" x14ac:dyDescent="0.4">
      <c r="A57" s="130"/>
      <c r="B57" s="288"/>
      <c r="C57" s="119"/>
      <c r="D57" s="151" t="s">
        <v>570</v>
      </c>
      <c r="E57" s="305"/>
      <c r="F57" s="8">
        <v>100000</v>
      </c>
      <c r="G57" s="8"/>
      <c r="H57" s="8">
        <v>0</v>
      </c>
      <c r="I57" s="8"/>
      <c r="J57" s="8">
        <f t="shared" si="4"/>
        <v>0</v>
      </c>
    </row>
    <row r="58" spans="1:13" ht="21" customHeight="1" thickBot="1" x14ac:dyDescent="0.4">
      <c r="A58" s="285" t="s">
        <v>263</v>
      </c>
      <c r="B58" s="318" t="s">
        <v>44</v>
      </c>
      <c r="C58" s="318"/>
      <c r="D58" s="318"/>
      <c r="E58" s="318"/>
      <c r="F58" s="15">
        <f>SUM(F41:F57)</f>
        <v>396204</v>
      </c>
      <c r="G58" s="15">
        <f>SUM(G41:G57)</f>
        <v>1455434</v>
      </c>
      <c r="H58" s="15">
        <f>SUM(H41:H57)</f>
        <v>1472215</v>
      </c>
      <c r="I58" s="15">
        <f>SUM(I41:I57)</f>
        <v>1631408</v>
      </c>
      <c r="J58" s="15">
        <f>SUM(J41:J57)</f>
        <v>3103623</v>
      </c>
    </row>
    <row r="59" spans="1:13" s="45" customFormat="1" ht="21" customHeight="1" thickBot="1" x14ac:dyDescent="0.4">
      <c r="A59" s="319" t="s">
        <v>264</v>
      </c>
      <c r="B59" s="320"/>
      <c r="C59" s="321"/>
      <c r="D59" s="321"/>
      <c r="E59" s="321"/>
      <c r="F59" s="32">
        <f>F37+F40+F58</f>
        <v>9963486</v>
      </c>
      <c r="G59" s="32">
        <f>G37+G40+G58</f>
        <v>11782041</v>
      </c>
      <c r="H59" s="32">
        <f>H37+H40+H58</f>
        <v>12030675</v>
      </c>
      <c r="I59" s="32">
        <f>I37+I40+I58</f>
        <v>1802594</v>
      </c>
      <c r="J59" s="32">
        <f>J37+J40+J58</f>
        <v>13833269</v>
      </c>
      <c r="M59" s="17"/>
    </row>
    <row r="60" spans="1:13" ht="21" customHeight="1" x14ac:dyDescent="0.35">
      <c r="A60" s="322" t="s">
        <v>100</v>
      </c>
      <c r="B60" s="323"/>
      <c r="C60" s="323"/>
      <c r="D60" s="323"/>
      <c r="E60" s="324"/>
      <c r="F60" s="33"/>
      <c r="G60" s="33"/>
      <c r="H60" s="33"/>
      <c r="I60" s="33"/>
      <c r="J60" s="33"/>
    </row>
    <row r="61" spans="1:13" ht="21" customHeight="1" x14ac:dyDescent="0.35">
      <c r="A61" s="285"/>
      <c r="B61" s="288" t="s">
        <v>22</v>
      </c>
      <c r="C61" s="288"/>
      <c r="D61" s="288"/>
      <c r="E61" s="325"/>
      <c r="F61" s="34"/>
      <c r="G61" s="34"/>
      <c r="H61" s="34"/>
      <c r="I61" s="34"/>
      <c r="J61" s="34"/>
    </row>
    <row r="62" spans="1:13" ht="21" customHeight="1" x14ac:dyDescent="0.35">
      <c r="A62" s="130"/>
      <c r="C62" s="119" t="s">
        <v>183</v>
      </c>
      <c r="D62" s="119"/>
      <c r="E62" s="297"/>
      <c r="F62" s="4">
        <v>1070</v>
      </c>
      <c r="G62" s="4"/>
      <c r="H62" s="4">
        <v>0</v>
      </c>
      <c r="I62" s="4"/>
      <c r="J62" s="4">
        <f>SUM(H62:I62)</f>
        <v>0</v>
      </c>
    </row>
    <row r="63" spans="1:13" ht="21" customHeight="1" x14ac:dyDescent="0.35">
      <c r="A63" s="285"/>
      <c r="B63" s="288" t="s">
        <v>23</v>
      </c>
      <c r="C63" s="288"/>
      <c r="D63" s="288"/>
      <c r="E63" s="325"/>
      <c r="F63" s="9"/>
      <c r="G63" s="9"/>
      <c r="H63" s="9"/>
      <c r="I63" s="9"/>
      <c r="J63" s="9">
        <f t="shared" ref="J63:J72" si="5">SUM(H63:I63)</f>
        <v>0</v>
      </c>
    </row>
    <row r="64" spans="1:13" ht="21" customHeight="1" x14ac:dyDescent="0.35">
      <c r="A64" s="130"/>
      <c r="C64" s="119" t="s">
        <v>156</v>
      </c>
      <c r="D64" s="119"/>
      <c r="E64" s="151"/>
      <c r="F64" s="4">
        <v>2845187</v>
      </c>
      <c r="G64" s="4">
        <f>2535000+200000+50000-50000</f>
        <v>2735000</v>
      </c>
      <c r="H64" s="4">
        <v>2735000</v>
      </c>
      <c r="I64" s="4"/>
      <c r="J64" s="4">
        <f t="shared" si="5"/>
        <v>2735000</v>
      </c>
    </row>
    <row r="65" spans="1:10" ht="21" customHeight="1" x14ac:dyDescent="0.35">
      <c r="A65" s="285"/>
      <c r="B65" s="288" t="s">
        <v>21</v>
      </c>
      <c r="C65" s="288"/>
      <c r="D65" s="288"/>
      <c r="E65" s="325"/>
      <c r="F65" s="9"/>
      <c r="G65" s="9"/>
      <c r="H65" s="9"/>
      <c r="I65" s="9"/>
      <c r="J65" s="9">
        <f t="shared" si="5"/>
        <v>0</v>
      </c>
    </row>
    <row r="66" spans="1:10" ht="21" customHeight="1" x14ac:dyDescent="0.35">
      <c r="A66" s="130"/>
      <c r="C66" s="119" t="s">
        <v>184</v>
      </c>
      <c r="D66" s="119"/>
      <c r="E66" s="151"/>
      <c r="F66" s="4">
        <v>13287493</v>
      </c>
      <c r="G66" s="4">
        <f>11717000+483000</f>
        <v>12200000</v>
      </c>
      <c r="H66" s="4">
        <v>12200000</v>
      </c>
      <c r="I66" s="4"/>
      <c r="J66" s="4">
        <f t="shared" si="5"/>
        <v>12200000</v>
      </c>
    </row>
    <row r="67" spans="1:10" ht="21" customHeight="1" x14ac:dyDescent="0.35">
      <c r="A67" s="130"/>
      <c r="C67" s="129" t="s">
        <v>3</v>
      </c>
      <c r="D67" s="129"/>
      <c r="E67" s="132"/>
      <c r="F67" s="4">
        <v>32112</v>
      </c>
      <c r="G67" s="4">
        <v>30000</v>
      </c>
      <c r="H67" s="4">
        <v>30000</v>
      </c>
      <c r="I67" s="4"/>
      <c r="J67" s="4">
        <f t="shared" si="5"/>
        <v>30000</v>
      </c>
    </row>
    <row r="68" spans="1:10" ht="21" customHeight="1" x14ac:dyDescent="0.35">
      <c r="A68" s="285"/>
      <c r="B68" s="288" t="s">
        <v>24</v>
      </c>
      <c r="C68" s="288"/>
      <c r="D68" s="288"/>
      <c r="E68" s="325"/>
      <c r="F68" s="9"/>
      <c r="G68" s="9"/>
      <c r="H68" s="8"/>
      <c r="I68" s="8"/>
      <c r="J68" s="8">
        <f t="shared" si="5"/>
        <v>0</v>
      </c>
    </row>
    <row r="69" spans="1:10" ht="21" customHeight="1" x14ac:dyDescent="0.35">
      <c r="A69" s="130"/>
      <c r="C69" s="119" t="s">
        <v>17</v>
      </c>
      <c r="D69" s="119"/>
      <c r="E69" s="151"/>
      <c r="F69" s="4">
        <v>28890</v>
      </c>
      <c r="G69" s="4">
        <v>25000</v>
      </c>
      <c r="H69" s="4">
        <v>25000</v>
      </c>
      <c r="I69" s="4"/>
      <c r="J69" s="4">
        <f t="shared" si="5"/>
        <v>25000</v>
      </c>
    </row>
    <row r="70" spans="1:10" ht="21" customHeight="1" x14ac:dyDescent="0.35">
      <c r="A70" s="130"/>
      <c r="C70" s="129" t="s">
        <v>10</v>
      </c>
      <c r="D70" s="129"/>
      <c r="E70" s="129"/>
      <c r="F70" s="4">
        <v>1094</v>
      </c>
      <c r="G70" s="4">
        <v>1000</v>
      </c>
      <c r="H70" s="4">
        <v>1000</v>
      </c>
      <c r="I70" s="4"/>
      <c r="J70" s="4">
        <f t="shared" si="5"/>
        <v>1000</v>
      </c>
    </row>
    <row r="71" spans="1:10" ht="21" customHeight="1" x14ac:dyDescent="0.35">
      <c r="A71" s="130"/>
      <c r="C71" s="129" t="s">
        <v>571</v>
      </c>
      <c r="D71" s="129"/>
      <c r="E71" s="136"/>
      <c r="F71" s="4">
        <v>200</v>
      </c>
      <c r="G71" s="4"/>
      <c r="H71" s="4">
        <v>0</v>
      </c>
      <c r="I71" s="4"/>
      <c r="J71" s="4">
        <f t="shared" si="5"/>
        <v>0</v>
      </c>
    </row>
    <row r="72" spans="1:10" ht="21" customHeight="1" x14ac:dyDescent="0.35">
      <c r="A72" s="130"/>
      <c r="C72" s="2" t="s">
        <v>49</v>
      </c>
      <c r="E72" s="129"/>
      <c r="F72" s="4">
        <v>8219</v>
      </c>
      <c r="G72" s="4"/>
      <c r="H72" s="4">
        <v>2026</v>
      </c>
      <c r="I72" s="4">
        <v>3996</v>
      </c>
      <c r="J72" s="4">
        <f t="shared" si="5"/>
        <v>6022</v>
      </c>
    </row>
    <row r="73" spans="1:10" ht="21" customHeight="1" thickBot="1" x14ac:dyDescent="0.4">
      <c r="A73" s="319" t="s">
        <v>162</v>
      </c>
      <c r="B73" s="320"/>
      <c r="C73" s="321"/>
      <c r="D73" s="321"/>
      <c r="E73" s="321"/>
      <c r="F73" s="32">
        <f>SUM(F62:F72)</f>
        <v>16204265</v>
      </c>
      <c r="G73" s="32">
        <f t="shared" ref="G73:J73" si="6">SUM(G62:G72)</f>
        <v>14991000</v>
      </c>
      <c r="H73" s="32">
        <f t="shared" si="6"/>
        <v>14993026</v>
      </c>
      <c r="I73" s="32">
        <f t="shared" si="6"/>
        <v>3996</v>
      </c>
      <c r="J73" s="32">
        <f t="shared" si="6"/>
        <v>14997022</v>
      </c>
    </row>
    <row r="74" spans="1:10" ht="21" customHeight="1" x14ac:dyDescent="0.35">
      <c r="A74" s="285" t="s">
        <v>14</v>
      </c>
      <c r="B74" s="325"/>
      <c r="C74" s="325"/>
      <c r="D74" s="325"/>
      <c r="E74" s="326"/>
      <c r="F74" s="34"/>
      <c r="G74" s="34"/>
      <c r="H74" s="34"/>
      <c r="I74" s="34"/>
      <c r="J74" s="34"/>
    </row>
    <row r="75" spans="1:10" ht="21" customHeight="1" x14ac:dyDescent="0.35">
      <c r="A75" s="285"/>
      <c r="B75" s="325" t="s">
        <v>649</v>
      </c>
      <c r="C75" s="325"/>
      <c r="D75" s="325"/>
      <c r="E75" s="325"/>
      <c r="F75" s="34"/>
      <c r="G75" s="34"/>
      <c r="H75" s="34"/>
      <c r="I75" s="34"/>
      <c r="J75" s="34"/>
    </row>
    <row r="76" spans="1:10" ht="21" customHeight="1" x14ac:dyDescent="0.35">
      <c r="A76" s="130"/>
      <c r="E76" s="329" t="s">
        <v>371</v>
      </c>
      <c r="F76" s="542">
        <v>677325</v>
      </c>
      <c r="G76" s="542">
        <f>665000+12000</f>
        <v>677000</v>
      </c>
      <c r="H76" s="542">
        <v>677000</v>
      </c>
      <c r="I76" s="542"/>
      <c r="J76" s="542">
        <f>SUM(H76:I76)</f>
        <v>677000</v>
      </c>
    </row>
    <row r="77" spans="1:10" ht="21" customHeight="1" x14ac:dyDescent="0.35">
      <c r="A77" s="130"/>
      <c r="E77" s="328" t="s">
        <v>185</v>
      </c>
      <c r="F77" s="542">
        <v>25261</v>
      </c>
      <c r="G77" s="542">
        <v>9000</v>
      </c>
      <c r="H77" s="542">
        <v>9000</v>
      </c>
      <c r="I77" s="542"/>
      <c r="J77" s="542">
        <f t="shared" ref="J77:J110" si="7">SUM(H77:I77)</f>
        <v>9000</v>
      </c>
    </row>
    <row r="78" spans="1:10" ht="21" customHeight="1" x14ac:dyDescent="0.35">
      <c r="A78" s="130"/>
      <c r="E78" s="328" t="s">
        <v>78</v>
      </c>
      <c r="F78" s="542">
        <v>2479</v>
      </c>
      <c r="G78" s="542">
        <v>2700</v>
      </c>
      <c r="H78" s="542">
        <v>2700</v>
      </c>
      <c r="I78" s="542"/>
      <c r="J78" s="542">
        <f t="shared" si="7"/>
        <v>2700</v>
      </c>
    </row>
    <row r="79" spans="1:10" ht="21" customHeight="1" x14ac:dyDescent="0.35">
      <c r="A79" s="130"/>
      <c r="E79" s="328" t="s">
        <v>77</v>
      </c>
      <c r="F79" s="542">
        <v>810894</v>
      </c>
      <c r="G79" s="542">
        <v>700000</v>
      </c>
      <c r="H79" s="542">
        <v>700000</v>
      </c>
      <c r="I79" s="542"/>
      <c r="J79" s="542">
        <f t="shared" si="7"/>
        <v>700000</v>
      </c>
    </row>
    <row r="80" spans="1:10" ht="21" customHeight="1" x14ac:dyDescent="0.35">
      <c r="A80" s="130"/>
      <c r="E80" s="328" t="s">
        <v>148</v>
      </c>
      <c r="F80" s="542">
        <v>33152</v>
      </c>
      <c r="G80" s="542">
        <v>17000</v>
      </c>
      <c r="H80" s="542">
        <v>17000</v>
      </c>
      <c r="I80" s="542"/>
      <c r="J80" s="542">
        <f t="shared" si="7"/>
        <v>17000</v>
      </c>
    </row>
    <row r="81" spans="1:10" ht="21" customHeight="1" x14ac:dyDescent="0.35">
      <c r="A81" s="130"/>
      <c r="E81" s="328" t="s">
        <v>141</v>
      </c>
      <c r="F81" s="542">
        <v>3440</v>
      </c>
      <c r="G81" s="542">
        <v>1700</v>
      </c>
      <c r="H81" s="542">
        <v>1700</v>
      </c>
      <c r="I81" s="542"/>
      <c r="J81" s="542">
        <f t="shared" si="7"/>
        <v>1700</v>
      </c>
    </row>
    <row r="82" spans="1:10" ht="21" customHeight="1" x14ac:dyDescent="0.35">
      <c r="A82" s="130"/>
      <c r="E82" s="329" t="s">
        <v>85</v>
      </c>
      <c r="F82" s="542">
        <v>115354</v>
      </c>
      <c r="G82" s="542"/>
      <c r="H82" s="542">
        <v>1189278</v>
      </c>
      <c r="I82" s="542"/>
      <c r="J82" s="542">
        <f t="shared" si="7"/>
        <v>1189278</v>
      </c>
    </row>
    <row r="83" spans="1:10" ht="21" customHeight="1" x14ac:dyDescent="0.35">
      <c r="A83" s="130"/>
      <c r="B83" s="288" t="s">
        <v>661</v>
      </c>
      <c r="E83" s="329"/>
      <c r="F83" s="4"/>
      <c r="G83" s="4"/>
      <c r="H83" s="4"/>
      <c r="I83" s="4"/>
      <c r="J83" s="4">
        <f t="shared" si="7"/>
        <v>0</v>
      </c>
    </row>
    <row r="84" spans="1:10" ht="21.75" customHeight="1" x14ac:dyDescent="0.35">
      <c r="A84" s="130"/>
      <c r="E84" s="119" t="s">
        <v>534</v>
      </c>
      <c r="F84" s="4">
        <v>17950</v>
      </c>
      <c r="G84" s="4">
        <v>17950</v>
      </c>
      <c r="H84" s="4">
        <v>17950</v>
      </c>
      <c r="I84" s="4"/>
      <c r="J84" s="4">
        <f t="shared" si="7"/>
        <v>17950</v>
      </c>
    </row>
    <row r="85" spans="1:10" ht="21" customHeight="1" x14ac:dyDescent="0.35">
      <c r="A85" s="130"/>
      <c r="E85" s="327" t="s">
        <v>541</v>
      </c>
      <c r="F85" s="4">
        <v>68400</v>
      </c>
      <c r="G85" s="4">
        <v>68400</v>
      </c>
      <c r="H85" s="4">
        <v>68400</v>
      </c>
      <c r="I85" s="4"/>
      <c r="J85" s="4">
        <f t="shared" si="7"/>
        <v>68400</v>
      </c>
    </row>
    <row r="86" spans="1:10" ht="21" customHeight="1" x14ac:dyDescent="0.35">
      <c r="A86" s="130"/>
      <c r="E86" s="129" t="s">
        <v>544</v>
      </c>
      <c r="F86" s="4">
        <v>860</v>
      </c>
      <c r="G86" s="4"/>
      <c r="H86" s="4">
        <v>0</v>
      </c>
      <c r="I86" s="4"/>
      <c r="J86" s="4">
        <f t="shared" si="7"/>
        <v>0</v>
      </c>
    </row>
    <row r="87" spans="1:10" x14ac:dyDescent="0.35">
      <c r="A87" s="130"/>
      <c r="E87" s="129" t="s">
        <v>111</v>
      </c>
      <c r="F87" s="4">
        <v>11837</v>
      </c>
      <c r="G87" s="4">
        <v>9000</v>
      </c>
      <c r="H87" s="4">
        <v>9000</v>
      </c>
      <c r="I87" s="4"/>
      <c r="J87" s="4">
        <f t="shared" si="7"/>
        <v>9000</v>
      </c>
    </row>
    <row r="88" spans="1:10" ht="21" customHeight="1" x14ac:dyDescent="0.35">
      <c r="A88" s="130"/>
      <c r="E88" s="119" t="s">
        <v>377</v>
      </c>
      <c r="F88" s="4">
        <v>49563</v>
      </c>
      <c r="G88" s="4"/>
      <c r="H88" s="4">
        <v>20134</v>
      </c>
      <c r="I88" s="4">
        <v>21764</v>
      </c>
      <c r="J88" s="4">
        <f t="shared" si="7"/>
        <v>41898</v>
      </c>
    </row>
    <row r="89" spans="1:10" ht="21" customHeight="1" x14ac:dyDescent="0.35">
      <c r="A89" s="130"/>
      <c r="E89" s="119" t="s">
        <v>400</v>
      </c>
      <c r="F89" s="4">
        <v>1056</v>
      </c>
      <c r="G89" s="4"/>
      <c r="H89" s="4">
        <v>1594</v>
      </c>
      <c r="I89" s="4">
        <v>736</v>
      </c>
      <c r="J89" s="4">
        <f t="shared" si="7"/>
        <v>2330</v>
      </c>
    </row>
    <row r="90" spans="1:10" ht="21" customHeight="1" x14ac:dyDescent="0.35">
      <c r="A90" s="130"/>
      <c r="E90" s="119" t="s">
        <v>328</v>
      </c>
      <c r="F90" s="4">
        <v>16675</v>
      </c>
      <c r="G90" s="4"/>
      <c r="H90" s="4">
        <v>2208</v>
      </c>
      <c r="I90" s="4">
        <v>2187</v>
      </c>
      <c r="J90" s="4">
        <f t="shared" si="7"/>
        <v>4395</v>
      </c>
    </row>
    <row r="91" spans="1:10" ht="21" customHeight="1" x14ac:dyDescent="0.35">
      <c r="A91" s="130"/>
      <c r="E91" s="119" t="s">
        <v>422</v>
      </c>
      <c r="F91" s="4">
        <v>10377</v>
      </c>
      <c r="G91" s="4"/>
      <c r="H91" s="4">
        <v>0</v>
      </c>
      <c r="I91" s="4"/>
      <c r="J91" s="4">
        <f t="shared" si="7"/>
        <v>0</v>
      </c>
    </row>
    <row r="92" spans="1:10" ht="39.75" customHeight="1" x14ac:dyDescent="0.35">
      <c r="A92" s="130"/>
      <c r="E92" s="305" t="s">
        <v>573</v>
      </c>
      <c r="F92" s="4">
        <v>349075</v>
      </c>
      <c r="G92" s="4"/>
      <c r="H92" s="4">
        <v>32623</v>
      </c>
      <c r="I92" s="4">
        <v>16463</v>
      </c>
      <c r="J92" s="4">
        <f t="shared" si="7"/>
        <v>49086</v>
      </c>
    </row>
    <row r="93" spans="1:10" ht="21" customHeight="1" x14ac:dyDescent="0.35">
      <c r="A93" s="130"/>
      <c r="E93" s="305" t="s">
        <v>572</v>
      </c>
      <c r="F93" s="4">
        <v>37165</v>
      </c>
      <c r="G93" s="4"/>
      <c r="H93" s="4">
        <v>0</v>
      </c>
      <c r="I93" s="4"/>
      <c r="J93" s="4">
        <f t="shared" si="7"/>
        <v>0</v>
      </c>
    </row>
    <row r="94" spans="1:10" ht="21" customHeight="1" x14ac:dyDescent="0.35">
      <c r="A94" s="130"/>
      <c r="E94" s="305" t="s">
        <v>720</v>
      </c>
      <c r="F94" s="4"/>
      <c r="G94" s="4"/>
      <c r="H94" s="4"/>
      <c r="I94" s="4">
        <v>37165</v>
      </c>
      <c r="J94" s="4">
        <f t="shared" si="7"/>
        <v>37165</v>
      </c>
    </row>
    <row r="95" spans="1:10" ht="21" customHeight="1" x14ac:dyDescent="0.35">
      <c r="A95" s="130"/>
      <c r="E95" s="119" t="s">
        <v>440</v>
      </c>
      <c r="F95" s="4">
        <v>40</v>
      </c>
      <c r="G95" s="4"/>
      <c r="H95" s="4">
        <v>80</v>
      </c>
      <c r="I95" s="4"/>
      <c r="J95" s="4">
        <f t="shared" si="7"/>
        <v>80</v>
      </c>
    </row>
    <row r="96" spans="1:10" ht="42" x14ac:dyDescent="0.35">
      <c r="A96" s="130"/>
      <c r="E96" s="305" t="s">
        <v>421</v>
      </c>
      <c r="F96" s="4">
        <v>412</v>
      </c>
      <c r="G96" s="4"/>
      <c r="H96" s="4">
        <v>0</v>
      </c>
      <c r="I96" s="4"/>
      <c r="J96" s="4">
        <f t="shared" si="7"/>
        <v>0</v>
      </c>
    </row>
    <row r="97" spans="1:10" ht="21" customHeight="1" x14ac:dyDescent="0.35">
      <c r="A97" s="130"/>
      <c r="E97" s="119" t="s">
        <v>545</v>
      </c>
      <c r="F97" s="4">
        <v>26</v>
      </c>
      <c r="G97" s="4"/>
      <c r="H97" s="4">
        <v>0</v>
      </c>
      <c r="I97" s="4"/>
      <c r="J97" s="4">
        <f t="shared" si="7"/>
        <v>0</v>
      </c>
    </row>
    <row r="98" spans="1:10" ht="21" customHeight="1" x14ac:dyDescent="0.35">
      <c r="A98" s="130"/>
      <c r="E98" s="119" t="s">
        <v>405</v>
      </c>
      <c r="F98" s="6">
        <v>906</v>
      </c>
      <c r="G98" s="6"/>
      <c r="H98" s="6">
        <v>0</v>
      </c>
      <c r="I98" s="6"/>
      <c r="J98" s="6">
        <f t="shared" si="7"/>
        <v>0</v>
      </c>
    </row>
    <row r="99" spans="1:10" ht="21" customHeight="1" x14ac:dyDescent="0.35">
      <c r="A99" s="130"/>
      <c r="E99" s="119" t="s">
        <v>688</v>
      </c>
      <c r="F99" s="8"/>
      <c r="G99" s="8"/>
      <c r="H99" s="8">
        <v>209</v>
      </c>
      <c r="I99" s="8"/>
      <c r="J99" s="8">
        <f t="shared" si="7"/>
        <v>209</v>
      </c>
    </row>
    <row r="100" spans="1:10" ht="21" customHeight="1" x14ac:dyDescent="0.35">
      <c r="A100" s="130"/>
      <c r="B100" s="325" t="s">
        <v>26</v>
      </c>
      <c r="C100" s="325"/>
      <c r="D100" s="325"/>
      <c r="E100" s="330"/>
      <c r="F100" s="9"/>
      <c r="G100" s="9"/>
      <c r="H100" s="9"/>
      <c r="I100" s="9"/>
      <c r="J100" s="9">
        <f t="shared" si="7"/>
        <v>0</v>
      </c>
    </row>
    <row r="101" spans="1:10" ht="21" customHeight="1" x14ac:dyDescent="0.35">
      <c r="A101" s="130"/>
      <c r="B101" s="331"/>
      <c r="C101" s="331"/>
      <c r="D101" s="331"/>
      <c r="E101" s="119" t="s">
        <v>372</v>
      </c>
      <c r="F101" s="4"/>
      <c r="G101" s="4">
        <v>117936</v>
      </c>
      <c r="H101" s="4">
        <v>117936</v>
      </c>
      <c r="I101" s="4"/>
      <c r="J101" s="4">
        <f t="shared" si="7"/>
        <v>117936</v>
      </c>
    </row>
    <row r="102" spans="1:10" ht="21" customHeight="1" x14ac:dyDescent="0.35">
      <c r="A102" s="130"/>
      <c r="B102" s="286"/>
      <c r="C102" s="286"/>
      <c r="D102" s="286"/>
      <c r="E102" s="317" t="s">
        <v>176</v>
      </c>
      <c r="F102" s="4">
        <v>574207</v>
      </c>
      <c r="G102" s="4">
        <v>400000</v>
      </c>
      <c r="H102" s="4">
        <v>400000</v>
      </c>
      <c r="I102" s="24"/>
      <c r="J102" s="24">
        <f t="shared" si="7"/>
        <v>400000</v>
      </c>
    </row>
    <row r="103" spans="1:10" ht="21" customHeight="1" x14ac:dyDescent="0.35">
      <c r="A103" s="130"/>
      <c r="B103" s="331"/>
      <c r="C103" s="331"/>
      <c r="D103" s="331"/>
      <c r="E103" s="119" t="s">
        <v>81</v>
      </c>
      <c r="F103" s="4"/>
      <c r="G103" s="4">
        <v>20000</v>
      </c>
      <c r="H103" s="4">
        <v>20000</v>
      </c>
      <c r="I103" s="24"/>
      <c r="J103" s="24">
        <f t="shared" si="7"/>
        <v>20000</v>
      </c>
    </row>
    <row r="104" spans="1:10" ht="21" customHeight="1" x14ac:dyDescent="0.35">
      <c r="A104" s="130"/>
      <c r="B104" s="331"/>
      <c r="C104" s="331"/>
      <c r="D104" s="331"/>
      <c r="E104" s="119" t="s">
        <v>47</v>
      </c>
      <c r="F104" s="25"/>
      <c r="G104" s="25"/>
      <c r="H104" s="25">
        <v>322293</v>
      </c>
      <c r="I104" s="25"/>
      <c r="J104" s="25">
        <f t="shared" si="7"/>
        <v>322293</v>
      </c>
    </row>
    <row r="105" spans="1:10" ht="21" customHeight="1" x14ac:dyDescent="0.35">
      <c r="A105" s="130"/>
      <c r="B105" s="331"/>
      <c r="C105" s="331"/>
      <c r="D105" s="331"/>
      <c r="E105" s="119" t="s">
        <v>504</v>
      </c>
      <c r="F105" s="36">
        <v>10035</v>
      </c>
      <c r="G105" s="36"/>
      <c r="H105" s="36">
        <v>0</v>
      </c>
      <c r="I105" s="36">
        <v>10035</v>
      </c>
      <c r="J105" s="36">
        <f t="shared" si="7"/>
        <v>10035</v>
      </c>
    </row>
    <row r="106" spans="1:10" ht="21" customHeight="1" x14ac:dyDescent="0.35">
      <c r="A106" s="130"/>
      <c r="B106" s="325" t="s">
        <v>27</v>
      </c>
      <c r="C106" s="325"/>
      <c r="D106" s="325"/>
      <c r="E106" s="330"/>
      <c r="F106" s="9"/>
      <c r="G106" s="9"/>
      <c r="H106" s="9"/>
      <c r="I106" s="9"/>
      <c r="J106" s="9">
        <f t="shared" si="7"/>
        <v>0</v>
      </c>
    </row>
    <row r="107" spans="1:10" x14ac:dyDescent="0.35">
      <c r="A107" s="130"/>
      <c r="B107" s="331"/>
      <c r="C107" s="331"/>
      <c r="D107" s="331"/>
      <c r="E107" s="119" t="s">
        <v>145</v>
      </c>
      <c r="F107" s="4">
        <v>158580</v>
      </c>
      <c r="G107" s="4">
        <f>120000-60000+40000-40000</f>
        <v>60000</v>
      </c>
      <c r="H107" s="4">
        <v>60000</v>
      </c>
      <c r="I107" s="4"/>
      <c r="J107" s="4">
        <f t="shared" si="7"/>
        <v>60000</v>
      </c>
    </row>
    <row r="108" spans="1:10" x14ac:dyDescent="0.35">
      <c r="A108" s="130"/>
      <c r="B108" s="331"/>
      <c r="C108" s="331"/>
      <c r="D108" s="331"/>
      <c r="E108" s="305" t="s">
        <v>574</v>
      </c>
      <c r="F108" s="4">
        <v>27171</v>
      </c>
      <c r="G108" s="4"/>
      <c r="H108" s="4">
        <v>17332</v>
      </c>
      <c r="I108" s="4">
        <f>44794+30000</f>
        <v>74794</v>
      </c>
      <c r="J108" s="4">
        <f t="shared" si="7"/>
        <v>92126</v>
      </c>
    </row>
    <row r="109" spans="1:10" x14ac:dyDescent="0.35">
      <c r="A109" s="130"/>
      <c r="B109" s="331"/>
      <c r="C109" s="331"/>
      <c r="D109" s="331"/>
      <c r="E109" s="305" t="s">
        <v>687</v>
      </c>
      <c r="F109" s="4"/>
      <c r="G109" s="4"/>
      <c r="H109" s="4">
        <v>22</v>
      </c>
      <c r="I109" s="4"/>
      <c r="J109" s="4">
        <f t="shared" si="7"/>
        <v>22</v>
      </c>
    </row>
    <row r="110" spans="1:10" x14ac:dyDescent="0.35">
      <c r="A110" s="130"/>
      <c r="B110" s="331"/>
      <c r="C110" s="331"/>
      <c r="D110" s="331"/>
      <c r="E110" s="119" t="s">
        <v>505</v>
      </c>
      <c r="F110" s="4">
        <v>12821</v>
      </c>
      <c r="G110" s="4"/>
      <c r="H110" s="4">
        <v>0</v>
      </c>
      <c r="I110" s="4">
        <v>519</v>
      </c>
      <c r="J110" s="4">
        <f t="shared" si="7"/>
        <v>519</v>
      </c>
    </row>
    <row r="111" spans="1:10" ht="21" customHeight="1" thickBot="1" x14ac:dyDescent="0.4">
      <c r="A111" s="319" t="s">
        <v>103</v>
      </c>
      <c r="B111" s="321"/>
      <c r="C111" s="321"/>
      <c r="D111" s="321"/>
      <c r="E111" s="321"/>
      <c r="F111" s="14">
        <f>SUM(F74:F110)</f>
        <v>3015061</v>
      </c>
      <c r="G111" s="14">
        <f>SUM(G74:G110)</f>
        <v>2100686</v>
      </c>
      <c r="H111" s="14">
        <f>SUM(H74:H110)</f>
        <v>3686459</v>
      </c>
      <c r="I111" s="14">
        <f>SUM(I74:I110)</f>
        <v>163663</v>
      </c>
      <c r="J111" s="14">
        <f>SUM(J74:J110)</f>
        <v>3850122</v>
      </c>
    </row>
    <row r="112" spans="1:10" ht="21" customHeight="1" x14ac:dyDescent="0.35">
      <c r="A112" s="285" t="s">
        <v>99</v>
      </c>
      <c r="B112" s="286"/>
      <c r="C112" s="286"/>
      <c r="D112" s="286"/>
      <c r="E112" s="286"/>
      <c r="F112" s="20"/>
      <c r="G112" s="20"/>
      <c r="H112" s="20"/>
      <c r="I112" s="20"/>
      <c r="J112" s="20"/>
    </row>
    <row r="113" spans="1:10" ht="21" customHeight="1" x14ac:dyDescent="0.35">
      <c r="A113" s="285"/>
      <c r="B113" s="332" t="s">
        <v>31</v>
      </c>
      <c r="C113" s="286"/>
      <c r="D113" s="286"/>
      <c r="E113" s="286"/>
      <c r="F113" s="35"/>
      <c r="G113" s="35"/>
      <c r="H113" s="35"/>
      <c r="I113" s="35"/>
      <c r="J113" s="35"/>
    </row>
    <row r="114" spans="1:10" ht="21" customHeight="1" x14ac:dyDescent="0.35">
      <c r="A114" s="333"/>
      <c r="B114" s="331"/>
      <c r="C114" s="317"/>
      <c r="D114" s="317" t="s">
        <v>702</v>
      </c>
      <c r="E114" s="119"/>
      <c r="F114" s="4"/>
      <c r="G114" s="4"/>
      <c r="H114" s="4">
        <v>0</v>
      </c>
      <c r="I114" s="4">
        <v>3079</v>
      </c>
      <c r="J114" s="4">
        <f>SUM(H114:I114)</f>
        <v>3079</v>
      </c>
    </row>
    <row r="115" spans="1:10" ht="21" customHeight="1" x14ac:dyDescent="0.35">
      <c r="A115" s="130"/>
      <c r="B115" s="325" t="s">
        <v>32</v>
      </c>
      <c r="C115" s="325"/>
      <c r="D115" s="325"/>
      <c r="E115" s="330"/>
      <c r="F115" s="9"/>
      <c r="G115" s="9"/>
      <c r="H115" s="9"/>
      <c r="I115" s="9"/>
      <c r="J115" s="9"/>
    </row>
    <row r="116" spans="1:10" ht="21" customHeight="1" x14ac:dyDescent="0.35">
      <c r="A116" s="333"/>
      <c r="B116" s="331"/>
      <c r="C116" s="317" t="s">
        <v>707</v>
      </c>
      <c r="D116" s="317"/>
      <c r="E116" s="119"/>
      <c r="F116" s="4"/>
      <c r="G116" s="4"/>
      <c r="H116" s="4"/>
      <c r="I116" s="4">
        <v>1000</v>
      </c>
      <c r="J116" s="4">
        <f>SUM(H116:I116)</f>
        <v>1000</v>
      </c>
    </row>
    <row r="117" spans="1:10" ht="21" customHeight="1" x14ac:dyDescent="0.35">
      <c r="A117" s="333"/>
      <c r="B117" s="331"/>
      <c r="C117" s="317" t="s">
        <v>708</v>
      </c>
      <c r="D117" s="317"/>
      <c r="E117" s="119"/>
      <c r="F117" s="4"/>
      <c r="G117" s="4"/>
      <c r="H117" s="4"/>
      <c r="I117" s="4">
        <v>600</v>
      </c>
      <c r="J117" s="4">
        <f>SUM(H117:I117)</f>
        <v>600</v>
      </c>
    </row>
    <row r="118" spans="1:10" ht="21" customHeight="1" x14ac:dyDescent="0.35">
      <c r="A118" s="333"/>
      <c r="B118" s="331"/>
      <c r="C118" s="317" t="s">
        <v>546</v>
      </c>
      <c r="D118" s="317"/>
      <c r="E118" s="119"/>
      <c r="F118" s="4">
        <v>5161</v>
      </c>
      <c r="G118" s="4"/>
      <c r="H118" s="4">
        <v>4513</v>
      </c>
      <c r="I118" s="4"/>
      <c r="J118" s="4">
        <f>SUM(H118:I118)</f>
        <v>4513</v>
      </c>
    </row>
    <row r="119" spans="1:10" ht="21" customHeight="1" x14ac:dyDescent="0.35">
      <c r="A119" s="333"/>
      <c r="B119" s="331"/>
      <c r="C119" s="317" t="s">
        <v>686</v>
      </c>
      <c r="D119" s="317"/>
      <c r="E119" s="119"/>
      <c r="F119" s="4"/>
      <c r="G119" s="4"/>
      <c r="H119" s="4">
        <v>2313</v>
      </c>
      <c r="I119" s="4"/>
      <c r="J119" s="4">
        <f t="shared" ref="J119:J140" si="8">SUM(H119:I119)</f>
        <v>2313</v>
      </c>
    </row>
    <row r="120" spans="1:10" ht="21" customHeight="1" x14ac:dyDescent="0.35">
      <c r="A120" s="333"/>
      <c r="B120" s="331"/>
      <c r="C120" s="317" t="s">
        <v>401</v>
      </c>
      <c r="D120" s="317"/>
      <c r="E120" s="119"/>
      <c r="F120" s="4">
        <v>432</v>
      </c>
      <c r="G120" s="4"/>
      <c r="H120" s="4">
        <v>654</v>
      </c>
      <c r="I120" s="4"/>
      <c r="J120" s="4">
        <f t="shared" si="8"/>
        <v>654</v>
      </c>
    </row>
    <row r="121" spans="1:10" ht="21" customHeight="1" x14ac:dyDescent="0.35">
      <c r="A121" s="333"/>
      <c r="B121" s="331"/>
      <c r="C121" s="317" t="s">
        <v>575</v>
      </c>
      <c r="D121" s="317"/>
      <c r="E121" s="334"/>
      <c r="F121" s="4">
        <v>161</v>
      </c>
      <c r="G121" s="4"/>
      <c r="H121" s="4">
        <v>0</v>
      </c>
      <c r="I121" s="4"/>
      <c r="J121" s="4">
        <f t="shared" si="8"/>
        <v>0</v>
      </c>
    </row>
    <row r="122" spans="1:10" ht="21" customHeight="1" x14ac:dyDescent="0.35">
      <c r="A122" s="333"/>
      <c r="B122" s="331"/>
      <c r="C122" s="317" t="s">
        <v>576</v>
      </c>
      <c r="D122" s="317"/>
      <c r="E122" s="334"/>
      <c r="F122" s="4">
        <v>3000</v>
      </c>
      <c r="G122" s="4"/>
      <c r="H122" s="4">
        <v>0</v>
      </c>
      <c r="I122" s="4"/>
      <c r="J122" s="4">
        <f t="shared" si="8"/>
        <v>0</v>
      </c>
    </row>
    <row r="123" spans="1:10" ht="21" customHeight="1" x14ac:dyDescent="0.35">
      <c r="A123" s="130"/>
      <c r="B123" s="335"/>
      <c r="C123" s="336" t="s">
        <v>423</v>
      </c>
      <c r="D123" s="4"/>
      <c r="E123" s="4"/>
      <c r="F123" s="4">
        <v>250</v>
      </c>
      <c r="G123" s="4"/>
      <c r="H123" s="4">
        <v>0</v>
      </c>
      <c r="I123" s="4"/>
      <c r="J123" s="4">
        <f t="shared" si="8"/>
        <v>0</v>
      </c>
    </row>
    <row r="124" spans="1:10" ht="21" customHeight="1" x14ac:dyDescent="0.35">
      <c r="A124" s="333"/>
      <c r="B124" s="331"/>
      <c r="C124" s="317" t="s">
        <v>577</v>
      </c>
      <c r="D124" s="317"/>
      <c r="E124" s="334"/>
      <c r="F124" s="4">
        <v>150</v>
      </c>
      <c r="G124" s="4"/>
      <c r="H124" s="4">
        <v>0</v>
      </c>
      <c r="I124" s="4"/>
      <c r="J124" s="4">
        <f t="shared" si="8"/>
        <v>0</v>
      </c>
    </row>
    <row r="125" spans="1:10" ht="21" customHeight="1" x14ac:dyDescent="0.35">
      <c r="A125" s="333"/>
      <c r="B125" s="331"/>
      <c r="C125" s="317" t="s">
        <v>578</v>
      </c>
      <c r="D125" s="317"/>
      <c r="E125" s="334"/>
      <c r="F125" s="4">
        <v>300</v>
      </c>
      <c r="G125" s="4"/>
      <c r="H125" s="4">
        <v>0</v>
      </c>
      <c r="I125" s="4"/>
      <c r="J125" s="4">
        <f t="shared" si="8"/>
        <v>0</v>
      </c>
    </row>
    <row r="126" spans="1:10" ht="21" customHeight="1" x14ac:dyDescent="0.35">
      <c r="A126" s="333"/>
      <c r="B126" s="331"/>
      <c r="C126" s="317" t="s">
        <v>464</v>
      </c>
      <c r="D126" s="317"/>
      <c r="E126" s="334"/>
      <c r="F126" s="4">
        <v>1432</v>
      </c>
      <c r="G126" s="4"/>
      <c r="H126" s="4">
        <v>0</v>
      </c>
      <c r="I126" s="4"/>
      <c r="J126" s="4">
        <f t="shared" si="8"/>
        <v>0</v>
      </c>
    </row>
    <row r="127" spans="1:10" ht="21" customHeight="1" x14ac:dyDescent="0.35">
      <c r="A127" s="333"/>
      <c r="B127" s="331"/>
      <c r="C127" s="317" t="s">
        <v>579</v>
      </c>
      <c r="D127" s="317"/>
      <c r="E127" s="334"/>
      <c r="F127" s="4">
        <v>10954</v>
      </c>
      <c r="G127" s="4"/>
      <c r="H127" s="4">
        <v>33461</v>
      </c>
      <c r="I127" s="4"/>
      <c r="J127" s="4">
        <f t="shared" si="8"/>
        <v>33461</v>
      </c>
    </row>
    <row r="128" spans="1:10" ht="21" customHeight="1" x14ac:dyDescent="0.35">
      <c r="A128" s="130"/>
      <c r="B128" s="335"/>
      <c r="C128" s="317" t="s">
        <v>506</v>
      </c>
      <c r="D128" s="151"/>
      <c r="E128" s="152"/>
      <c r="F128" s="4">
        <v>5288</v>
      </c>
      <c r="G128" s="4"/>
      <c r="H128" s="4">
        <v>0</v>
      </c>
      <c r="I128" s="4"/>
      <c r="J128" s="4">
        <f t="shared" si="8"/>
        <v>0</v>
      </c>
    </row>
    <row r="129" spans="1:13" ht="21" customHeight="1" x14ac:dyDescent="0.35">
      <c r="A129" s="130"/>
      <c r="B129" s="335"/>
      <c r="C129" s="317" t="s">
        <v>507</v>
      </c>
      <c r="D129" s="151"/>
      <c r="E129" s="152"/>
      <c r="F129" s="4">
        <v>1881</v>
      </c>
      <c r="G129" s="4"/>
      <c r="H129" s="4">
        <v>4474</v>
      </c>
      <c r="I129" s="4"/>
      <c r="J129" s="4">
        <f t="shared" si="8"/>
        <v>4474</v>
      </c>
    </row>
    <row r="130" spans="1:13" ht="21" customHeight="1" x14ac:dyDescent="0.35">
      <c r="A130" s="130"/>
      <c r="B130" s="335"/>
      <c r="C130" s="317" t="s">
        <v>441</v>
      </c>
      <c r="D130" s="151"/>
      <c r="E130" s="152"/>
      <c r="F130" s="4">
        <v>8732</v>
      </c>
      <c r="G130" s="4"/>
      <c r="H130" s="4">
        <v>22185</v>
      </c>
      <c r="I130" s="4"/>
      <c r="J130" s="4">
        <f t="shared" si="8"/>
        <v>22185</v>
      </c>
    </row>
    <row r="131" spans="1:13" ht="42.75" customHeight="1" x14ac:dyDescent="0.35">
      <c r="A131" s="130"/>
      <c r="B131" s="335"/>
      <c r="C131" s="971" t="s">
        <v>569</v>
      </c>
      <c r="D131" s="971"/>
      <c r="E131" s="972"/>
      <c r="F131" s="4">
        <v>728</v>
      </c>
      <c r="G131" s="4"/>
      <c r="H131" s="4">
        <v>15863</v>
      </c>
      <c r="I131" s="4"/>
      <c r="J131" s="4">
        <f t="shared" si="8"/>
        <v>15863</v>
      </c>
    </row>
    <row r="132" spans="1:13" ht="21" customHeight="1" x14ac:dyDescent="0.35">
      <c r="A132" s="130"/>
      <c r="B132" s="335"/>
      <c r="C132" s="317" t="s">
        <v>580</v>
      </c>
      <c r="D132" s="317"/>
      <c r="E132" s="152"/>
      <c r="F132" s="4"/>
      <c r="G132" s="4"/>
      <c r="H132" s="4">
        <v>1626</v>
      </c>
      <c r="I132" s="4"/>
      <c r="J132" s="4">
        <f t="shared" si="8"/>
        <v>1626</v>
      </c>
    </row>
    <row r="133" spans="1:13" ht="21" customHeight="1" x14ac:dyDescent="0.35">
      <c r="A133" s="130"/>
      <c r="B133" s="335"/>
      <c r="C133" s="317" t="s">
        <v>581</v>
      </c>
      <c r="D133" s="317"/>
      <c r="E133" s="152"/>
      <c r="F133" s="4"/>
      <c r="G133" s="4"/>
      <c r="H133" s="4">
        <v>59209</v>
      </c>
      <c r="I133" s="4"/>
      <c r="J133" s="4">
        <f t="shared" si="8"/>
        <v>59209</v>
      </c>
    </row>
    <row r="134" spans="1:13" ht="21" customHeight="1" x14ac:dyDescent="0.35">
      <c r="A134" s="130"/>
      <c r="B134" s="335"/>
      <c r="C134" s="317" t="s">
        <v>582</v>
      </c>
      <c r="D134" s="317"/>
      <c r="E134" s="152"/>
      <c r="F134" s="4"/>
      <c r="G134" s="4"/>
      <c r="H134" s="4">
        <v>660352</v>
      </c>
      <c r="I134" s="4"/>
      <c r="J134" s="4">
        <f t="shared" si="8"/>
        <v>660352</v>
      </c>
    </row>
    <row r="135" spans="1:13" ht="21" customHeight="1" x14ac:dyDescent="0.35">
      <c r="A135" s="130"/>
      <c r="B135" s="335"/>
      <c r="C135" s="317" t="s">
        <v>583</v>
      </c>
      <c r="D135" s="317"/>
      <c r="E135" s="152"/>
      <c r="F135" s="4"/>
      <c r="G135" s="4"/>
      <c r="H135" s="4">
        <v>638723</v>
      </c>
      <c r="I135" s="4"/>
      <c r="J135" s="4">
        <f t="shared" si="8"/>
        <v>638723</v>
      </c>
    </row>
    <row r="136" spans="1:13" ht="21" customHeight="1" x14ac:dyDescent="0.35">
      <c r="A136" s="130"/>
      <c r="B136" s="335"/>
      <c r="C136" s="317" t="s">
        <v>584</v>
      </c>
      <c r="D136" s="317"/>
      <c r="E136" s="152"/>
      <c r="F136" s="4"/>
      <c r="G136" s="4"/>
      <c r="H136" s="4">
        <v>500925</v>
      </c>
      <c r="I136" s="4"/>
      <c r="J136" s="4">
        <f t="shared" si="8"/>
        <v>500925</v>
      </c>
    </row>
    <row r="137" spans="1:13" ht="21" customHeight="1" x14ac:dyDescent="0.35">
      <c r="A137" s="130"/>
      <c r="B137" s="335"/>
      <c r="C137" s="317" t="s">
        <v>699</v>
      </c>
      <c r="D137" s="317"/>
      <c r="E137" s="152"/>
      <c r="F137" s="4"/>
      <c r="G137" s="4"/>
      <c r="H137" s="4"/>
      <c r="I137" s="4">
        <v>120710</v>
      </c>
      <c r="J137" s="4">
        <f t="shared" si="8"/>
        <v>120710</v>
      </c>
    </row>
    <row r="138" spans="1:13" ht="21" customHeight="1" x14ac:dyDescent="0.35">
      <c r="A138" s="130"/>
      <c r="B138" s="335"/>
      <c r="C138" s="317" t="s">
        <v>721</v>
      </c>
      <c r="D138" s="317"/>
      <c r="E138" s="152"/>
      <c r="F138" s="4"/>
      <c r="G138" s="4"/>
      <c r="H138" s="4"/>
      <c r="I138" s="4">
        <v>43274</v>
      </c>
      <c r="J138" s="4">
        <f t="shared" si="8"/>
        <v>43274</v>
      </c>
    </row>
    <row r="139" spans="1:13" ht="21" customHeight="1" x14ac:dyDescent="0.35">
      <c r="A139" s="130"/>
      <c r="B139" s="335"/>
      <c r="C139" s="336" t="s">
        <v>598</v>
      </c>
      <c r="D139" s="335"/>
      <c r="F139" s="4"/>
      <c r="G139" s="4"/>
      <c r="H139" s="4">
        <v>482</v>
      </c>
      <c r="I139" s="48">
        <v>101</v>
      </c>
      <c r="J139" s="48">
        <f t="shared" si="8"/>
        <v>583</v>
      </c>
    </row>
    <row r="140" spans="1:13" ht="55.5" customHeight="1" thickBot="1" x14ac:dyDescent="0.4">
      <c r="A140" s="130"/>
      <c r="B140" s="335"/>
      <c r="C140" s="331"/>
      <c r="D140" s="335"/>
      <c r="E140" s="640" t="s">
        <v>596</v>
      </c>
      <c r="F140" s="8"/>
      <c r="G140" s="8"/>
      <c r="H140" s="8"/>
      <c r="I140" s="59">
        <v>20399</v>
      </c>
      <c r="J140" s="48">
        <f t="shared" si="8"/>
        <v>20399</v>
      </c>
    </row>
    <row r="141" spans="1:13" s="45" customFormat="1" ht="21" customHeight="1" thickBot="1" x14ac:dyDescent="0.4">
      <c r="A141" s="319" t="s">
        <v>161</v>
      </c>
      <c r="B141" s="321"/>
      <c r="C141" s="321"/>
      <c r="D141" s="321"/>
      <c r="E141" s="321"/>
      <c r="F141" s="37">
        <f>SUM(F112:F140)</f>
        <v>38469</v>
      </c>
      <c r="G141" s="37">
        <f t="shared" ref="G141:J141" si="9">SUM(G112:G140)</f>
        <v>0</v>
      </c>
      <c r="H141" s="37">
        <f t="shared" si="9"/>
        <v>1944780</v>
      </c>
      <c r="I141" s="37">
        <f t="shared" si="9"/>
        <v>189163</v>
      </c>
      <c r="J141" s="37">
        <f t="shared" si="9"/>
        <v>2133943</v>
      </c>
      <c r="M141" s="17"/>
    </row>
    <row r="142" spans="1:13" ht="21" customHeight="1" x14ac:dyDescent="0.35">
      <c r="A142" s="322" t="s">
        <v>60</v>
      </c>
      <c r="B142" s="281"/>
      <c r="C142" s="281"/>
      <c r="D142" s="281"/>
      <c r="E142" s="281"/>
      <c r="F142" s="38"/>
      <c r="G142" s="38"/>
      <c r="H142" s="38"/>
      <c r="I142" s="38"/>
      <c r="J142" s="38"/>
    </row>
    <row r="143" spans="1:13" s="45" customFormat="1" ht="21" customHeight="1" x14ac:dyDescent="0.35">
      <c r="A143" s="337"/>
      <c r="B143" s="331" t="s">
        <v>179</v>
      </c>
      <c r="C143" s="325"/>
      <c r="D143" s="325"/>
      <c r="E143" s="17"/>
      <c r="F143" s="4">
        <v>41905</v>
      </c>
      <c r="G143" s="4">
        <f>20784+3816</f>
        <v>24600</v>
      </c>
      <c r="H143" s="4">
        <v>25301</v>
      </c>
      <c r="I143" s="24">
        <v>2673</v>
      </c>
      <c r="J143" s="24">
        <f>SUM(H143:I143)</f>
        <v>27974</v>
      </c>
      <c r="M143" s="17"/>
    </row>
    <row r="144" spans="1:13" s="45" customFormat="1" ht="21" customHeight="1" x14ac:dyDescent="0.35">
      <c r="A144" s="337"/>
      <c r="B144" s="338" t="s">
        <v>666</v>
      </c>
      <c r="C144" s="339"/>
      <c r="D144" s="339"/>
      <c r="E144" s="131"/>
      <c r="F144" s="4">
        <v>704665</v>
      </c>
      <c r="G144" s="4">
        <f>658521+35660</f>
        <v>694181</v>
      </c>
      <c r="H144" s="4">
        <v>695720</v>
      </c>
      <c r="I144" s="4">
        <v>3114</v>
      </c>
      <c r="J144" s="4">
        <f t="shared" ref="J144:J154" si="10">SUM(H144:I144)</f>
        <v>698834</v>
      </c>
      <c r="M144" s="17"/>
    </row>
    <row r="145" spans="1:13" s="45" customFormat="1" ht="21" customHeight="1" x14ac:dyDescent="0.35">
      <c r="A145" s="337"/>
      <c r="B145" s="338" t="s">
        <v>96</v>
      </c>
      <c r="C145" s="339"/>
      <c r="D145" s="339"/>
      <c r="E145" s="131"/>
      <c r="F145" s="4">
        <v>138481</v>
      </c>
      <c r="G145" s="4">
        <f>28471+10000</f>
        <v>38471</v>
      </c>
      <c r="H145" s="4">
        <v>126558</v>
      </c>
      <c r="I145" s="4"/>
      <c r="J145" s="4">
        <f t="shared" si="10"/>
        <v>126558</v>
      </c>
      <c r="M145" s="17"/>
    </row>
    <row r="146" spans="1:13" s="45" customFormat="1" ht="21" customHeight="1" x14ac:dyDescent="0.35">
      <c r="A146" s="337"/>
      <c r="B146" s="338" t="s">
        <v>585</v>
      </c>
      <c r="C146" s="339"/>
      <c r="D146" s="339"/>
      <c r="E146" s="131"/>
      <c r="F146" s="4">
        <v>377872</v>
      </c>
      <c r="G146" s="4">
        <f>113344+20000</f>
        <v>133344</v>
      </c>
      <c r="H146" s="4">
        <v>341496</v>
      </c>
      <c r="I146" s="4"/>
      <c r="J146" s="4">
        <f t="shared" si="10"/>
        <v>341496</v>
      </c>
      <c r="M146" s="17"/>
    </row>
    <row r="147" spans="1:13" s="45" customFormat="1" ht="21" customHeight="1" x14ac:dyDescent="0.35">
      <c r="A147" s="337"/>
      <c r="B147" s="338" t="s">
        <v>329</v>
      </c>
      <c r="C147" s="339"/>
      <c r="D147" s="339"/>
      <c r="E147" s="131"/>
      <c r="F147" s="4">
        <v>50672</v>
      </c>
      <c r="G147" s="4">
        <f>32900+1500</f>
        <v>34400</v>
      </c>
      <c r="H147" s="4">
        <v>41400</v>
      </c>
      <c r="I147" s="4">
        <v>5675</v>
      </c>
      <c r="J147" s="4">
        <f t="shared" si="10"/>
        <v>47075</v>
      </c>
      <c r="M147" s="17"/>
    </row>
    <row r="148" spans="1:13" s="45" customFormat="1" ht="21" customHeight="1" x14ac:dyDescent="0.35">
      <c r="A148" s="337"/>
      <c r="B148" s="338" t="s">
        <v>108</v>
      </c>
      <c r="C148" s="339"/>
      <c r="D148" s="339"/>
      <c r="E148" s="131"/>
      <c r="F148" s="4">
        <v>169955</v>
      </c>
      <c r="G148" s="4">
        <v>154078</v>
      </c>
      <c r="H148" s="4">
        <v>206785</v>
      </c>
      <c r="I148" s="4">
        <v>24962</v>
      </c>
      <c r="J148" s="4">
        <f t="shared" si="10"/>
        <v>231747</v>
      </c>
      <c r="M148" s="17"/>
    </row>
    <row r="149" spans="1:13" s="45" customFormat="1" ht="21" customHeight="1" x14ac:dyDescent="0.35">
      <c r="A149" s="337"/>
      <c r="B149" s="338" t="s">
        <v>71</v>
      </c>
      <c r="C149" s="339"/>
      <c r="D149" s="339"/>
      <c r="E149" s="131"/>
      <c r="F149" s="4">
        <v>265916</v>
      </c>
      <c r="G149" s="4">
        <f>197479+56706</f>
        <v>254185</v>
      </c>
      <c r="H149" s="4">
        <v>254185</v>
      </c>
      <c r="I149" s="4">
        <v>33036</v>
      </c>
      <c r="J149" s="4">
        <f t="shared" si="10"/>
        <v>287221</v>
      </c>
      <c r="M149" s="17"/>
    </row>
    <row r="150" spans="1:13" s="45" customFormat="1" ht="21" customHeight="1" x14ac:dyDescent="0.35">
      <c r="A150" s="337"/>
      <c r="B150" s="338" t="s">
        <v>188</v>
      </c>
      <c r="C150" s="339"/>
      <c r="D150" s="339"/>
      <c r="E150" s="131"/>
      <c r="F150" s="4">
        <v>518075</v>
      </c>
      <c r="G150" s="4">
        <f>488765+114115</f>
        <v>602880</v>
      </c>
      <c r="H150" s="4">
        <v>602880</v>
      </c>
      <c r="I150" s="4"/>
      <c r="J150" s="4">
        <f t="shared" si="10"/>
        <v>602880</v>
      </c>
      <c r="M150" s="17"/>
    </row>
    <row r="151" spans="1:13" s="45" customFormat="1" ht="21" customHeight="1" x14ac:dyDescent="0.35">
      <c r="A151" s="337"/>
      <c r="B151" s="338" t="s">
        <v>13</v>
      </c>
      <c r="C151" s="339"/>
      <c r="D151" s="339"/>
      <c r="E151" s="131"/>
      <c r="F151" s="4">
        <v>124465</v>
      </c>
      <c r="G151" s="4">
        <f>97148-12116</f>
        <v>85032</v>
      </c>
      <c r="H151" s="4">
        <v>98463</v>
      </c>
      <c r="I151" s="4">
        <v>7982</v>
      </c>
      <c r="J151" s="4">
        <f t="shared" si="10"/>
        <v>106445</v>
      </c>
      <c r="M151" s="17"/>
    </row>
    <row r="152" spans="1:13" s="45" customFormat="1" ht="21" customHeight="1" x14ac:dyDescent="0.35">
      <c r="A152" s="337"/>
      <c r="B152" s="338" t="s">
        <v>471</v>
      </c>
      <c r="C152" s="339"/>
      <c r="D152" s="339"/>
      <c r="E152" s="131"/>
      <c r="F152" s="4">
        <v>191884</v>
      </c>
      <c r="G152" s="4">
        <f>188823+14477</f>
        <v>203300</v>
      </c>
      <c r="H152" s="4">
        <v>203300</v>
      </c>
      <c r="I152" s="4"/>
      <c r="J152" s="4">
        <f t="shared" si="10"/>
        <v>203300</v>
      </c>
      <c r="M152" s="17"/>
    </row>
    <row r="153" spans="1:13" s="45" customFormat="1" ht="21" customHeight="1" x14ac:dyDescent="0.35">
      <c r="A153" s="337"/>
      <c r="B153" s="338" t="s">
        <v>565</v>
      </c>
      <c r="C153" s="339"/>
      <c r="D153" s="339"/>
      <c r="E153" s="131"/>
      <c r="F153" s="4"/>
      <c r="G153" s="4">
        <v>21537</v>
      </c>
      <c r="H153" s="4">
        <v>21537</v>
      </c>
      <c r="I153" s="4"/>
      <c r="J153" s="4">
        <f t="shared" si="10"/>
        <v>21537</v>
      </c>
      <c r="M153" s="17"/>
    </row>
    <row r="154" spans="1:13" s="45" customFormat="1" ht="21" customHeight="1" x14ac:dyDescent="0.35">
      <c r="A154" s="337"/>
      <c r="B154" s="338" t="s">
        <v>4</v>
      </c>
      <c r="C154" s="339"/>
      <c r="D154" s="339"/>
      <c r="E154" s="131"/>
      <c r="F154" s="4">
        <v>32813</v>
      </c>
      <c r="G154" s="4">
        <f>19000+4005</f>
        <v>23005</v>
      </c>
      <c r="H154" s="4">
        <v>88650</v>
      </c>
      <c r="I154" s="4">
        <v>4961</v>
      </c>
      <c r="J154" s="4">
        <f t="shared" si="10"/>
        <v>93611</v>
      </c>
      <c r="M154" s="17"/>
    </row>
    <row r="155" spans="1:13" ht="21" customHeight="1" thickBot="1" x14ac:dyDescent="0.4">
      <c r="A155" s="319" t="s">
        <v>61</v>
      </c>
      <c r="B155" s="320"/>
      <c r="C155" s="321"/>
      <c r="D155" s="321"/>
      <c r="E155" s="321"/>
      <c r="F155" s="32">
        <f>SUM(F143:F154)</f>
        <v>2616703</v>
      </c>
      <c r="G155" s="32">
        <f>SUM(G143:G154)</f>
        <v>2269013</v>
      </c>
      <c r="H155" s="32">
        <f>SUM(H143:H154)</f>
        <v>2706275</v>
      </c>
      <c r="I155" s="32">
        <f>SUM(I143:I154)</f>
        <v>82403</v>
      </c>
      <c r="J155" s="32">
        <f>SUM(J143:J154)</f>
        <v>2788678</v>
      </c>
    </row>
    <row r="156" spans="1:13" ht="21" customHeight="1" thickBot="1" x14ac:dyDescent="0.4">
      <c r="A156" s="319" t="s">
        <v>296</v>
      </c>
      <c r="B156" s="320"/>
      <c r="C156" s="321"/>
      <c r="D156" s="321"/>
      <c r="E156" s="321"/>
      <c r="F156" s="32">
        <f>F111+F59+F141+F73+F155</f>
        <v>31837984</v>
      </c>
      <c r="G156" s="32">
        <f>G111+G59+G141+G73+G155</f>
        <v>31142740</v>
      </c>
      <c r="H156" s="32">
        <f>H111+H59+H141+H73+H155</f>
        <v>35361215</v>
      </c>
      <c r="I156" s="32">
        <f>I111+I59+I141+I73+I155</f>
        <v>2241819</v>
      </c>
      <c r="J156" s="32">
        <f>J111+J59+J141+J73+J155</f>
        <v>37603034</v>
      </c>
    </row>
    <row r="158" spans="1:13" s="3" customFormat="1" ht="21" customHeight="1" x14ac:dyDescent="0.35"/>
    <row r="159" spans="1:13" s="3" customFormat="1" ht="21" customHeight="1" x14ac:dyDescent="0.35"/>
    <row r="160" spans="1:13" s="3" customFormat="1" ht="21" customHeight="1" x14ac:dyDescent="0.35"/>
    <row r="161" s="3" customFormat="1" ht="21" customHeight="1" x14ac:dyDescent="0.35"/>
    <row r="162" s="3" customFormat="1" ht="21" customHeight="1" x14ac:dyDescent="0.35"/>
    <row r="163" s="3" customFormat="1" ht="21" customHeight="1" x14ac:dyDescent="0.35"/>
    <row r="164" s="3" customFormat="1" ht="21" customHeight="1" x14ac:dyDescent="0.35"/>
    <row r="165" s="3" customFormat="1" ht="21" customHeight="1" x14ac:dyDescent="0.35"/>
    <row r="166" s="3" customFormat="1" ht="21" customHeight="1" x14ac:dyDescent="0.35"/>
    <row r="167" s="3" customFormat="1" ht="21" customHeight="1" x14ac:dyDescent="0.35"/>
    <row r="168" s="3" customFormat="1" ht="21" customHeight="1" x14ac:dyDescent="0.35"/>
    <row r="169" s="3" customFormat="1" ht="21" customHeight="1" x14ac:dyDescent="0.35"/>
    <row r="170" s="3" customFormat="1" ht="21" customHeight="1" x14ac:dyDescent="0.35"/>
    <row r="171" s="3" customFormat="1" ht="21" customHeight="1" x14ac:dyDescent="0.35"/>
    <row r="172" s="3" customFormat="1" ht="21" customHeight="1" x14ac:dyDescent="0.35"/>
    <row r="173" s="3" customFormat="1" ht="21" customHeight="1" x14ac:dyDescent="0.35"/>
    <row r="174" s="3" customFormat="1" ht="21" customHeight="1" x14ac:dyDescent="0.35"/>
    <row r="175" s="3" customFormat="1" ht="21" customHeight="1" x14ac:dyDescent="0.35"/>
    <row r="176" s="3" customFormat="1" ht="21" customHeight="1" x14ac:dyDescent="0.35"/>
    <row r="177" s="3" customFormat="1" ht="21" customHeight="1" x14ac:dyDescent="0.35"/>
    <row r="178" s="3" customFormat="1" ht="21" customHeight="1" x14ac:dyDescent="0.35"/>
    <row r="179" s="3" customFormat="1" ht="21" customHeight="1" x14ac:dyDescent="0.35"/>
    <row r="180" s="3" customFormat="1" ht="21" customHeight="1" x14ac:dyDescent="0.35"/>
    <row r="181" s="3" customFormat="1" ht="21" customHeight="1" x14ac:dyDescent="0.35"/>
    <row r="182" s="3" customFormat="1" ht="21" customHeight="1" x14ac:dyDescent="0.35"/>
    <row r="183" s="3" customFormat="1" ht="21" customHeight="1" x14ac:dyDescent="0.35"/>
    <row r="184" s="3" customFormat="1" ht="21" customHeight="1" x14ac:dyDescent="0.35"/>
    <row r="185" s="3" customFormat="1" ht="21" customHeight="1" x14ac:dyDescent="0.35"/>
    <row r="186" s="3" customFormat="1" ht="21" customHeight="1" x14ac:dyDescent="0.35"/>
    <row r="187" s="3" customFormat="1" ht="21" customHeight="1" x14ac:dyDescent="0.35"/>
    <row r="188" s="3" customFormat="1" ht="21" customHeight="1" x14ac:dyDescent="0.35"/>
    <row r="189" s="3" customFormat="1" ht="21" customHeight="1" x14ac:dyDescent="0.35"/>
    <row r="190" s="3" customFormat="1" ht="21" customHeight="1" x14ac:dyDescent="0.35"/>
    <row r="191" s="3" customFormat="1" ht="21" customHeight="1" x14ac:dyDescent="0.35"/>
    <row r="192" s="3" customFormat="1" ht="21" customHeight="1" x14ac:dyDescent="0.35"/>
    <row r="193" s="3" customFormat="1" ht="21" customHeight="1" x14ac:dyDescent="0.35"/>
    <row r="194" s="3" customFormat="1" ht="21" customHeight="1" x14ac:dyDescent="0.35"/>
    <row r="195" s="3" customFormat="1" ht="21" customHeight="1" x14ac:dyDescent="0.35"/>
    <row r="196" s="3" customFormat="1" ht="21" customHeight="1" x14ac:dyDescent="0.35"/>
    <row r="197" s="3" customFormat="1" ht="21" customHeight="1" x14ac:dyDescent="0.35"/>
    <row r="198" s="3" customFormat="1" ht="21" customHeight="1" x14ac:dyDescent="0.35"/>
    <row r="199" s="3" customFormat="1" ht="21" customHeight="1" x14ac:dyDescent="0.35"/>
    <row r="200" s="3" customFormat="1" ht="21" customHeight="1" x14ac:dyDescent="0.35"/>
    <row r="201" s="3" customFormat="1" ht="21" customHeight="1" x14ac:dyDescent="0.35"/>
    <row r="202" s="3" customFormat="1" ht="21" customHeight="1" x14ac:dyDescent="0.35"/>
    <row r="203" s="3" customFormat="1" ht="21" customHeight="1" x14ac:dyDescent="0.35"/>
    <row r="204" s="3" customFormat="1" ht="21" customHeight="1" x14ac:dyDescent="0.35"/>
    <row r="205" s="3" customFormat="1" ht="21" customHeight="1" x14ac:dyDescent="0.35"/>
    <row r="206" s="3" customFormat="1" ht="21" customHeight="1" x14ac:dyDescent="0.35"/>
    <row r="207" s="3" customFormat="1" ht="21" customHeight="1" x14ac:dyDescent="0.35"/>
    <row r="208" s="3" customFormat="1" ht="21" customHeight="1" x14ac:dyDescent="0.35"/>
    <row r="209" s="3" customFormat="1" ht="21" customHeight="1" x14ac:dyDescent="0.35"/>
    <row r="210" s="3" customFormat="1" ht="21" customHeight="1" x14ac:dyDescent="0.35"/>
    <row r="211" s="3" customFormat="1" ht="21" customHeight="1" x14ac:dyDescent="0.35"/>
    <row r="212" s="3" customFormat="1" ht="21" customHeight="1" x14ac:dyDescent="0.35"/>
    <row r="213" s="3" customFormat="1" ht="21" customHeight="1" x14ac:dyDescent="0.35"/>
    <row r="214" s="3" customFormat="1" ht="21" customHeight="1" x14ac:dyDescent="0.35"/>
    <row r="215" s="3" customFormat="1" ht="21" customHeight="1" x14ac:dyDescent="0.35"/>
    <row r="216" s="3" customFormat="1" ht="21" customHeight="1" x14ac:dyDescent="0.35"/>
    <row r="217" s="3" customFormat="1" ht="21" customHeight="1" x14ac:dyDescent="0.35"/>
    <row r="218" s="3" customFormat="1" ht="21" customHeight="1" x14ac:dyDescent="0.35"/>
    <row r="219" s="3" customFormat="1" ht="21" customHeight="1" x14ac:dyDescent="0.35"/>
    <row r="220" s="3" customFormat="1" ht="21" customHeight="1" x14ac:dyDescent="0.35"/>
    <row r="221" s="3" customFormat="1" ht="21" customHeight="1" x14ac:dyDescent="0.35"/>
    <row r="222" s="3" customFormat="1" ht="21" customHeight="1" x14ac:dyDescent="0.35"/>
    <row r="223" s="3" customFormat="1" ht="21" customHeight="1" x14ac:dyDescent="0.35"/>
    <row r="224" s="3" customFormat="1" ht="21" customHeight="1" x14ac:dyDescent="0.35"/>
    <row r="225" s="3" customFormat="1" ht="21" customHeight="1" x14ac:dyDescent="0.35"/>
    <row r="226" s="3" customFormat="1" ht="21" customHeight="1" x14ac:dyDescent="0.35"/>
    <row r="227" s="3" customFormat="1" ht="21" customHeight="1" x14ac:dyDescent="0.35"/>
    <row r="228" s="3" customFormat="1" ht="21" customHeight="1" x14ac:dyDescent="0.35"/>
    <row r="229" s="3" customFormat="1" ht="21" customHeight="1" x14ac:dyDescent="0.35"/>
    <row r="230" s="3" customFormat="1" ht="21" customHeight="1" x14ac:dyDescent="0.35"/>
    <row r="231" s="3" customFormat="1" ht="21" customHeight="1" x14ac:dyDescent="0.35"/>
    <row r="232" s="3" customFormat="1" ht="21" customHeight="1" x14ac:dyDescent="0.35"/>
    <row r="233" s="3" customFormat="1" ht="21" customHeight="1" x14ac:dyDescent="0.35"/>
    <row r="234" s="3" customFormat="1" ht="21" customHeight="1" x14ac:dyDescent="0.35"/>
    <row r="235" s="3" customFormat="1" ht="21" customHeight="1" x14ac:dyDescent="0.35"/>
    <row r="236" s="3" customFormat="1" ht="21" customHeight="1" x14ac:dyDescent="0.35"/>
    <row r="237" s="3" customFormat="1" ht="21" customHeight="1" x14ac:dyDescent="0.35"/>
    <row r="238" s="3" customFormat="1" ht="21" customHeight="1" x14ac:dyDescent="0.35"/>
    <row r="239" s="3" customFormat="1" ht="21" customHeight="1" x14ac:dyDescent="0.35"/>
    <row r="240" s="3" customFormat="1" ht="21" customHeight="1" x14ac:dyDescent="0.35"/>
    <row r="241" s="3" customFormat="1" ht="21" customHeight="1" x14ac:dyDescent="0.35"/>
    <row r="242" s="3" customFormat="1" ht="21" customHeight="1" x14ac:dyDescent="0.35"/>
    <row r="243" s="3" customFormat="1" ht="21" customHeight="1" x14ac:dyDescent="0.35"/>
    <row r="244" s="3" customFormat="1" ht="21" customHeight="1" x14ac:dyDescent="0.35"/>
    <row r="245" s="3" customFormat="1" ht="21" customHeight="1" x14ac:dyDescent="0.35"/>
    <row r="246" s="3" customFormat="1" ht="21" customHeight="1" x14ac:dyDescent="0.35"/>
    <row r="247" s="3" customFormat="1" ht="21" customHeight="1" x14ac:dyDescent="0.35"/>
    <row r="248" s="3" customFormat="1" ht="21" customHeight="1" x14ac:dyDescent="0.35"/>
    <row r="249" s="3" customFormat="1" ht="21" customHeight="1" x14ac:dyDescent="0.35"/>
    <row r="250" s="3" customFormat="1" ht="21" customHeight="1" x14ac:dyDescent="0.35"/>
    <row r="251" s="3" customFormat="1" ht="21" customHeight="1" x14ac:dyDescent="0.35"/>
    <row r="252" s="3" customFormat="1" ht="21" customHeight="1" x14ac:dyDescent="0.35"/>
    <row r="253" s="3" customFormat="1" ht="21" customHeight="1" x14ac:dyDescent="0.35"/>
    <row r="254" s="3" customFormat="1" ht="21" customHeight="1" x14ac:dyDescent="0.35"/>
    <row r="255" s="3" customFormat="1" ht="21" customHeight="1" x14ac:dyDescent="0.35"/>
    <row r="256" s="3" customFormat="1" ht="21" customHeight="1" x14ac:dyDescent="0.35"/>
    <row r="257" s="3" customFormat="1" ht="21" customHeight="1" x14ac:dyDescent="0.35"/>
    <row r="258" s="3" customFormat="1" ht="21" customHeight="1" x14ac:dyDescent="0.35"/>
    <row r="259" s="3" customFormat="1" ht="21" customHeight="1" x14ac:dyDescent="0.35"/>
    <row r="260" s="3" customFormat="1" ht="21" customHeight="1" x14ac:dyDescent="0.35"/>
    <row r="261" s="3" customFormat="1" ht="21" customHeight="1" x14ac:dyDescent="0.35"/>
    <row r="262" s="3" customFormat="1" ht="21" customHeight="1" x14ac:dyDescent="0.35"/>
    <row r="263" s="3" customFormat="1" ht="21" customHeight="1" x14ac:dyDescent="0.35"/>
    <row r="264" s="3" customFormat="1" ht="21" customHeight="1" x14ac:dyDescent="0.35"/>
    <row r="265" s="3" customFormat="1" ht="21" customHeight="1" x14ac:dyDescent="0.35"/>
    <row r="266" s="3" customFormat="1" ht="21" customHeight="1" x14ac:dyDescent="0.35"/>
    <row r="267" s="3" customFormat="1" ht="21" customHeight="1" x14ac:dyDescent="0.35"/>
    <row r="268" s="3" customFormat="1" ht="21" customHeight="1" x14ac:dyDescent="0.35"/>
    <row r="269" s="3" customFormat="1" ht="21" customHeight="1" x14ac:dyDescent="0.35"/>
    <row r="270" s="3" customFormat="1" ht="21" customHeight="1" x14ac:dyDescent="0.35"/>
    <row r="271" s="3" customFormat="1" ht="21" customHeight="1" x14ac:dyDescent="0.35"/>
    <row r="272" s="3" customFormat="1" ht="21" customHeight="1" x14ac:dyDescent="0.35"/>
    <row r="273" s="3" customFormat="1" ht="21" customHeight="1" x14ac:dyDescent="0.35"/>
    <row r="274" s="3" customFormat="1" ht="21" customHeight="1" x14ac:dyDescent="0.35"/>
    <row r="275" s="3" customFormat="1" ht="21" customHeight="1" x14ac:dyDescent="0.35"/>
    <row r="276" s="3" customFormat="1" ht="21" customHeight="1" x14ac:dyDescent="0.35"/>
    <row r="277" s="3" customFormat="1" ht="21" customHeight="1" x14ac:dyDescent="0.35"/>
    <row r="278" s="3" customFormat="1" ht="21" customHeight="1" x14ac:dyDescent="0.35"/>
    <row r="279" s="3" customFormat="1" ht="21" customHeight="1" x14ac:dyDescent="0.35"/>
    <row r="280" s="3" customFormat="1" ht="21" customHeight="1" x14ac:dyDescent="0.35"/>
    <row r="281" s="3" customFormat="1" ht="21" customHeight="1" x14ac:dyDescent="0.35"/>
    <row r="282" s="3" customFormat="1" ht="21" customHeight="1" x14ac:dyDescent="0.35"/>
    <row r="283" s="3" customFormat="1" ht="21" customHeight="1" x14ac:dyDescent="0.35"/>
    <row r="284" s="3" customFormat="1" ht="21" customHeight="1" x14ac:dyDescent="0.35"/>
    <row r="285" s="3" customFormat="1" ht="21" customHeight="1" x14ac:dyDescent="0.35"/>
    <row r="286" s="3" customFormat="1" ht="21" customHeight="1" x14ac:dyDescent="0.35"/>
  </sheetData>
  <mergeCells count="6">
    <mergeCell ref="C46:E46"/>
    <mergeCell ref="C131:E131"/>
    <mergeCell ref="A1:E1"/>
    <mergeCell ref="A2:J2"/>
    <mergeCell ref="C25:E25"/>
    <mergeCell ref="C23:E23"/>
  </mergeCells>
  <phoneticPr fontId="0" type="noConversion"/>
  <printOptions horizontalCentered="1" verticalCentered="1"/>
  <pageMargins left="0.59055118110236227" right="0" top="0" bottom="0" header="0.51181102362204722" footer="0.51181102362204722"/>
  <pageSetup paperSize="9" scale="33" orientation="portrait" r:id="rId1"/>
  <headerFooter alignWithMargins="0">
    <oddHeader xml:space="preserve">&amp;R&amp;"Times New Roman CE,Félkövér"&amp;16
&amp;"-,Félkövér"
3. melléklet a 14/2026. (IX.25.) önkormányzati rendelethez
"3. melléklet a 3/2026.(II.27.) önkormányzati rendelethez"
 &amp;"Times New Roman CE,Félkövér"
</oddHeader>
  </headerFooter>
  <rowBreaks count="1" manualBreakCount="1">
    <brk id="7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4BDF6-42FF-45D2-A081-017D49ACE510}">
  <dimension ref="A1:AP53"/>
  <sheetViews>
    <sheetView zoomScale="50" zoomScaleNormal="50" zoomScaleSheetLayoutView="50" workbookViewId="0">
      <pane xSplit="1" ySplit="8" topLeftCell="B9" activePane="bottomRight" state="frozen"/>
      <selection activeCell="AQ46" sqref="AQ46"/>
      <selection pane="topRight" activeCell="AQ46" sqref="AQ46"/>
      <selection pane="bottomLeft" activeCell="AQ46" sqref="AQ46"/>
      <selection pane="bottomRight" activeCell="A3" sqref="A3"/>
    </sheetView>
  </sheetViews>
  <sheetFormatPr defaultRowHeight="26.45" customHeight="1" x14ac:dyDescent="0.6"/>
  <cols>
    <col min="1" max="1" width="186.33203125" style="723" customWidth="1"/>
    <col min="2" max="2" width="49.83203125" style="725" customWidth="1"/>
    <col min="3" max="3" width="38.33203125" style="725" customWidth="1"/>
    <col min="4" max="5" width="50" style="725" customWidth="1"/>
    <col min="6" max="6" width="37.6640625" style="725" customWidth="1"/>
    <col min="7" max="8" width="50" style="725" customWidth="1"/>
    <col min="9" max="9" width="38.1640625" style="725" customWidth="1"/>
    <col min="10" max="11" width="50" style="725" customWidth="1"/>
    <col min="12" max="12" width="38.33203125" style="725" customWidth="1"/>
    <col min="13" max="14" width="50" style="725" customWidth="1"/>
    <col min="15" max="15" width="38.33203125" style="725" customWidth="1"/>
    <col min="16" max="16" width="50" style="725" customWidth="1"/>
    <col min="17" max="17" width="186.33203125" style="723" customWidth="1"/>
    <col min="18" max="18" width="50" style="725" customWidth="1"/>
    <col min="19" max="19" width="38.33203125" style="725" customWidth="1"/>
    <col min="20" max="21" width="49.83203125" style="725" customWidth="1"/>
    <col min="22" max="22" width="38.1640625" style="725" customWidth="1"/>
    <col min="23" max="23" width="49.83203125" style="725" customWidth="1"/>
    <col min="24" max="24" width="50" style="725" customWidth="1"/>
    <col min="25" max="25" width="38.33203125" style="725" customWidth="1"/>
    <col min="26" max="27" width="49.83203125" style="725" customWidth="1"/>
    <col min="28" max="28" width="38.1640625" style="725" customWidth="1"/>
    <col min="29" max="30" width="50" style="725" customWidth="1"/>
    <col min="31" max="31" width="38.33203125" style="725" customWidth="1"/>
    <col min="32" max="32" width="50" style="725" customWidth="1"/>
    <col min="33" max="33" width="186.33203125" style="723" customWidth="1"/>
    <col min="34" max="34" width="50" style="723" customWidth="1"/>
    <col min="35" max="35" width="38.33203125" style="723" customWidth="1"/>
    <col min="36" max="36" width="49.83203125" style="723" customWidth="1"/>
    <col min="37" max="37" width="50" style="723" customWidth="1"/>
    <col min="38" max="38" width="45" style="723" customWidth="1"/>
    <col min="39" max="39" width="50.33203125" style="737" customWidth="1"/>
    <col min="40" max="40" width="50" style="737" customWidth="1"/>
    <col min="41" max="41" width="45" style="737" customWidth="1"/>
    <col min="42" max="42" width="50" style="725" customWidth="1"/>
    <col min="43" max="255" width="9.33203125" style="723"/>
    <col min="256" max="256" width="186.33203125" style="723" customWidth="1"/>
    <col min="257" max="257" width="49.83203125" style="723" customWidth="1"/>
    <col min="258" max="258" width="38.33203125" style="723" customWidth="1"/>
    <col min="259" max="260" width="50" style="723" customWidth="1"/>
    <col min="261" max="261" width="37.6640625" style="723" customWidth="1"/>
    <col min="262" max="263" width="50" style="723" customWidth="1"/>
    <col min="264" max="264" width="38.1640625" style="723" customWidth="1"/>
    <col min="265" max="266" width="50" style="723" customWidth="1"/>
    <col min="267" max="267" width="38.33203125" style="723" customWidth="1"/>
    <col min="268" max="269" width="50" style="723" customWidth="1"/>
    <col min="270" max="270" width="38.33203125" style="723" customWidth="1"/>
    <col min="271" max="271" width="50" style="723" customWidth="1"/>
    <col min="272" max="272" width="186.33203125" style="723" customWidth="1"/>
    <col min="273" max="273" width="50" style="723" customWidth="1"/>
    <col min="274" max="274" width="38.33203125" style="723" customWidth="1"/>
    <col min="275" max="276" width="49.83203125" style="723" customWidth="1"/>
    <col min="277" max="277" width="38.1640625" style="723" customWidth="1"/>
    <col min="278" max="278" width="49.83203125" style="723" customWidth="1"/>
    <col min="279" max="279" width="50" style="723" customWidth="1"/>
    <col min="280" max="280" width="38.33203125" style="723" customWidth="1"/>
    <col min="281" max="282" width="49.83203125" style="723" customWidth="1"/>
    <col min="283" max="283" width="38.1640625" style="723" customWidth="1"/>
    <col min="284" max="285" width="50" style="723" customWidth="1"/>
    <col min="286" max="286" width="38.33203125" style="723" customWidth="1"/>
    <col min="287" max="287" width="50" style="723" customWidth="1"/>
    <col min="288" max="288" width="186.33203125" style="723" customWidth="1"/>
    <col min="289" max="289" width="50" style="723" customWidth="1"/>
    <col min="290" max="290" width="38.33203125" style="723" customWidth="1"/>
    <col min="291" max="291" width="49.83203125" style="723" customWidth="1"/>
    <col min="292" max="292" width="50" style="723" customWidth="1"/>
    <col min="293" max="293" width="45" style="723" customWidth="1"/>
    <col min="294" max="294" width="50.33203125" style="723" customWidth="1"/>
    <col min="295" max="295" width="50" style="723" customWidth="1"/>
    <col min="296" max="296" width="45" style="723" customWidth="1"/>
    <col min="297" max="297" width="50" style="723" customWidth="1"/>
    <col min="298" max="298" width="51" style="723" customWidth="1"/>
    <col min="299" max="511" width="9.33203125" style="723"/>
    <col min="512" max="512" width="186.33203125" style="723" customWidth="1"/>
    <col min="513" max="513" width="49.83203125" style="723" customWidth="1"/>
    <col min="514" max="514" width="38.33203125" style="723" customWidth="1"/>
    <col min="515" max="516" width="50" style="723" customWidth="1"/>
    <col min="517" max="517" width="37.6640625" style="723" customWidth="1"/>
    <col min="518" max="519" width="50" style="723" customWidth="1"/>
    <col min="520" max="520" width="38.1640625" style="723" customWidth="1"/>
    <col min="521" max="522" width="50" style="723" customWidth="1"/>
    <col min="523" max="523" width="38.33203125" style="723" customWidth="1"/>
    <col min="524" max="525" width="50" style="723" customWidth="1"/>
    <col min="526" max="526" width="38.33203125" style="723" customWidth="1"/>
    <col min="527" max="527" width="50" style="723" customWidth="1"/>
    <col min="528" max="528" width="186.33203125" style="723" customWidth="1"/>
    <col min="529" max="529" width="50" style="723" customWidth="1"/>
    <col min="530" max="530" width="38.33203125" style="723" customWidth="1"/>
    <col min="531" max="532" width="49.83203125" style="723" customWidth="1"/>
    <col min="533" max="533" width="38.1640625" style="723" customWidth="1"/>
    <col min="534" max="534" width="49.83203125" style="723" customWidth="1"/>
    <col min="535" max="535" width="50" style="723" customWidth="1"/>
    <col min="536" max="536" width="38.33203125" style="723" customWidth="1"/>
    <col min="537" max="538" width="49.83203125" style="723" customWidth="1"/>
    <col min="539" max="539" width="38.1640625" style="723" customWidth="1"/>
    <col min="540" max="541" width="50" style="723" customWidth="1"/>
    <col min="542" max="542" width="38.33203125" style="723" customWidth="1"/>
    <col min="543" max="543" width="50" style="723" customWidth="1"/>
    <col min="544" max="544" width="186.33203125" style="723" customWidth="1"/>
    <col min="545" max="545" width="50" style="723" customWidth="1"/>
    <col min="546" max="546" width="38.33203125" style="723" customWidth="1"/>
    <col min="547" max="547" width="49.83203125" style="723" customWidth="1"/>
    <col min="548" max="548" width="50" style="723" customWidth="1"/>
    <col min="549" max="549" width="45" style="723" customWidth="1"/>
    <col min="550" max="550" width="50.33203125" style="723" customWidth="1"/>
    <col min="551" max="551" width="50" style="723" customWidth="1"/>
    <col min="552" max="552" width="45" style="723" customWidth="1"/>
    <col min="553" max="553" width="50" style="723" customWidth="1"/>
    <col min="554" max="554" width="51" style="723" customWidth="1"/>
    <col min="555" max="767" width="9.33203125" style="723"/>
    <col min="768" max="768" width="186.33203125" style="723" customWidth="1"/>
    <col min="769" max="769" width="49.83203125" style="723" customWidth="1"/>
    <col min="770" max="770" width="38.33203125" style="723" customWidth="1"/>
    <col min="771" max="772" width="50" style="723" customWidth="1"/>
    <col min="773" max="773" width="37.6640625" style="723" customWidth="1"/>
    <col min="774" max="775" width="50" style="723" customWidth="1"/>
    <col min="776" max="776" width="38.1640625" style="723" customWidth="1"/>
    <col min="777" max="778" width="50" style="723" customWidth="1"/>
    <col min="779" max="779" width="38.33203125" style="723" customWidth="1"/>
    <col min="780" max="781" width="50" style="723" customWidth="1"/>
    <col min="782" max="782" width="38.33203125" style="723" customWidth="1"/>
    <col min="783" max="783" width="50" style="723" customWidth="1"/>
    <col min="784" max="784" width="186.33203125" style="723" customWidth="1"/>
    <col min="785" max="785" width="50" style="723" customWidth="1"/>
    <col min="786" max="786" width="38.33203125" style="723" customWidth="1"/>
    <col min="787" max="788" width="49.83203125" style="723" customWidth="1"/>
    <col min="789" max="789" width="38.1640625" style="723" customWidth="1"/>
    <col min="790" max="790" width="49.83203125" style="723" customWidth="1"/>
    <col min="791" max="791" width="50" style="723" customWidth="1"/>
    <col min="792" max="792" width="38.33203125" style="723" customWidth="1"/>
    <col min="793" max="794" width="49.83203125" style="723" customWidth="1"/>
    <col min="795" max="795" width="38.1640625" style="723" customWidth="1"/>
    <col min="796" max="797" width="50" style="723" customWidth="1"/>
    <col min="798" max="798" width="38.33203125" style="723" customWidth="1"/>
    <col min="799" max="799" width="50" style="723" customWidth="1"/>
    <col min="800" max="800" width="186.33203125" style="723" customWidth="1"/>
    <col min="801" max="801" width="50" style="723" customWidth="1"/>
    <col min="802" max="802" width="38.33203125" style="723" customWidth="1"/>
    <col min="803" max="803" width="49.83203125" style="723" customWidth="1"/>
    <col min="804" max="804" width="50" style="723" customWidth="1"/>
    <col min="805" max="805" width="45" style="723" customWidth="1"/>
    <col min="806" max="806" width="50.33203125" style="723" customWidth="1"/>
    <col min="807" max="807" width="50" style="723" customWidth="1"/>
    <col min="808" max="808" width="45" style="723" customWidth="1"/>
    <col min="809" max="809" width="50" style="723" customWidth="1"/>
    <col min="810" max="810" width="51" style="723" customWidth="1"/>
    <col min="811" max="1023" width="9.33203125" style="723"/>
    <col min="1024" max="1024" width="186.33203125" style="723" customWidth="1"/>
    <col min="1025" max="1025" width="49.83203125" style="723" customWidth="1"/>
    <col min="1026" max="1026" width="38.33203125" style="723" customWidth="1"/>
    <col min="1027" max="1028" width="50" style="723" customWidth="1"/>
    <col min="1029" max="1029" width="37.6640625" style="723" customWidth="1"/>
    <col min="1030" max="1031" width="50" style="723" customWidth="1"/>
    <col min="1032" max="1032" width="38.1640625" style="723" customWidth="1"/>
    <col min="1033" max="1034" width="50" style="723" customWidth="1"/>
    <col min="1035" max="1035" width="38.33203125" style="723" customWidth="1"/>
    <col min="1036" max="1037" width="50" style="723" customWidth="1"/>
    <col min="1038" max="1038" width="38.33203125" style="723" customWidth="1"/>
    <col min="1039" max="1039" width="50" style="723" customWidth="1"/>
    <col min="1040" max="1040" width="186.33203125" style="723" customWidth="1"/>
    <col min="1041" max="1041" width="50" style="723" customWidth="1"/>
    <col min="1042" max="1042" width="38.33203125" style="723" customWidth="1"/>
    <col min="1043" max="1044" width="49.83203125" style="723" customWidth="1"/>
    <col min="1045" max="1045" width="38.1640625" style="723" customWidth="1"/>
    <col min="1046" max="1046" width="49.83203125" style="723" customWidth="1"/>
    <col min="1047" max="1047" width="50" style="723" customWidth="1"/>
    <col min="1048" max="1048" width="38.33203125" style="723" customWidth="1"/>
    <col min="1049" max="1050" width="49.83203125" style="723" customWidth="1"/>
    <col min="1051" max="1051" width="38.1640625" style="723" customWidth="1"/>
    <col min="1052" max="1053" width="50" style="723" customWidth="1"/>
    <col min="1054" max="1054" width="38.33203125" style="723" customWidth="1"/>
    <col min="1055" max="1055" width="50" style="723" customWidth="1"/>
    <col min="1056" max="1056" width="186.33203125" style="723" customWidth="1"/>
    <col min="1057" max="1057" width="50" style="723" customWidth="1"/>
    <col min="1058" max="1058" width="38.33203125" style="723" customWidth="1"/>
    <col min="1059" max="1059" width="49.83203125" style="723" customWidth="1"/>
    <col min="1060" max="1060" width="50" style="723" customWidth="1"/>
    <col min="1061" max="1061" width="45" style="723" customWidth="1"/>
    <col min="1062" max="1062" width="50.33203125" style="723" customWidth="1"/>
    <col min="1063" max="1063" width="50" style="723" customWidth="1"/>
    <col min="1064" max="1064" width="45" style="723" customWidth="1"/>
    <col min="1065" max="1065" width="50" style="723" customWidth="1"/>
    <col min="1066" max="1066" width="51" style="723" customWidth="1"/>
    <col min="1067" max="1279" width="9.33203125" style="723"/>
    <col min="1280" max="1280" width="186.33203125" style="723" customWidth="1"/>
    <col min="1281" max="1281" width="49.83203125" style="723" customWidth="1"/>
    <col min="1282" max="1282" width="38.33203125" style="723" customWidth="1"/>
    <col min="1283" max="1284" width="50" style="723" customWidth="1"/>
    <col min="1285" max="1285" width="37.6640625" style="723" customWidth="1"/>
    <col min="1286" max="1287" width="50" style="723" customWidth="1"/>
    <col min="1288" max="1288" width="38.1640625" style="723" customWidth="1"/>
    <col min="1289" max="1290" width="50" style="723" customWidth="1"/>
    <col min="1291" max="1291" width="38.33203125" style="723" customWidth="1"/>
    <col min="1292" max="1293" width="50" style="723" customWidth="1"/>
    <col min="1294" max="1294" width="38.33203125" style="723" customWidth="1"/>
    <col min="1295" max="1295" width="50" style="723" customWidth="1"/>
    <col min="1296" max="1296" width="186.33203125" style="723" customWidth="1"/>
    <col min="1297" max="1297" width="50" style="723" customWidth="1"/>
    <col min="1298" max="1298" width="38.33203125" style="723" customWidth="1"/>
    <col min="1299" max="1300" width="49.83203125" style="723" customWidth="1"/>
    <col min="1301" max="1301" width="38.1640625" style="723" customWidth="1"/>
    <col min="1302" max="1302" width="49.83203125" style="723" customWidth="1"/>
    <col min="1303" max="1303" width="50" style="723" customWidth="1"/>
    <col min="1304" max="1304" width="38.33203125" style="723" customWidth="1"/>
    <col min="1305" max="1306" width="49.83203125" style="723" customWidth="1"/>
    <col min="1307" max="1307" width="38.1640625" style="723" customWidth="1"/>
    <col min="1308" max="1309" width="50" style="723" customWidth="1"/>
    <col min="1310" max="1310" width="38.33203125" style="723" customWidth="1"/>
    <col min="1311" max="1311" width="50" style="723" customWidth="1"/>
    <col min="1312" max="1312" width="186.33203125" style="723" customWidth="1"/>
    <col min="1313" max="1313" width="50" style="723" customWidth="1"/>
    <col min="1314" max="1314" width="38.33203125" style="723" customWidth="1"/>
    <col min="1315" max="1315" width="49.83203125" style="723" customWidth="1"/>
    <col min="1316" max="1316" width="50" style="723" customWidth="1"/>
    <col min="1317" max="1317" width="45" style="723" customWidth="1"/>
    <col min="1318" max="1318" width="50.33203125" style="723" customWidth="1"/>
    <col min="1319" max="1319" width="50" style="723" customWidth="1"/>
    <col min="1320" max="1320" width="45" style="723" customWidth="1"/>
    <col min="1321" max="1321" width="50" style="723" customWidth="1"/>
    <col min="1322" max="1322" width="51" style="723" customWidth="1"/>
    <col min="1323" max="1535" width="9.33203125" style="723"/>
    <col min="1536" max="1536" width="186.33203125" style="723" customWidth="1"/>
    <col min="1537" max="1537" width="49.83203125" style="723" customWidth="1"/>
    <col min="1538" max="1538" width="38.33203125" style="723" customWidth="1"/>
    <col min="1539" max="1540" width="50" style="723" customWidth="1"/>
    <col min="1541" max="1541" width="37.6640625" style="723" customWidth="1"/>
    <col min="1542" max="1543" width="50" style="723" customWidth="1"/>
    <col min="1544" max="1544" width="38.1640625" style="723" customWidth="1"/>
    <col min="1545" max="1546" width="50" style="723" customWidth="1"/>
    <col min="1547" max="1547" width="38.33203125" style="723" customWidth="1"/>
    <col min="1548" max="1549" width="50" style="723" customWidth="1"/>
    <col min="1550" max="1550" width="38.33203125" style="723" customWidth="1"/>
    <col min="1551" max="1551" width="50" style="723" customWidth="1"/>
    <col min="1552" max="1552" width="186.33203125" style="723" customWidth="1"/>
    <col min="1553" max="1553" width="50" style="723" customWidth="1"/>
    <col min="1554" max="1554" width="38.33203125" style="723" customWidth="1"/>
    <col min="1555" max="1556" width="49.83203125" style="723" customWidth="1"/>
    <col min="1557" max="1557" width="38.1640625" style="723" customWidth="1"/>
    <col min="1558" max="1558" width="49.83203125" style="723" customWidth="1"/>
    <col min="1559" max="1559" width="50" style="723" customWidth="1"/>
    <col min="1560" max="1560" width="38.33203125" style="723" customWidth="1"/>
    <col min="1561" max="1562" width="49.83203125" style="723" customWidth="1"/>
    <col min="1563" max="1563" width="38.1640625" style="723" customWidth="1"/>
    <col min="1564" max="1565" width="50" style="723" customWidth="1"/>
    <col min="1566" max="1566" width="38.33203125" style="723" customWidth="1"/>
    <col min="1567" max="1567" width="50" style="723" customWidth="1"/>
    <col min="1568" max="1568" width="186.33203125" style="723" customWidth="1"/>
    <col min="1569" max="1569" width="50" style="723" customWidth="1"/>
    <col min="1570" max="1570" width="38.33203125" style="723" customWidth="1"/>
    <col min="1571" max="1571" width="49.83203125" style="723" customWidth="1"/>
    <col min="1572" max="1572" width="50" style="723" customWidth="1"/>
    <col min="1573" max="1573" width="45" style="723" customWidth="1"/>
    <col min="1574" max="1574" width="50.33203125" style="723" customWidth="1"/>
    <col min="1575" max="1575" width="50" style="723" customWidth="1"/>
    <col min="1576" max="1576" width="45" style="723" customWidth="1"/>
    <col min="1577" max="1577" width="50" style="723" customWidth="1"/>
    <col min="1578" max="1578" width="51" style="723" customWidth="1"/>
    <col min="1579" max="1791" width="9.33203125" style="723"/>
    <col min="1792" max="1792" width="186.33203125" style="723" customWidth="1"/>
    <col min="1793" max="1793" width="49.83203125" style="723" customWidth="1"/>
    <col min="1794" max="1794" width="38.33203125" style="723" customWidth="1"/>
    <col min="1795" max="1796" width="50" style="723" customWidth="1"/>
    <col min="1797" max="1797" width="37.6640625" style="723" customWidth="1"/>
    <col min="1798" max="1799" width="50" style="723" customWidth="1"/>
    <col min="1800" max="1800" width="38.1640625" style="723" customWidth="1"/>
    <col min="1801" max="1802" width="50" style="723" customWidth="1"/>
    <col min="1803" max="1803" width="38.33203125" style="723" customWidth="1"/>
    <col min="1804" max="1805" width="50" style="723" customWidth="1"/>
    <col min="1806" max="1806" width="38.33203125" style="723" customWidth="1"/>
    <col min="1807" max="1807" width="50" style="723" customWidth="1"/>
    <col min="1808" max="1808" width="186.33203125" style="723" customWidth="1"/>
    <col min="1809" max="1809" width="50" style="723" customWidth="1"/>
    <col min="1810" max="1810" width="38.33203125" style="723" customWidth="1"/>
    <col min="1811" max="1812" width="49.83203125" style="723" customWidth="1"/>
    <col min="1813" max="1813" width="38.1640625" style="723" customWidth="1"/>
    <col min="1814" max="1814" width="49.83203125" style="723" customWidth="1"/>
    <col min="1815" max="1815" width="50" style="723" customWidth="1"/>
    <col min="1816" max="1816" width="38.33203125" style="723" customWidth="1"/>
    <col min="1817" max="1818" width="49.83203125" style="723" customWidth="1"/>
    <col min="1819" max="1819" width="38.1640625" style="723" customWidth="1"/>
    <col min="1820" max="1821" width="50" style="723" customWidth="1"/>
    <col min="1822" max="1822" width="38.33203125" style="723" customWidth="1"/>
    <col min="1823" max="1823" width="50" style="723" customWidth="1"/>
    <col min="1824" max="1824" width="186.33203125" style="723" customWidth="1"/>
    <col min="1825" max="1825" width="50" style="723" customWidth="1"/>
    <col min="1826" max="1826" width="38.33203125" style="723" customWidth="1"/>
    <col min="1827" max="1827" width="49.83203125" style="723" customWidth="1"/>
    <col min="1828" max="1828" width="50" style="723" customWidth="1"/>
    <col min="1829" max="1829" width="45" style="723" customWidth="1"/>
    <col min="1830" max="1830" width="50.33203125" style="723" customWidth="1"/>
    <col min="1831" max="1831" width="50" style="723" customWidth="1"/>
    <col min="1832" max="1832" width="45" style="723" customWidth="1"/>
    <col min="1833" max="1833" width="50" style="723" customWidth="1"/>
    <col min="1834" max="1834" width="51" style="723" customWidth="1"/>
    <col min="1835" max="2047" width="9.33203125" style="723"/>
    <col min="2048" max="2048" width="186.33203125" style="723" customWidth="1"/>
    <col min="2049" max="2049" width="49.83203125" style="723" customWidth="1"/>
    <col min="2050" max="2050" width="38.33203125" style="723" customWidth="1"/>
    <col min="2051" max="2052" width="50" style="723" customWidth="1"/>
    <col min="2053" max="2053" width="37.6640625" style="723" customWidth="1"/>
    <col min="2054" max="2055" width="50" style="723" customWidth="1"/>
    <col min="2056" max="2056" width="38.1640625" style="723" customWidth="1"/>
    <col min="2057" max="2058" width="50" style="723" customWidth="1"/>
    <col min="2059" max="2059" width="38.33203125" style="723" customWidth="1"/>
    <col min="2060" max="2061" width="50" style="723" customWidth="1"/>
    <col min="2062" max="2062" width="38.33203125" style="723" customWidth="1"/>
    <col min="2063" max="2063" width="50" style="723" customWidth="1"/>
    <col min="2064" max="2064" width="186.33203125" style="723" customWidth="1"/>
    <col min="2065" max="2065" width="50" style="723" customWidth="1"/>
    <col min="2066" max="2066" width="38.33203125" style="723" customWidth="1"/>
    <col min="2067" max="2068" width="49.83203125" style="723" customWidth="1"/>
    <col min="2069" max="2069" width="38.1640625" style="723" customWidth="1"/>
    <col min="2070" max="2070" width="49.83203125" style="723" customWidth="1"/>
    <col min="2071" max="2071" width="50" style="723" customWidth="1"/>
    <col min="2072" max="2072" width="38.33203125" style="723" customWidth="1"/>
    <col min="2073" max="2074" width="49.83203125" style="723" customWidth="1"/>
    <col min="2075" max="2075" width="38.1640625" style="723" customWidth="1"/>
    <col min="2076" max="2077" width="50" style="723" customWidth="1"/>
    <col min="2078" max="2078" width="38.33203125" style="723" customWidth="1"/>
    <col min="2079" max="2079" width="50" style="723" customWidth="1"/>
    <col min="2080" max="2080" width="186.33203125" style="723" customWidth="1"/>
    <col min="2081" max="2081" width="50" style="723" customWidth="1"/>
    <col min="2082" max="2082" width="38.33203125" style="723" customWidth="1"/>
    <col min="2083" max="2083" width="49.83203125" style="723" customWidth="1"/>
    <col min="2084" max="2084" width="50" style="723" customWidth="1"/>
    <col min="2085" max="2085" width="45" style="723" customWidth="1"/>
    <col min="2086" max="2086" width="50.33203125" style="723" customWidth="1"/>
    <col min="2087" max="2087" width="50" style="723" customWidth="1"/>
    <col min="2088" max="2088" width="45" style="723" customWidth="1"/>
    <col min="2089" max="2089" width="50" style="723" customWidth="1"/>
    <col min="2090" max="2090" width="51" style="723" customWidth="1"/>
    <col min="2091" max="2303" width="9.33203125" style="723"/>
    <col min="2304" max="2304" width="186.33203125" style="723" customWidth="1"/>
    <col min="2305" max="2305" width="49.83203125" style="723" customWidth="1"/>
    <col min="2306" max="2306" width="38.33203125" style="723" customWidth="1"/>
    <col min="2307" max="2308" width="50" style="723" customWidth="1"/>
    <col min="2309" max="2309" width="37.6640625" style="723" customWidth="1"/>
    <col min="2310" max="2311" width="50" style="723" customWidth="1"/>
    <col min="2312" max="2312" width="38.1640625" style="723" customWidth="1"/>
    <col min="2313" max="2314" width="50" style="723" customWidth="1"/>
    <col min="2315" max="2315" width="38.33203125" style="723" customWidth="1"/>
    <col min="2316" max="2317" width="50" style="723" customWidth="1"/>
    <col min="2318" max="2318" width="38.33203125" style="723" customWidth="1"/>
    <col min="2319" max="2319" width="50" style="723" customWidth="1"/>
    <col min="2320" max="2320" width="186.33203125" style="723" customWidth="1"/>
    <col min="2321" max="2321" width="50" style="723" customWidth="1"/>
    <col min="2322" max="2322" width="38.33203125" style="723" customWidth="1"/>
    <col min="2323" max="2324" width="49.83203125" style="723" customWidth="1"/>
    <col min="2325" max="2325" width="38.1640625" style="723" customWidth="1"/>
    <col min="2326" max="2326" width="49.83203125" style="723" customWidth="1"/>
    <col min="2327" max="2327" width="50" style="723" customWidth="1"/>
    <col min="2328" max="2328" width="38.33203125" style="723" customWidth="1"/>
    <col min="2329" max="2330" width="49.83203125" style="723" customWidth="1"/>
    <col min="2331" max="2331" width="38.1640625" style="723" customWidth="1"/>
    <col min="2332" max="2333" width="50" style="723" customWidth="1"/>
    <col min="2334" max="2334" width="38.33203125" style="723" customWidth="1"/>
    <col min="2335" max="2335" width="50" style="723" customWidth="1"/>
    <col min="2336" max="2336" width="186.33203125" style="723" customWidth="1"/>
    <col min="2337" max="2337" width="50" style="723" customWidth="1"/>
    <col min="2338" max="2338" width="38.33203125" style="723" customWidth="1"/>
    <col min="2339" max="2339" width="49.83203125" style="723" customWidth="1"/>
    <col min="2340" max="2340" width="50" style="723" customWidth="1"/>
    <col min="2341" max="2341" width="45" style="723" customWidth="1"/>
    <col min="2342" max="2342" width="50.33203125" style="723" customWidth="1"/>
    <col min="2343" max="2343" width="50" style="723" customWidth="1"/>
    <col min="2344" max="2344" width="45" style="723" customWidth="1"/>
    <col min="2345" max="2345" width="50" style="723" customWidth="1"/>
    <col min="2346" max="2346" width="51" style="723" customWidth="1"/>
    <col min="2347" max="2559" width="9.33203125" style="723"/>
    <col min="2560" max="2560" width="186.33203125" style="723" customWidth="1"/>
    <col min="2561" max="2561" width="49.83203125" style="723" customWidth="1"/>
    <col min="2562" max="2562" width="38.33203125" style="723" customWidth="1"/>
    <col min="2563" max="2564" width="50" style="723" customWidth="1"/>
    <col min="2565" max="2565" width="37.6640625" style="723" customWidth="1"/>
    <col min="2566" max="2567" width="50" style="723" customWidth="1"/>
    <col min="2568" max="2568" width="38.1640625" style="723" customWidth="1"/>
    <col min="2569" max="2570" width="50" style="723" customWidth="1"/>
    <col min="2571" max="2571" width="38.33203125" style="723" customWidth="1"/>
    <col min="2572" max="2573" width="50" style="723" customWidth="1"/>
    <col min="2574" max="2574" width="38.33203125" style="723" customWidth="1"/>
    <col min="2575" max="2575" width="50" style="723" customWidth="1"/>
    <col min="2576" max="2576" width="186.33203125" style="723" customWidth="1"/>
    <col min="2577" max="2577" width="50" style="723" customWidth="1"/>
    <col min="2578" max="2578" width="38.33203125" style="723" customWidth="1"/>
    <col min="2579" max="2580" width="49.83203125" style="723" customWidth="1"/>
    <col min="2581" max="2581" width="38.1640625" style="723" customWidth="1"/>
    <col min="2582" max="2582" width="49.83203125" style="723" customWidth="1"/>
    <col min="2583" max="2583" width="50" style="723" customWidth="1"/>
    <col min="2584" max="2584" width="38.33203125" style="723" customWidth="1"/>
    <col min="2585" max="2586" width="49.83203125" style="723" customWidth="1"/>
    <col min="2587" max="2587" width="38.1640625" style="723" customWidth="1"/>
    <col min="2588" max="2589" width="50" style="723" customWidth="1"/>
    <col min="2590" max="2590" width="38.33203125" style="723" customWidth="1"/>
    <col min="2591" max="2591" width="50" style="723" customWidth="1"/>
    <col min="2592" max="2592" width="186.33203125" style="723" customWidth="1"/>
    <col min="2593" max="2593" width="50" style="723" customWidth="1"/>
    <col min="2594" max="2594" width="38.33203125" style="723" customWidth="1"/>
    <col min="2595" max="2595" width="49.83203125" style="723" customWidth="1"/>
    <col min="2596" max="2596" width="50" style="723" customWidth="1"/>
    <col min="2597" max="2597" width="45" style="723" customWidth="1"/>
    <col min="2598" max="2598" width="50.33203125" style="723" customWidth="1"/>
    <col min="2599" max="2599" width="50" style="723" customWidth="1"/>
    <col min="2600" max="2600" width="45" style="723" customWidth="1"/>
    <col min="2601" max="2601" width="50" style="723" customWidth="1"/>
    <col min="2602" max="2602" width="51" style="723" customWidth="1"/>
    <col min="2603" max="2815" width="9.33203125" style="723"/>
    <col min="2816" max="2816" width="186.33203125" style="723" customWidth="1"/>
    <col min="2817" max="2817" width="49.83203125" style="723" customWidth="1"/>
    <col min="2818" max="2818" width="38.33203125" style="723" customWidth="1"/>
    <col min="2819" max="2820" width="50" style="723" customWidth="1"/>
    <col min="2821" max="2821" width="37.6640625" style="723" customWidth="1"/>
    <col min="2822" max="2823" width="50" style="723" customWidth="1"/>
    <col min="2824" max="2824" width="38.1640625" style="723" customWidth="1"/>
    <col min="2825" max="2826" width="50" style="723" customWidth="1"/>
    <col min="2827" max="2827" width="38.33203125" style="723" customWidth="1"/>
    <col min="2828" max="2829" width="50" style="723" customWidth="1"/>
    <col min="2830" max="2830" width="38.33203125" style="723" customWidth="1"/>
    <col min="2831" max="2831" width="50" style="723" customWidth="1"/>
    <col min="2832" max="2832" width="186.33203125" style="723" customWidth="1"/>
    <col min="2833" max="2833" width="50" style="723" customWidth="1"/>
    <col min="2834" max="2834" width="38.33203125" style="723" customWidth="1"/>
    <col min="2835" max="2836" width="49.83203125" style="723" customWidth="1"/>
    <col min="2837" max="2837" width="38.1640625" style="723" customWidth="1"/>
    <col min="2838" max="2838" width="49.83203125" style="723" customWidth="1"/>
    <col min="2839" max="2839" width="50" style="723" customWidth="1"/>
    <col min="2840" max="2840" width="38.33203125" style="723" customWidth="1"/>
    <col min="2841" max="2842" width="49.83203125" style="723" customWidth="1"/>
    <col min="2843" max="2843" width="38.1640625" style="723" customWidth="1"/>
    <col min="2844" max="2845" width="50" style="723" customWidth="1"/>
    <col min="2846" max="2846" width="38.33203125" style="723" customWidth="1"/>
    <col min="2847" max="2847" width="50" style="723" customWidth="1"/>
    <col min="2848" max="2848" width="186.33203125" style="723" customWidth="1"/>
    <col min="2849" max="2849" width="50" style="723" customWidth="1"/>
    <col min="2850" max="2850" width="38.33203125" style="723" customWidth="1"/>
    <col min="2851" max="2851" width="49.83203125" style="723" customWidth="1"/>
    <col min="2852" max="2852" width="50" style="723" customWidth="1"/>
    <col min="2853" max="2853" width="45" style="723" customWidth="1"/>
    <col min="2854" max="2854" width="50.33203125" style="723" customWidth="1"/>
    <col min="2855" max="2855" width="50" style="723" customWidth="1"/>
    <col min="2856" max="2856" width="45" style="723" customWidth="1"/>
    <col min="2857" max="2857" width="50" style="723" customWidth="1"/>
    <col min="2858" max="2858" width="51" style="723" customWidth="1"/>
    <col min="2859" max="3071" width="9.33203125" style="723"/>
    <col min="3072" max="3072" width="186.33203125" style="723" customWidth="1"/>
    <col min="3073" max="3073" width="49.83203125" style="723" customWidth="1"/>
    <col min="3074" max="3074" width="38.33203125" style="723" customWidth="1"/>
    <col min="3075" max="3076" width="50" style="723" customWidth="1"/>
    <col min="3077" max="3077" width="37.6640625" style="723" customWidth="1"/>
    <col min="3078" max="3079" width="50" style="723" customWidth="1"/>
    <col min="3080" max="3080" width="38.1640625" style="723" customWidth="1"/>
    <col min="3081" max="3082" width="50" style="723" customWidth="1"/>
    <col min="3083" max="3083" width="38.33203125" style="723" customWidth="1"/>
    <col min="3084" max="3085" width="50" style="723" customWidth="1"/>
    <col min="3086" max="3086" width="38.33203125" style="723" customWidth="1"/>
    <col min="3087" max="3087" width="50" style="723" customWidth="1"/>
    <col min="3088" max="3088" width="186.33203125" style="723" customWidth="1"/>
    <col min="3089" max="3089" width="50" style="723" customWidth="1"/>
    <col min="3090" max="3090" width="38.33203125" style="723" customWidth="1"/>
    <col min="3091" max="3092" width="49.83203125" style="723" customWidth="1"/>
    <col min="3093" max="3093" width="38.1640625" style="723" customWidth="1"/>
    <col min="3094" max="3094" width="49.83203125" style="723" customWidth="1"/>
    <col min="3095" max="3095" width="50" style="723" customWidth="1"/>
    <col min="3096" max="3096" width="38.33203125" style="723" customWidth="1"/>
    <col min="3097" max="3098" width="49.83203125" style="723" customWidth="1"/>
    <col min="3099" max="3099" width="38.1640625" style="723" customWidth="1"/>
    <col min="3100" max="3101" width="50" style="723" customWidth="1"/>
    <col min="3102" max="3102" width="38.33203125" style="723" customWidth="1"/>
    <col min="3103" max="3103" width="50" style="723" customWidth="1"/>
    <col min="3104" max="3104" width="186.33203125" style="723" customWidth="1"/>
    <col min="3105" max="3105" width="50" style="723" customWidth="1"/>
    <col min="3106" max="3106" width="38.33203125" style="723" customWidth="1"/>
    <col min="3107" max="3107" width="49.83203125" style="723" customWidth="1"/>
    <col min="3108" max="3108" width="50" style="723" customWidth="1"/>
    <col min="3109" max="3109" width="45" style="723" customWidth="1"/>
    <col min="3110" max="3110" width="50.33203125" style="723" customWidth="1"/>
    <col min="3111" max="3111" width="50" style="723" customWidth="1"/>
    <col min="3112" max="3112" width="45" style="723" customWidth="1"/>
    <col min="3113" max="3113" width="50" style="723" customWidth="1"/>
    <col min="3114" max="3114" width="51" style="723" customWidth="1"/>
    <col min="3115" max="3327" width="9.33203125" style="723"/>
    <col min="3328" max="3328" width="186.33203125" style="723" customWidth="1"/>
    <col min="3329" max="3329" width="49.83203125" style="723" customWidth="1"/>
    <col min="3330" max="3330" width="38.33203125" style="723" customWidth="1"/>
    <col min="3331" max="3332" width="50" style="723" customWidth="1"/>
    <col min="3333" max="3333" width="37.6640625" style="723" customWidth="1"/>
    <col min="3334" max="3335" width="50" style="723" customWidth="1"/>
    <col min="3336" max="3336" width="38.1640625" style="723" customWidth="1"/>
    <col min="3337" max="3338" width="50" style="723" customWidth="1"/>
    <col min="3339" max="3339" width="38.33203125" style="723" customWidth="1"/>
    <col min="3340" max="3341" width="50" style="723" customWidth="1"/>
    <col min="3342" max="3342" width="38.33203125" style="723" customWidth="1"/>
    <col min="3343" max="3343" width="50" style="723" customWidth="1"/>
    <col min="3344" max="3344" width="186.33203125" style="723" customWidth="1"/>
    <col min="3345" max="3345" width="50" style="723" customWidth="1"/>
    <col min="3346" max="3346" width="38.33203125" style="723" customWidth="1"/>
    <col min="3347" max="3348" width="49.83203125" style="723" customWidth="1"/>
    <col min="3349" max="3349" width="38.1640625" style="723" customWidth="1"/>
    <col min="3350" max="3350" width="49.83203125" style="723" customWidth="1"/>
    <col min="3351" max="3351" width="50" style="723" customWidth="1"/>
    <col min="3352" max="3352" width="38.33203125" style="723" customWidth="1"/>
    <col min="3353" max="3354" width="49.83203125" style="723" customWidth="1"/>
    <col min="3355" max="3355" width="38.1640625" style="723" customWidth="1"/>
    <col min="3356" max="3357" width="50" style="723" customWidth="1"/>
    <col min="3358" max="3358" width="38.33203125" style="723" customWidth="1"/>
    <col min="3359" max="3359" width="50" style="723" customWidth="1"/>
    <col min="3360" max="3360" width="186.33203125" style="723" customWidth="1"/>
    <col min="3361" max="3361" width="50" style="723" customWidth="1"/>
    <col min="3362" max="3362" width="38.33203125" style="723" customWidth="1"/>
    <col min="3363" max="3363" width="49.83203125" style="723" customWidth="1"/>
    <col min="3364" max="3364" width="50" style="723" customWidth="1"/>
    <col min="3365" max="3365" width="45" style="723" customWidth="1"/>
    <col min="3366" max="3366" width="50.33203125" style="723" customWidth="1"/>
    <col min="3367" max="3367" width="50" style="723" customWidth="1"/>
    <col min="3368" max="3368" width="45" style="723" customWidth="1"/>
    <col min="3369" max="3369" width="50" style="723" customWidth="1"/>
    <col min="3370" max="3370" width="51" style="723" customWidth="1"/>
    <col min="3371" max="3583" width="9.33203125" style="723"/>
    <col min="3584" max="3584" width="186.33203125" style="723" customWidth="1"/>
    <col min="3585" max="3585" width="49.83203125" style="723" customWidth="1"/>
    <col min="3586" max="3586" width="38.33203125" style="723" customWidth="1"/>
    <col min="3587" max="3588" width="50" style="723" customWidth="1"/>
    <col min="3589" max="3589" width="37.6640625" style="723" customWidth="1"/>
    <col min="3590" max="3591" width="50" style="723" customWidth="1"/>
    <col min="3592" max="3592" width="38.1640625" style="723" customWidth="1"/>
    <col min="3593" max="3594" width="50" style="723" customWidth="1"/>
    <col min="3595" max="3595" width="38.33203125" style="723" customWidth="1"/>
    <col min="3596" max="3597" width="50" style="723" customWidth="1"/>
    <col min="3598" max="3598" width="38.33203125" style="723" customWidth="1"/>
    <col min="3599" max="3599" width="50" style="723" customWidth="1"/>
    <col min="3600" max="3600" width="186.33203125" style="723" customWidth="1"/>
    <col min="3601" max="3601" width="50" style="723" customWidth="1"/>
    <col min="3602" max="3602" width="38.33203125" style="723" customWidth="1"/>
    <col min="3603" max="3604" width="49.83203125" style="723" customWidth="1"/>
    <col min="3605" max="3605" width="38.1640625" style="723" customWidth="1"/>
    <col min="3606" max="3606" width="49.83203125" style="723" customWidth="1"/>
    <col min="3607" max="3607" width="50" style="723" customWidth="1"/>
    <col min="3608" max="3608" width="38.33203125" style="723" customWidth="1"/>
    <col min="3609" max="3610" width="49.83203125" style="723" customWidth="1"/>
    <col min="3611" max="3611" width="38.1640625" style="723" customWidth="1"/>
    <col min="3612" max="3613" width="50" style="723" customWidth="1"/>
    <col min="3614" max="3614" width="38.33203125" style="723" customWidth="1"/>
    <col min="3615" max="3615" width="50" style="723" customWidth="1"/>
    <col min="3616" max="3616" width="186.33203125" style="723" customWidth="1"/>
    <col min="3617" max="3617" width="50" style="723" customWidth="1"/>
    <col min="3618" max="3618" width="38.33203125" style="723" customWidth="1"/>
    <col min="3619" max="3619" width="49.83203125" style="723" customWidth="1"/>
    <col min="3620" max="3620" width="50" style="723" customWidth="1"/>
    <col min="3621" max="3621" width="45" style="723" customWidth="1"/>
    <col min="3622" max="3622" width="50.33203125" style="723" customWidth="1"/>
    <col min="3623" max="3623" width="50" style="723" customWidth="1"/>
    <col min="3624" max="3624" width="45" style="723" customWidth="1"/>
    <col min="3625" max="3625" width="50" style="723" customWidth="1"/>
    <col min="3626" max="3626" width="51" style="723" customWidth="1"/>
    <col min="3627" max="3839" width="9.33203125" style="723"/>
    <col min="3840" max="3840" width="186.33203125" style="723" customWidth="1"/>
    <col min="3841" max="3841" width="49.83203125" style="723" customWidth="1"/>
    <col min="3842" max="3842" width="38.33203125" style="723" customWidth="1"/>
    <col min="3843" max="3844" width="50" style="723" customWidth="1"/>
    <col min="3845" max="3845" width="37.6640625" style="723" customWidth="1"/>
    <col min="3846" max="3847" width="50" style="723" customWidth="1"/>
    <col min="3848" max="3848" width="38.1640625" style="723" customWidth="1"/>
    <col min="3849" max="3850" width="50" style="723" customWidth="1"/>
    <col min="3851" max="3851" width="38.33203125" style="723" customWidth="1"/>
    <col min="3852" max="3853" width="50" style="723" customWidth="1"/>
    <col min="3854" max="3854" width="38.33203125" style="723" customWidth="1"/>
    <col min="3855" max="3855" width="50" style="723" customWidth="1"/>
    <col min="3856" max="3856" width="186.33203125" style="723" customWidth="1"/>
    <col min="3857" max="3857" width="50" style="723" customWidth="1"/>
    <col min="3858" max="3858" width="38.33203125" style="723" customWidth="1"/>
    <col min="3859" max="3860" width="49.83203125" style="723" customWidth="1"/>
    <col min="3861" max="3861" width="38.1640625" style="723" customWidth="1"/>
    <col min="3862" max="3862" width="49.83203125" style="723" customWidth="1"/>
    <col min="3863" max="3863" width="50" style="723" customWidth="1"/>
    <col min="3864" max="3864" width="38.33203125" style="723" customWidth="1"/>
    <col min="3865" max="3866" width="49.83203125" style="723" customWidth="1"/>
    <col min="3867" max="3867" width="38.1640625" style="723" customWidth="1"/>
    <col min="3868" max="3869" width="50" style="723" customWidth="1"/>
    <col min="3870" max="3870" width="38.33203125" style="723" customWidth="1"/>
    <col min="3871" max="3871" width="50" style="723" customWidth="1"/>
    <col min="3872" max="3872" width="186.33203125" style="723" customWidth="1"/>
    <col min="3873" max="3873" width="50" style="723" customWidth="1"/>
    <col min="3874" max="3874" width="38.33203125" style="723" customWidth="1"/>
    <col min="3875" max="3875" width="49.83203125" style="723" customWidth="1"/>
    <col min="3876" max="3876" width="50" style="723" customWidth="1"/>
    <col min="3877" max="3877" width="45" style="723" customWidth="1"/>
    <col min="3878" max="3878" width="50.33203125" style="723" customWidth="1"/>
    <col min="3879" max="3879" width="50" style="723" customWidth="1"/>
    <col min="3880" max="3880" width="45" style="723" customWidth="1"/>
    <col min="3881" max="3881" width="50" style="723" customWidth="1"/>
    <col min="3882" max="3882" width="51" style="723" customWidth="1"/>
    <col min="3883" max="4095" width="9.33203125" style="723"/>
    <col min="4096" max="4096" width="186.33203125" style="723" customWidth="1"/>
    <col min="4097" max="4097" width="49.83203125" style="723" customWidth="1"/>
    <col min="4098" max="4098" width="38.33203125" style="723" customWidth="1"/>
    <col min="4099" max="4100" width="50" style="723" customWidth="1"/>
    <col min="4101" max="4101" width="37.6640625" style="723" customWidth="1"/>
    <col min="4102" max="4103" width="50" style="723" customWidth="1"/>
    <col min="4104" max="4104" width="38.1640625" style="723" customWidth="1"/>
    <col min="4105" max="4106" width="50" style="723" customWidth="1"/>
    <col min="4107" max="4107" width="38.33203125" style="723" customWidth="1"/>
    <col min="4108" max="4109" width="50" style="723" customWidth="1"/>
    <col min="4110" max="4110" width="38.33203125" style="723" customWidth="1"/>
    <col min="4111" max="4111" width="50" style="723" customWidth="1"/>
    <col min="4112" max="4112" width="186.33203125" style="723" customWidth="1"/>
    <col min="4113" max="4113" width="50" style="723" customWidth="1"/>
    <col min="4114" max="4114" width="38.33203125" style="723" customWidth="1"/>
    <col min="4115" max="4116" width="49.83203125" style="723" customWidth="1"/>
    <col min="4117" max="4117" width="38.1640625" style="723" customWidth="1"/>
    <col min="4118" max="4118" width="49.83203125" style="723" customWidth="1"/>
    <col min="4119" max="4119" width="50" style="723" customWidth="1"/>
    <col min="4120" max="4120" width="38.33203125" style="723" customWidth="1"/>
    <col min="4121" max="4122" width="49.83203125" style="723" customWidth="1"/>
    <col min="4123" max="4123" width="38.1640625" style="723" customWidth="1"/>
    <col min="4124" max="4125" width="50" style="723" customWidth="1"/>
    <col min="4126" max="4126" width="38.33203125" style="723" customWidth="1"/>
    <col min="4127" max="4127" width="50" style="723" customWidth="1"/>
    <col min="4128" max="4128" width="186.33203125" style="723" customWidth="1"/>
    <col min="4129" max="4129" width="50" style="723" customWidth="1"/>
    <col min="4130" max="4130" width="38.33203125" style="723" customWidth="1"/>
    <col min="4131" max="4131" width="49.83203125" style="723" customWidth="1"/>
    <col min="4132" max="4132" width="50" style="723" customWidth="1"/>
    <col min="4133" max="4133" width="45" style="723" customWidth="1"/>
    <col min="4134" max="4134" width="50.33203125" style="723" customWidth="1"/>
    <col min="4135" max="4135" width="50" style="723" customWidth="1"/>
    <col min="4136" max="4136" width="45" style="723" customWidth="1"/>
    <col min="4137" max="4137" width="50" style="723" customWidth="1"/>
    <col min="4138" max="4138" width="51" style="723" customWidth="1"/>
    <col min="4139" max="4351" width="9.33203125" style="723"/>
    <col min="4352" max="4352" width="186.33203125" style="723" customWidth="1"/>
    <col min="4353" max="4353" width="49.83203125" style="723" customWidth="1"/>
    <col min="4354" max="4354" width="38.33203125" style="723" customWidth="1"/>
    <col min="4355" max="4356" width="50" style="723" customWidth="1"/>
    <col min="4357" max="4357" width="37.6640625" style="723" customWidth="1"/>
    <col min="4358" max="4359" width="50" style="723" customWidth="1"/>
    <col min="4360" max="4360" width="38.1640625" style="723" customWidth="1"/>
    <col min="4361" max="4362" width="50" style="723" customWidth="1"/>
    <col min="4363" max="4363" width="38.33203125" style="723" customWidth="1"/>
    <col min="4364" max="4365" width="50" style="723" customWidth="1"/>
    <col min="4366" max="4366" width="38.33203125" style="723" customWidth="1"/>
    <col min="4367" max="4367" width="50" style="723" customWidth="1"/>
    <col min="4368" max="4368" width="186.33203125" style="723" customWidth="1"/>
    <col min="4369" max="4369" width="50" style="723" customWidth="1"/>
    <col min="4370" max="4370" width="38.33203125" style="723" customWidth="1"/>
    <col min="4371" max="4372" width="49.83203125" style="723" customWidth="1"/>
    <col min="4373" max="4373" width="38.1640625" style="723" customWidth="1"/>
    <col min="4374" max="4374" width="49.83203125" style="723" customWidth="1"/>
    <col min="4375" max="4375" width="50" style="723" customWidth="1"/>
    <col min="4376" max="4376" width="38.33203125" style="723" customWidth="1"/>
    <col min="4377" max="4378" width="49.83203125" style="723" customWidth="1"/>
    <col min="4379" max="4379" width="38.1640625" style="723" customWidth="1"/>
    <col min="4380" max="4381" width="50" style="723" customWidth="1"/>
    <col min="4382" max="4382" width="38.33203125" style="723" customWidth="1"/>
    <col min="4383" max="4383" width="50" style="723" customWidth="1"/>
    <col min="4384" max="4384" width="186.33203125" style="723" customWidth="1"/>
    <col min="4385" max="4385" width="50" style="723" customWidth="1"/>
    <col min="4386" max="4386" width="38.33203125" style="723" customWidth="1"/>
    <col min="4387" max="4387" width="49.83203125" style="723" customWidth="1"/>
    <col min="4388" max="4388" width="50" style="723" customWidth="1"/>
    <col min="4389" max="4389" width="45" style="723" customWidth="1"/>
    <col min="4390" max="4390" width="50.33203125" style="723" customWidth="1"/>
    <col min="4391" max="4391" width="50" style="723" customWidth="1"/>
    <col min="4392" max="4392" width="45" style="723" customWidth="1"/>
    <col min="4393" max="4393" width="50" style="723" customWidth="1"/>
    <col min="4394" max="4394" width="51" style="723" customWidth="1"/>
    <col min="4395" max="4607" width="9.33203125" style="723"/>
    <col min="4608" max="4608" width="186.33203125" style="723" customWidth="1"/>
    <col min="4609" max="4609" width="49.83203125" style="723" customWidth="1"/>
    <col min="4610" max="4610" width="38.33203125" style="723" customWidth="1"/>
    <col min="4611" max="4612" width="50" style="723" customWidth="1"/>
    <col min="4613" max="4613" width="37.6640625" style="723" customWidth="1"/>
    <col min="4614" max="4615" width="50" style="723" customWidth="1"/>
    <col min="4616" max="4616" width="38.1640625" style="723" customWidth="1"/>
    <col min="4617" max="4618" width="50" style="723" customWidth="1"/>
    <col min="4619" max="4619" width="38.33203125" style="723" customWidth="1"/>
    <col min="4620" max="4621" width="50" style="723" customWidth="1"/>
    <col min="4622" max="4622" width="38.33203125" style="723" customWidth="1"/>
    <col min="4623" max="4623" width="50" style="723" customWidth="1"/>
    <col min="4624" max="4624" width="186.33203125" style="723" customWidth="1"/>
    <col min="4625" max="4625" width="50" style="723" customWidth="1"/>
    <col min="4626" max="4626" width="38.33203125" style="723" customWidth="1"/>
    <col min="4627" max="4628" width="49.83203125" style="723" customWidth="1"/>
    <col min="4629" max="4629" width="38.1640625" style="723" customWidth="1"/>
    <col min="4630" max="4630" width="49.83203125" style="723" customWidth="1"/>
    <col min="4631" max="4631" width="50" style="723" customWidth="1"/>
    <col min="4632" max="4632" width="38.33203125" style="723" customWidth="1"/>
    <col min="4633" max="4634" width="49.83203125" style="723" customWidth="1"/>
    <col min="4635" max="4635" width="38.1640625" style="723" customWidth="1"/>
    <col min="4636" max="4637" width="50" style="723" customWidth="1"/>
    <col min="4638" max="4638" width="38.33203125" style="723" customWidth="1"/>
    <col min="4639" max="4639" width="50" style="723" customWidth="1"/>
    <col min="4640" max="4640" width="186.33203125" style="723" customWidth="1"/>
    <col min="4641" max="4641" width="50" style="723" customWidth="1"/>
    <col min="4642" max="4642" width="38.33203125" style="723" customWidth="1"/>
    <col min="4643" max="4643" width="49.83203125" style="723" customWidth="1"/>
    <col min="4644" max="4644" width="50" style="723" customWidth="1"/>
    <col min="4645" max="4645" width="45" style="723" customWidth="1"/>
    <col min="4646" max="4646" width="50.33203125" style="723" customWidth="1"/>
    <col min="4647" max="4647" width="50" style="723" customWidth="1"/>
    <col min="4648" max="4648" width="45" style="723" customWidth="1"/>
    <col min="4649" max="4649" width="50" style="723" customWidth="1"/>
    <col min="4650" max="4650" width="51" style="723" customWidth="1"/>
    <col min="4651" max="4863" width="9.33203125" style="723"/>
    <col min="4864" max="4864" width="186.33203125" style="723" customWidth="1"/>
    <col min="4865" max="4865" width="49.83203125" style="723" customWidth="1"/>
    <col min="4866" max="4866" width="38.33203125" style="723" customWidth="1"/>
    <col min="4867" max="4868" width="50" style="723" customWidth="1"/>
    <col min="4869" max="4869" width="37.6640625" style="723" customWidth="1"/>
    <col min="4870" max="4871" width="50" style="723" customWidth="1"/>
    <col min="4872" max="4872" width="38.1640625" style="723" customWidth="1"/>
    <col min="4873" max="4874" width="50" style="723" customWidth="1"/>
    <col min="4875" max="4875" width="38.33203125" style="723" customWidth="1"/>
    <col min="4876" max="4877" width="50" style="723" customWidth="1"/>
    <col min="4878" max="4878" width="38.33203125" style="723" customWidth="1"/>
    <col min="4879" max="4879" width="50" style="723" customWidth="1"/>
    <col min="4880" max="4880" width="186.33203125" style="723" customWidth="1"/>
    <col min="4881" max="4881" width="50" style="723" customWidth="1"/>
    <col min="4882" max="4882" width="38.33203125" style="723" customWidth="1"/>
    <col min="4883" max="4884" width="49.83203125" style="723" customWidth="1"/>
    <col min="4885" max="4885" width="38.1640625" style="723" customWidth="1"/>
    <col min="4886" max="4886" width="49.83203125" style="723" customWidth="1"/>
    <col min="4887" max="4887" width="50" style="723" customWidth="1"/>
    <col min="4888" max="4888" width="38.33203125" style="723" customWidth="1"/>
    <col min="4889" max="4890" width="49.83203125" style="723" customWidth="1"/>
    <col min="4891" max="4891" width="38.1640625" style="723" customWidth="1"/>
    <col min="4892" max="4893" width="50" style="723" customWidth="1"/>
    <col min="4894" max="4894" width="38.33203125" style="723" customWidth="1"/>
    <col min="4895" max="4895" width="50" style="723" customWidth="1"/>
    <col min="4896" max="4896" width="186.33203125" style="723" customWidth="1"/>
    <col min="4897" max="4897" width="50" style="723" customWidth="1"/>
    <col min="4898" max="4898" width="38.33203125" style="723" customWidth="1"/>
    <col min="4899" max="4899" width="49.83203125" style="723" customWidth="1"/>
    <col min="4900" max="4900" width="50" style="723" customWidth="1"/>
    <col min="4901" max="4901" width="45" style="723" customWidth="1"/>
    <col min="4902" max="4902" width="50.33203125" style="723" customWidth="1"/>
    <col min="4903" max="4903" width="50" style="723" customWidth="1"/>
    <col min="4904" max="4904" width="45" style="723" customWidth="1"/>
    <col min="4905" max="4905" width="50" style="723" customWidth="1"/>
    <col min="4906" max="4906" width="51" style="723" customWidth="1"/>
    <col min="4907" max="5119" width="9.33203125" style="723"/>
    <col min="5120" max="5120" width="186.33203125" style="723" customWidth="1"/>
    <col min="5121" max="5121" width="49.83203125" style="723" customWidth="1"/>
    <col min="5122" max="5122" width="38.33203125" style="723" customWidth="1"/>
    <col min="5123" max="5124" width="50" style="723" customWidth="1"/>
    <col min="5125" max="5125" width="37.6640625" style="723" customWidth="1"/>
    <col min="5126" max="5127" width="50" style="723" customWidth="1"/>
    <col min="5128" max="5128" width="38.1640625" style="723" customWidth="1"/>
    <col min="5129" max="5130" width="50" style="723" customWidth="1"/>
    <col min="5131" max="5131" width="38.33203125" style="723" customWidth="1"/>
    <col min="5132" max="5133" width="50" style="723" customWidth="1"/>
    <col min="5134" max="5134" width="38.33203125" style="723" customWidth="1"/>
    <col min="5135" max="5135" width="50" style="723" customWidth="1"/>
    <col min="5136" max="5136" width="186.33203125" style="723" customWidth="1"/>
    <col min="5137" max="5137" width="50" style="723" customWidth="1"/>
    <col min="5138" max="5138" width="38.33203125" style="723" customWidth="1"/>
    <col min="5139" max="5140" width="49.83203125" style="723" customWidth="1"/>
    <col min="5141" max="5141" width="38.1640625" style="723" customWidth="1"/>
    <col min="5142" max="5142" width="49.83203125" style="723" customWidth="1"/>
    <col min="5143" max="5143" width="50" style="723" customWidth="1"/>
    <col min="5144" max="5144" width="38.33203125" style="723" customWidth="1"/>
    <col min="5145" max="5146" width="49.83203125" style="723" customWidth="1"/>
    <col min="5147" max="5147" width="38.1640625" style="723" customWidth="1"/>
    <col min="5148" max="5149" width="50" style="723" customWidth="1"/>
    <col min="5150" max="5150" width="38.33203125" style="723" customWidth="1"/>
    <col min="5151" max="5151" width="50" style="723" customWidth="1"/>
    <col min="5152" max="5152" width="186.33203125" style="723" customWidth="1"/>
    <col min="5153" max="5153" width="50" style="723" customWidth="1"/>
    <col min="5154" max="5154" width="38.33203125" style="723" customWidth="1"/>
    <col min="5155" max="5155" width="49.83203125" style="723" customWidth="1"/>
    <col min="5156" max="5156" width="50" style="723" customWidth="1"/>
    <col min="5157" max="5157" width="45" style="723" customWidth="1"/>
    <col min="5158" max="5158" width="50.33203125" style="723" customWidth="1"/>
    <col min="5159" max="5159" width="50" style="723" customWidth="1"/>
    <col min="5160" max="5160" width="45" style="723" customWidth="1"/>
    <col min="5161" max="5161" width="50" style="723" customWidth="1"/>
    <col min="5162" max="5162" width="51" style="723" customWidth="1"/>
    <col min="5163" max="5375" width="9.33203125" style="723"/>
    <col min="5376" max="5376" width="186.33203125" style="723" customWidth="1"/>
    <col min="5377" max="5377" width="49.83203125" style="723" customWidth="1"/>
    <col min="5378" max="5378" width="38.33203125" style="723" customWidth="1"/>
    <col min="5379" max="5380" width="50" style="723" customWidth="1"/>
    <col min="5381" max="5381" width="37.6640625" style="723" customWidth="1"/>
    <col min="5382" max="5383" width="50" style="723" customWidth="1"/>
    <col min="5384" max="5384" width="38.1640625" style="723" customWidth="1"/>
    <col min="5385" max="5386" width="50" style="723" customWidth="1"/>
    <col min="5387" max="5387" width="38.33203125" style="723" customWidth="1"/>
    <col min="5388" max="5389" width="50" style="723" customWidth="1"/>
    <col min="5390" max="5390" width="38.33203125" style="723" customWidth="1"/>
    <col min="5391" max="5391" width="50" style="723" customWidth="1"/>
    <col min="5392" max="5392" width="186.33203125" style="723" customWidth="1"/>
    <col min="5393" max="5393" width="50" style="723" customWidth="1"/>
    <col min="5394" max="5394" width="38.33203125" style="723" customWidth="1"/>
    <col min="5395" max="5396" width="49.83203125" style="723" customWidth="1"/>
    <col min="5397" max="5397" width="38.1640625" style="723" customWidth="1"/>
    <col min="5398" max="5398" width="49.83203125" style="723" customWidth="1"/>
    <col min="5399" max="5399" width="50" style="723" customWidth="1"/>
    <col min="5400" max="5400" width="38.33203125" style="723" customWidth="1"/>
    <col min="5401" max="5402" width="49.83203125" style="723" customWidth="1"/>
    <col min="5403" max="5403" width="38.1640625" style="723" customWidth="1"/>
    <col min="5404" max="5405" width="50" style="723" customWidth="1"/>
    <col min="5406" max="5406" width="38.33203125" style="723" customWidth="1"/>
    <col min="5407" max="5407" width="50" style="723" customWidth="1"/>
    <col min="5408" max="5408" width="186.33203125" style="723" customWidth="1"/>
    <col min="5409" max="5409" width="50" style="723" customWidth="1"/>
    <col min="5410" max="5410" width="38.33203125" style="723" customWidth="1"/>
    <col min="5411" max="5411" width="49.83203125" style="723" customWidth="1"/>
    <col min="5412" max="5412" width="50" style="723" customWidth="1"/>
    <col min="5413" max="5413" width="45" style="723" customWidth="1"/>
    <col min="5414" max="5414" width="50.33203125" style="723" customWidth="1"/>
    <col min="5415" max="5415" width="50" style="723" customWidth="1"/>
    <col min="5416" max="5416" width="45" style="723" customWidth="1"/>
    <col min="5417" max="5417" width="50" style="723" customWidth="1"/>
    <col min="5418" max="5418" width="51" style="723" customWidth="1"/>
    <col min="5419" max="5631" width="9.33203125" style="723"/>
    <col min="5632" max="5632" width="186.33203125" style="723" customWidth="1"/>
    <col min="5633" max="5633" width="49.83203125" style="723" customWidth="1"/>
    <col min="5634" max="5634" width="38.33203125" style="723" customWidth="1"/>
    <col min="5635" max="5636" width="50" style="723" customWidth="1"/>
    <col min="5637" max="5637" width="37.6640625" style="723" customWidth="1"/>
    <col min="5638" max="5639" width="50" style="723" customWidth="1"/>
    <col min="5640" max="5640" width="38.1640625" style="723" customWidth="1"/>
    <col min="5641" max="5642" width="50" style="723" customWidth="1"/>
    <col min="5643" max="5643" width="38.33203125" style="723" customWidth="1"/>
    <col min="5644" max="5645" width="50" style="723" customWidth="1"/>
    <col min="5646" max="5646" width="38.33203125" style="723" customWidth="1"/>
    <col min="5647" max="5647" width="50" style="723" customWidth="1"/>
    <col min="5648" max="5648" width="186.33203125" style="723" customWidth="1"/>
    <col min="5649" max="5649" width="50" style="723" customWidth="1"/>
    <col min="5650" max="5650" width="38.33203125" style="723" customWidth="1"/>
    <col min="5651" max="5652" width="49.83203125" style="723" customWidth="1"/>
    <col min="5653" max="5653" width="38.1640625" style="723" customWidth="1"/>
    <col min="5654" max="5654" width="49.83203125" style="723" customWidth="1"/>
    <col min="5655" max="5655" width="50" style="723" customWidth="1"/>
    <col min="5656" max="5656" width="38.33203125" style="723" customWidth="1"/>
    <col min="5657" max="5658" width="49.83203125" style="723" customWidth="1"/>
    <col min="5659" max="5659" width="38.1640625" style="723" customWidth="1"/>
    <col min="5660" max="5661" width="50" style="723" customWidth="1"/>
    <col min="5662" max="5662" width="38.33203125" style="723" customWidth="1"/>
    <col min="5663" max="5663" width="50" style="723" customWidth="1"/>
    <col min="5664" max="5664" width="186.33203125" style="723" customWidth="1"/>
    <col min="5665" max="5665" width="50" style="723" customWidth="1"/>
    <col min="5666" max="5666" width="38.33203125" style="723" customWidth="1"/>
    <col min="5667" max="5667" width="49.83203125" style="723" customWidth="1"/>
    <col min="5668" max="5668" width="50" style="723" customWidth="1"/>
    <col min="5669" max="5669" width="45" style="723" customWidth="1"/>
    <col min="5670" max="5670" width="50.33203125" style="723" customWidth="1"/>
    <col min="5671" max="5671" width="50" style="723" customWidth="1"/>
    <col min="5672" max="5672" width="45" style="723" customWidth="1"/>
    <col min="5673" max="5673" width="50" style="723" customWidth="1"/>
    <col min="5674" max="5674" width="51" style="723" customWidth="1"/>
    <col min="5675" max="5887" width="9.33203125" style="723"/>
    <col min="5888" max="5888" width="186.33203125" style="723" customWidth="1"/>
    <col min="5889" max="5889" width="49.83203125" style="723" customWidth="1"/>
    <col min="5890" max="5890" width="38.33203125" style="723" customWidth="1"/>
    <col min="5891" max="5892" width="50" style="723" customWidth="1"/>
    <col min="5893" max="5893" width="37.6640625" style="723" customWidth="1"/>
    <col min="5894" max="5895" width="50" style="723" customWidth="1"/>
    <col min="5896" max="5896" width="38.1640625" style="723" customWidth="1"/>
    <col min="5897" max="5898" width="50" style="723" customWidth="1"/>
    <col min="5899" max="5899" width="38.33203125" style="723" customWidth="1"/>
    <col min="5900" max="5901" width="50" style="723" customWidth="1"/>
    <col min="5902" max="5902" width="38.33203125" style="723" customWidth="1"/>
    <col min="5903" max="5903" width="50" style="723" customWidth="1"/>
    <col min="5904" max="5904" width="186.33203125" style="723" customWidth="1"/>
    <col min="5905" max="5905" width="50" style="723" customWidth="1"/>
    <col min="5906" max="5906" width="38.33203125" style="723" customWidth="1"/>
    <col min="5907" max="5908" width="49.83203125" style="723" customWidth="1"/>
    <col min="5909" max="5909" width="38.1640625" style="723" customWidth="1"/>
    <col min="5910" max="5910" width="49.83203125" style="723" customWidth="1"/>
    <col min="5911" max="5911" width="50" style="723" customWidth="1"/>
    <col min="5912" max="5912" width="38.33203125" style="723" customWidth="1"/>
    <col min="5913" max="5914" width="49.83203125" style="723" customWidth="1"/>
    <col min="5915" max="5915" width="38.1640625" style="723" customWidth="1"/>
    <col min="5916" max="5917" width="50" style="723" customWidth="1"/>
    <col min="5918" max="5918" width="38.33203125" style="723" customWidth="1"/>
    <col min="5919" max="5919" width="50" style="723" customWidth="1"/>
    <col min="5920" max="5920" width="186.33203125" style="723" customWidth="1"/>
    <col min="5921" max="5921" width="50" style="723" customWidth="1"/>
    <col min="5922" max="5922" width="38.33203125" style="723" customWidth="1"/>
    <col min="5923" max="5923" width="49.83203125" style="723" customWidth="1"/>
    <col min="5924" max="5924" width="50" style="723" customWidth="1"/>
    <col min="5925" max="5925" width="45" style="723" customWidth="1"/>
    <col min="5926" max="5926" width="50.33203125" style="723" customWidth="1"/>
    <col min="5927" max="5927" width="50" style="723" customWidth="1"/>
    <col min="5928" max="5928" width="45" style="723" customWidth="1"/>
    <col min="5929" max="5929" width="50" style="723" customWidth="1"/>
    <col min="5930" max="5930" width="51" style="723" customWidth="1"/>
    <col min="5931" max="6143" width="9.33203125" style="723"/>
    <col min="6144" max="6144" width="186.33203125" style="723" customWidth="1"/>
    <col min="6145" max="6145" width="49.83203125" style="723" customWidth="1"/>
    <col min="6146" max="6146" width="38.33203125" style="723" customWidth="1"/>
    <col min="6147" max="6148" width="50" style="723" customWidth="1"/>
    <col min="6149" max="6149" width="37.6640625" style="723" customWidth="1"/>
    <col min="6150" max="6151" width="50" style="723" customWidth="1"/>
    <col min="6152" max="6152" width="38.1640625" style="723" customWidth="1"/>
    <col min="6153" max="6154" width="50" style="723" customWidth="1"/>
    <col min="6155" max="6155" width="38.33203125" style="723" customWidth="1"/>
    <col min="6156" max="6157" width="50" style="723" customWidth="1"/>
    <col min="6158" max="6158" width="38.33203125" style="723" customWidth="1"/>
    <col min="6159" max="6159" width="50" style="723" customWidth="1"/>
    <col min="6160" max="6160" width="186.33203125" style="723" customWidth="1"/>
    <col min="6161" max="6161" width="50" style="723" customWidth="1"/>
    <col min="6162" max="6162" width="38.33203125" style="723" customWidth="1"/>
    <col min="6163" max="6164" width="49.83203125" style="723" customWidth="1"/>
    <col min="6165" max="6165" width="38.1640625" style="723" customWidth="1"/>
    <col min="6166" max="6166" width="49.83203125" style="723" customWidth="1"/>
    <col min="6167" max="6167" width="50" style="723" customWidth="1"/>
    <col min="6168" max="6168" width="38.33203125" style="723" customWidth="1"/>
    <col min="6169" max="6170" width="49.83203125" style="723" customWidth="1"/>
    <col min="6171" max="6171" width="38.1640625" style="723" customWidth="1"/>
    <col min="6172" max="6173" width="50" style="723" customWidth="1"/>
    <col min="6174" max="6174" width="38.33203125" style="723" customWidth="1"/>
    <col min="6175" max="6175" width="50" style="723" customWidth="1"/>
    <col min="6176" max="6176" width="186.33203125" style="723" customWidth="1"/>
    <col min="6177" max="6177" width="50" style="723" customWidth="1"/>
    <col min="6178" max="6178" width="38.33203125" style="723" customWidth="1"/>
    <col min="6179" max="6179" width="49.83203125" style="723" customWidth="1"/>
    <col min="6180" max="6180" width="50" style="723" customWidth="1"/>
    <col min="6181" max="6181" width="45" style="723" customWidth="1"/>
    <col min="6182" max="6182" width="50.33203125" style="723" customWidth="1"/>
    <col min="6183" max="6183" width="50" style="723" customWidth="1"/>
    <col min="6184" max="6184" width="45" style="723" customWidth="1"/>
    <col min="6185" max="6185" width="50" style="723" customWidth="1"/>
    <col min="6186" max="6186" width="51" style="723" customWidth="1"/>
    <col min="6187" max="6399" width="9.33203125" style="723"/>
    <col min="6400" max="6400" width="186.33203125" style="723" customWidth="1"/>
    <col min="6401" max="6401" width="49.83203125" style="723" customWidth="1"/>
    <col min="6402" max="6402" width="38.33203125" style="723" customWidth="1"/>
    <col min="6403" max="6404" width="50" style="723" customWidth="1"/>
    <col min="6405" max="6405" width="37.6640625" style="723" customWidth="1"/>
    <col min="6406" max="6407" width="50" style="723" customWidth="1"/>
    <col min="6408" max="6408" width="38.1640625" style="723" customWidth="1"/>
    <col min="6409" max="6410" width="50" style="723" customWidth="1"/>
    <col min="6411" max="6411" width="38.33203125" style="723" customWidth="1"/>
    <col min="6412" max="6413" width="50" style="723" customWidth="1"/>
    <col min="6414" max="6414" width="38.33203125" style="723" customWidth="1"/>
    <col min="6415" max="6415" width="50" style="723" customWidth="1"/>
    <col min="6416" max="6416" width="186.33203125" style="723" customWidth="1"/>
    <col min="6417" max="6417" width="50" style="723" customWidth="1"/>
    <col min="6418" max="6418" width="38.33203125" style="723" customWidth="1"/>
    <col min="6419" max="6420" width="49.83203125" style="723" customWidth="1"/>
    <col min="6421" max="6421" width="38.1640625" style="723" customWidth="1"/>
    <col min="6422" max="6422" width="49.83203125" style="723" customWidth="1"/>
    <col min="6423" max="6423" width="50" style="723" customWidth="1"/>
    <col min="6424" max="6424" width="38.33203125" style="723" customWidth="1"/>
    <col min="6425" max="6426" width="49.83203125" style="723" customWidth="1"/>
    <col min="6427" max="6427" width="38.1640625" style="723" customWidth="1"/>
    <col min="6428" max="6429" width="50" style="723" customWidth="1"/>
    <col min="6430" max="6430" width="38.33203125" style="723" customWidth="1"/>
    <col min="6431" max="6431" width="50" style="723" customWidth="1"/>
    <col min="6432" max="6432" width="186.33203125" style="723" customWidth="1"/>
    <col min="6433" max="6433" width="50" style="723" customWidth="1"/>
    <col min="6434" max="6434" width="38.33203125" style="723" customWidth="1"/>
    <col min="6435" max="6435" width="49.83203125" style="723" customWidth="1"/>
    <col min="6436" max="6436" width="50" style="723" customWidth="1"/>
    <col min="6437" max="6437" width="45" style="723" customWidth="1"/>
    <col min="6438" max="6438" width="50.33203125" style="723" customWidth="1"/>
    <col min="6439" max="6439" width="50" style="723" customWidth="1"/>
    <col min="6440" max="6440" width="45" style="723" customWidth="1"/>
    <col min="6441" max="6441" width="50" style="723" customWidth="1"/>
    <col min="6442" max="6442" width="51" style="723" customWidth="1"/>
    <col min="6443" max="6655" width="9.33203125" style="723"/>
    <col min="6656" max="6656" width="186.33203125" style="723" customWidth="1"/>
    <col min="6657" max="6657" width="49.83203125" style="723" customWidth="1"/>
    <col min="6658" max="6658" width="38.33203125" style="723" customWidth="1"/>
    <col min="6659" max="6660" width="50" style="723" customWidth="1"/>
    <col min="6661" max="6661" width="37.6640625" style="723" customWidth="1"/>
    <col min="6662" max="6663" width="50" style="723" customWidth="1"/>
    <col min="6664" max="6664" width="38.1640625" style="723" customWidth="1"/>
    <col min="6665" max="6666" width="50" style="723" customWidth="1"/>
    <col min="6667" max="6667" width="38.33203125" style="723" customWidth="1"/>
    <col min="6668" max="6669" width="50" style="723" customWidth="1"/>
    <col min="6670" max="6670" width="38.33203125" style="723" customWidth="1"/>
    <col min="6671" max="6671" width="50" style="723" customWidth="1"/>
    <col min="6672" max="6672" width="186.33203125" style="723" customWidth="1"/>
    <col min="6673" max="6673" width="50" style="723" customWidth="1"/>
    <col min="6674" max="6674" width="38.33203125" style="723" customWidth="1"/>
    <col min="6675" max="6676" width="49.83203125" style="723" customWidth="1"/>
    <col min="6677" max="6677" width="38.1640625" style="723" customWidth="1"/>
    <col min="6678" max="6678" width="49.83203125" style="723" customWidth="1"/>
    <col min="6679" max="6679" width="50" style="723" customWidth="1"/>
    <col min="6680" max="6680" width="38.33203125" style="723" customWidth="1"/>
    <col min="6681" max="6682" width="49.83203125" style="723" customWidth="1"/>
    <col min="6683" max="6683" width="38.1640625" style="723" customWidth="1"/>
    <col min="6684" max="6685" width="50" style="723" customWidth="1"/>
    <col min="6686" max="6686" width="38.33203125" style="723" customWidth="1"/>
    <col min="6687" max="6687" width="50" style="723" customWidth="1"/>
    <col min="6688" max="6688" width="186.33203125" style="723" customWidth="1"/>
    <col min="6689" max="6689" width="50" style="723" customWidth="1"/>
    <col min="6690" max="6690" width="38.33203125" style="723" customWidth="1"/>
    <col min="6691" max="6691" width="49.83203125" style="723" customWidth="1"/>
    <col min="6692" max="6692" width="50" style="723" customWidth="1"/>
    <col min="6693" max="6693" width="45" style="723" customWidth="1"/>
    <col min="6694" max="6694" width="50.33203125" style="723" customWidth="1"/>
    <col min="6695" max="6695" width="50" style="723" customWidth="1"/>
    <col min="6696" max="6696" width="45" style="723" customWidth="1"/>
    <col min="6697" max="6697" width="50" style="723" customWidth="1"/>
    <col min="6698" max="6698" width="51" style="723" customWidth="1"/>
    <col min="6699" max="6911" width="9.33203125" style="723"/>
    <col min="6912" max="6912" width="186.33203125" style="723" customWidth="1"/>
    <col min="6913" max="6913" width="49.83203125" style="723" customWidth="1"/>
    <col min="6914" max="6914" width="38.33203125" style="723" customWidth="1"/>
    <col min="6915" max="6916" width="50" style="723" customWidth="1"/>
    <col min="6917" max="6917" width="37.6640625" style="723" customWidth="1"/>
    <col min="6918" max="6919" width="50" style="723" customWidth="1"/>
    <col min="6920" max="6920" width="38.1640625" style="723" customWidth="1"/>
    <col min="6921" max="6922" width="50" style="723" customWidth="1"/>
    <col min="6923" max="6923" width="38.33203125" style="723" customWidth="1"/>
    <col min="6924" max="6925" width="50" style="723" customWidth="1"/>
    <col min="6926" max="6926" width="38.33203125" style="723" customWidth="1"/>
    <col min="6927" max="6927" width="50" style="723" customWidth="1"/>
    <col min="6928" max="6928" width="186.33203125" style="723" customWidth="1"/>
    <col min="6929" max="6929" width="50" style="723" customWidth="1"/>
    <col min="6930" max="6930" width="38.33203125" style="723" customWidth="1"/>
    <col min="6931" max="6932" width="49.83203125" style="723" customWidth="1"/>
    <col min="6933" max="6933" width="38.1640625" style="723" customWidth="1"/>
    <col min="6934" max="6934" width="49.83203125" style="723" customWidth="1"/>
    <col min="6935" max="6935" width="50" style="723" customWidth="1"/>
    <col min="6936" max="6936" width="38.33203125" style="723" customWidth="1"/>
    <col min="6937" max="6938" width="49.83203125" style="723" customWidth="1"/>
    <col min="6939" max="6939" width="38.1640625" style="723" customWidth="1"/>
    <col min="6940" max="6941" width="50" style="723" customWidth="1"/>
    <col min="6942" max="6942" width="38.33203125" style="723" customWidth="1"/>
    <col min="6943" max="6943" width="50" style="723" customWidth="1"/>
    <col min="6944" max="6944" width="186.33203125" style="723" customWidth="1"/>
    <col min="6945" max="6945" width="50" style="723" customWidth="1"/>
    <col min="6946" max="6946" width="38.33203125" style="723" customWidth="1"/>
    <col min="6947" max="6947" width="49.83203125" style="723" customWidth="1"/>
    <col min="6948" max="6948" width="50" style="723" customWidth="1"/>
    <col min="6949" max="6949" width="45" style="723" customWidth="1"/>
    <col min="6950" max="6950" width="50.33203125" style="723" customWidth="1"/>
    <col min="6951" max="6951" width="50" style="723" customWidth="1"/>
    <col min="6952" max="6952" width="45" style="723" customWidth="1"/>
    <col min="6953" max="6953" width="50" style="723" customWidth="1"/>
    <col min="6954" max="6954" width="51" style="723" customWidth="1"/>
    <col min="6955" max="7167" width="9.33203125" style="723"/>
    <col min="7168" max="7168" width="186.33203125" style="723" customWidth="1"/>
    <col min="7169" max="7169" width="49.83203125" style="723" customWidth="1"/>
    <col min="7170" max="7170" width="38.33203125" style="723" customWidth="1"/>
    <col min="7171" max="7172" width="50" style="723" customWidth="1"/>
    <col min="7173" max="7173" width="37.6640625" style="723" customWidth="1"/>
    <col min="7174" max="7175" width="50" style="723" customWidth="1"/>
    <col min="7176" max="7176" width="38.1640625" style="723" customWidth="1"/>
    <col min="7177" max="7178" width="50" style="723" customWidth="1"/>
    <col min="7179" max="7179" width="38.33203125" style="723" customWidth="1"/>
    <col min="7180" max="7181" width="50" style="723" customWidth="1"/>
    <col min="7182" max="7182" width="38.33203125" style="723" customWidth="1"/>
    <col min="7183" max="7183" width="50" style="723" customWidth="1"/>
    <col min="7184" max="7184" width="186.33203125" style="723" customWidth="1"/>
    <col min="7185" max="7185" width="50" style="723" customWidth="1"/>
    <col min="7186" max="7186" width="38.33203125" style="723" customWidth="1"/>
    <col min="7187" max="7188" width="49.83203125" style="723" customWidth="1"/>
    <col min="7189" max="7189" width="38.1640625" style="723" customWidth="1"/>
    <col min="7190" max="7190" width="49.83203125" style="723" customWidth="1"/>
    <col min="7191" max="7191" width="50" style="723" customWidth="1"/>
    <col min="7192" max="7192" width="38.33203125" style="723" customWidth="1"/>
    <col min="7193" max="7194" width="49.83203125" style="723" customWidth="1"/>
    <col min="7195" max="7195" width="38.1640625" style="723" customWidth="1"/>
    <col min="7196" max="7197" width="50" style="723" customWidth="1"/>
    <col min="7198" max="7198" width="38.33203125" style="723" customWidth="1"/>
    <col min="7199" max="7199" width="50" style="723" customWidth="1"/>
    <col min="7200" max="7200" width="186.33203125" style="723" customWidth="1"/>
    <col min="7201" max="7201" width="50" style="723" customWidth="1"/>
    <col min="7202" max="7202" width="38.33203125" style="723" customWidth="1"/>
    <col min="7203" max="7203" width="49.83203125" style="723" customWidth="1"/>
    <col min="7204" max="7204" width="50" style="723" customWidth="1"/>
    <col min="7205" max="7205" width="45" style="723" customWidth="1"/>
    <col min="7206" max="7206" width="50.33203125" style="723" customWidth="1"/>
    <col min="7207" max="7207" width="50" style="723" customWidth="1"/>
    <col min="7208" max="7208" width="45" style="723" customWidth="1"/>
    <col min="7209" max="7209" width="50" style="723" customWidth="1"/>
    <col min="7210" max="7210" width="51" style="723" customWidth="1"/>
    <col min="7211" max="7423" width="9.33203125" style="723"/>
    <col min="7424" max="7424" width="186.33203125" style="723" customWidth="1"/>
    <col min="7425" max="7425" width="49.83203125" style="723" customWidth="1"/>
    <col min="7426" max="7426" width="38.33203125" style="723" customWidth="1"/>
    <col min="7427" max="7428" width="50" style="723" customWidth="1"/>
    <col min="7429" max="7429" width="37.6640625" style="723" customWidth="1"/>
    <col min="7430" max="7431" width="50" style="723" customWidth="1"/>
    <col min="7432" max="7432" width="38.1640625" style="723" customWidth="1"/>
    <col min="7433" max="7434" width="50" style="723" customWidth="1"/>
    <col min="7435" max="7435" width="38.33203125" style="723" customWidth="1"/>
    <col min="7436" max="7437" width="50" style="723" customWidth="1"/>
    <col min="7438" max="7438" width="38.33203125" style="723" customWidth="1"/>
    <col min="7439" max="7439" width="50" style="723" customWidth="1"/>
    <col min="7440" max="7440" width="186.33203125" style="723" customWidth="1"/>
    <col min="7441" max="7441" width="50" style="723" customWidth="1"/>
    <col min="7442" max="7442" width="38.33203125" style="723" customWidth="1"/>
    <col min="7443" max="7444" width="49.83203125" style="723" customWidth="1"/>
    <col min="7445" max="7445" width="38.1640625" style="723" customWidth="1"/>
    <col min="7446" max="7446" width="49.83203125" style="723" customWidth="1"/>
    <col min="7447" max="7447" width="50" style="723" customWidth="1"/>
    <col min="7448" max="7448" width="38.33203125" style="723" customWidth="1"/>
    <col min="7449" max="7450" width="49.83203125" style="723" customWidth="1"/>
    <col min="7451" max="7451" width="38.1640625" style="723" customWidth="1"/>
    <col min="7452" max="7453" width="50" style="723" customWidth="1"/>
    <col min="7454" max="7454" width="38.33203125" style="723" customWidth="1"/>
    <col min="7455" max="7455" width="50" style="723" customWidth="1"/>
    <col min="7456" max="7456" width="186.33203125" style="723" customWidth="1"/>
    <col min="7457" max="7457" width="50" style="723" customWidth="1"/>
    <col min="7458" max="7458" width="38.33203125" style="723" customWidth="1"/>
    <col min="7459" max="7459" width="49.83203125" style="723" customWidth="1"/>
    <col min="7460" max="7460" width="50" style="723" customWidth="1"/>
    <col min="7461" max="7461" width="45" style="723" customWidth="1"/>
    <col min="7462" max="7462" width="50.33203125" style="723" customWidth="1"/>
    <col min="7463" max="7463" width="50" style="723" customWidth="1"/>
    <col min="7464" max="7464" width="45" style="723" customWidth="1"/>
    <col min="7465" max="7465" width="50" style="723" customWidth="1"/>
    <col min="7466" max="7466" width="51" style="723" customWidth="1"/>
    <col min="7467" max="7679" width="9.33203125" style="723"/>
    <col min="7680" max="7680" width="186.33203125" style="723" customWidth="1"/>
    <col min="7681" max="7681" width="49.83203125" style="723" customWidth="1"/>
    <col min="7682" max="7682" width="38.33203125" style="723" customWidth="1"/>
    <col min="7683" max="7684" width="50" style="723" customWidth="1"/>
    <col min="7685" max="7685" width="37.6640625" style="723" customWidth="1"/>
    <col min="7686" max="7687" width="50" style="723" customWidth="1"/>
    <col min="7688" max="7688" width="38.1640625" style="723" customWidth="1"/>
    <col min="7689" max="7690" width="50" style="723" customWidth="1"/>
    <col min="7691" max="7691" width="38.33203125" style="723" customWidth="1"/>
    <col min="7692" max="7693" width="50" style="723" customWidth="1"/>
    <col min="7694" max="7694" width="38.33203125" style="723" customWidth="1"/>
    <col min="7695" max="7695" width="50" style="723" customWidth="1"/>
    <col min="7696" max="7696" width="186.33203125" style="723" customWidth="1"/>
    <col min="7697" max="7697" width="50" style="723" customWidth="1"/>
    <col min="7698" max="7698" width="38.33203125" style="723" customWidth="1"/>
    <col min="7699" max="7700" width="49.83203125" style="723" customWidth="1"/>
    <col min="7701" max="7701" width="38.1640625" style="723" customWidth="1"/>
    <col min="7702" max="7702" width="49.83203125" style="723" customWidth="1"/>
    <col min="7703" max="7703" width="50" style="723" customWidth="1"/>
    <col min="7704" max="7704" width="38.33203125" style="723" customWidth="1"/>
    <col min="7705" max="7706" width="49.83203125" style="723" customWidth="1"/>
    <col min="7707" max="7707" width="38.1640625" style="723" customWidth="1"/>
    <col min="7708" max="7709" width="50" style="723" customWidth="1"/>
    <col min="7710" max="7710" width="38.33203125" style="723" customWidth="1"/>
    <col min="7711" max="7711" width="50" style="723" customWidth="1"/>
    <col min="7712" max="7712" width="186.33203125" style="723" customWidth="1"/>
    <col min="7713" max="7713" width="50" style="723" customWidth="1"/>
    <col min="7714" max="7714" width="38.33203125" style="723" customWidth="1"/>
    <col min="7715" max="7715" width="49.83203125" style="723" customWidth="1"/>
    <col min="7716" max="7716" width="50" style="723" customWidth="1"/>
    <col min="7717" max="7717" width="45" style="723" customWidth="1"/>
    <col min="7718" max="7718" width="50.33203125" style="723" customWidth="1"/>
    <col min="7719" max="7719" width="50" style="723" customWidth="1"/>
    <col min="7720" max="7720" width="45" style="723" customWidth="1"/>
    <col min="7721" max="7721" width="50" style="723" customWidth="1"/>
    <col min="7722" max="7722" width="51" style="723" customWidth="1"/>
    <col min="7723" max="7935" width="9.33203125" style="723"/>
    <col min="7936" max="7936" width="186.33203125" style="723" customWidth="1"/>
    <col min="7937" max="7937" width="49.83203125" style="723" customWidth="1"/>
    <col min="7938" max="7938" width="38.33203125" style="723" customWidth="1"/>
    <col min="7939" max="7940" width="50" style="723" customWidth="1"/>
    <col min="7941" max="7941" width="37.6640625" style="723" customWidth="1"/>
    <col min="7942" max="7943" width="50" style="723" customWidth="1"/>
    <col min="7944" max="7944" width="38.1640625" style="723" customWidth="1"/>
    <col min="7945" max="7946" width="50" style="723" customWidth="1"/>
    <col min="7947" max="7947" width="38.33203125" style="723" customWidth="1"/>
    <col min="7948" max="7949" width="50" style="723" customWidth="1"/>
    <col min="7950" max="7950" width="38.33203125" style="723" customWidth="1"/>
    <col min="7951" max="7951" width="50" style="723" customWidth="1"/>
    <col min="7952" max="7952" width="186.33203125" style="723" customWidth="1"/>
    <col min="7953" max="7953" width="50" style="723" customWidth="1"/>
    <col min="7954" max="7954" width="38.33203125" style="723" customWidth="1"/>
    <col min="7955" max="7956" width="49.83203125" style="723" customWidth="1"/>
    <col min="7957" max="7957" width="38.1640625" style="723" customWidth="1"/>
    <col min="7958" max="7958" width="49.83203125" style="723" customWidth="1"/>
    <col min="7959" max="7959" width="50" style="723" customWidth="1"/>
    <col min="7960" max="7960" width="38.33203125" style="723" customWidth="1"/>
    <col min="7961" max="7962" width="49.83203125" style="723" customWidth="1"/>
    <col min="7963" max="7963" width="38.1640625" style="723" customWidth="1"/>
    <col min="7964" max="7965" width="50" style="723" customWidth="1"/>
    <col min="7966" max="7966" width="38.33203125" style="723" customWidth="1"/>
    <col min="7967" max="7967" width="50" style="723" customWidth="1"/>
    <col min="7968" max="7968" width="186.33203125" style="723" customWidth="1"/>
    <col min="7969" max="7969" width="50" style="723" customWidth="1"/>
    <col min="7970" max="7970" width="38.33203125" style="723" customWidth="1"/>
    <col min="7971" max="7971" width="49.83203125" style="723" customWidth="1"/>
    <col min="7972" max="7972" width="50" style="723" customWidth="1"/>
    <col min="7973" max="7973" width="45" style="723" customWidth="1"/>
    <col min="7974" max="7974" width="50.33203125" style="723" customWidth="1"/>
    <col min="7975" max="7975" width="50" style="723" customWidth="1"/>
    <col min="7976" max="7976" width="45" style="723" customWidth="1"/>
    <col min="7977" max="7977" width="50" style="723" customWidth="1"/>
    <col min="7978" max="7978" width="51" style="723" customWidth="1"/>
    <col min="7979" max="8191" width="9.33203125" style="723"/>
    <col min="8192" max="8192" width="186.33203125" style="723" customWidth="1"/>
    <col min="8193" max="8193" width="49.83203125" style="723" customWidth="1"/>
    <col min="8194" max="8194" width="38.33203125" style="723" customWidth="1"/>
    <col min="8195" max="8196" width="50" style="723" customWidth="1"/>
    <col min="8197" max="8197" width="37.6640625" style="723" customWidth="1"/>
    <col min="8198" max="8199" width="50" style="723" customWidth="1"/>
    <col min="8200" max="8200" width="38.1640625" style="723" customWidth="1"/>
    <col min="8201" max="8202" width="50" style="723" customWidth="1"/>
    <col min="8203" max="8203" width="38.33203125" style="723" customWidth="1"/>
    <col min="8204" max="8205" width="50" style="723" customWidth="1"/>
    <col min="8206" max="8206" width="38.33203125" style="723" customWidth="1"/>
    <col min="8207" max="8207" width="50" style="723" customWidth="1"/>
    <col min="8208" max="8208" width="186.33203125" style="723" customWidth="1"/>
    <col min="8209" max="8209" width="50" style="723" customWidth="1"/>
    <col min="8210" max="8210" width="38.33203125" style="723" customWidth="1"/>
    <col min="8211" max="8212" width="49.83203125" style="723" customWidth="1"/>
    <col min="8213" max="8213" width="38.1640625" style="723" customWidth="1"/>
    <col min="8214" max="8214" width="49.83203125" style="723" customWidth="1"/>
    <col min="8215" max="8215" width="50" style="723" customWidth="1"/>
    <col min="8216" max="8216" width="38.33203125" style="723" customWidth="1"/>
    <col min="8217" max="8218" width="49.83203125" style="723" customWidth="1"/>
    <col min="8219" max="8219" width="38.1640625" style="723" customWidth="1"/>
    <col min="8220" max="8221" width="50" style="723" customWidth="1"/>
    <col min="8222" max="8222" width="38.33203125" style="723" customWidth="1"/>
    <col min="8223" max="8223" width="50" style="723" customWidth="1"/>
    <col min="8224" max="8224" width="186.33203125" style="723" customWidth="1"/>
    <col min="8225" max="8225" width="50" style="723" customWidth="1"/>
    <col min="8226" max="8226" width="38.33203125" style="723" customWidth="1"/>
    <col min="8227" max="8227" width="49.83203125" style="723" customWidth="1"/>
    <col min="8228" max="8228" width="50" style="723" customWidth="1"/>
    <col min="8229" max="8229" width="45" style="723" customWidth="1"/>
    <col min="8230" max="8230" width="50.33203125" style="723" customWidth="1"/>
    <col min="8231" max="8231" width="50" style="723" customWidth="1"/>
    <col min="8232" max="8232" width="45" style="723" customWidth="1"/>
    <col min="8233" max="8233" width="50" style="723" customWidth="1"/>
    <col min="8234" max="8234" width="51" style="723" customWidth="1"/>
    <col min="8235" max="8447" width="9.33203125" style="723"/>
    <col min="8448" max="8448" width="186.33203125" style="723" customWidth="1"/>
    <col min="8449" max="8449" width="49.83203125" style="723" customWidth="1"/>
    <col min="8450" max="8450" width="38.33203125" style="723" customWidth="1"/>
    <col min="8451" max="8452" width="50" style="723" customWidth="1"/>
    <col min="8453" max="8453" width="37.6640625" style="723" customWidth="1"/>
    <col min="8454" max="8455" width="50" style="723" customWidth="1"/>
    <col min="8456" max="8456" width="38.1640625" style="723" customWidth="1"/>
    <col min="8457" max="8458" width="50" style="723" customWidth="1"/>
    <col min="8459" max="8459" width="38.33203125" style="723" customWidth="1"/>
    <col min="8460" max="8461" width="50" style="723" customWidth="1"/>
    <col min="8462" max="8462" width="38.33203125" style="723" customWidth="1"/>
    <col min="8463" max="8463" width="50" style="723" customWidth="1"/>
    <col min="8464" max="8464" width="186.33203125" style="723" customWidth="1"/>
    <col min="8465" max="8465" width="50" style="723" customWidth="1"/>
    <col min="8466" max="8466" width="38.33203125" style="723" customWidth="1"/>
    <col min="8467" max="8468" width="49.83203125" style="723" customWidth="1"/>
    <col min="8469" max="8469" width="38.1640625" style="723" customWidth="1"/>
    <col min="8470" max="8470" width="49.83203125" style="723" customWidth="1"/>
    <col min="8471" max="8471" width="50" style="723" customWidth="1"/>
    <col min="8472" max="8472" width="38.33203125" style="723" customWidth="1"/>
    <col min="8473" max="8474" width="49.83203125" style="723" customWidth="1"/>
    <col min="8475" max="8475" width="38.1640625" style="723" customWidth="1"/>
    <col min="8476" max="8477" width="50" style="723" customWidth="1"/>
    <col min="8478" max="8478" width="38.33203125" style="723" customWidth="1"/>
    <col min="8479" max="8479" width="50" style="723" customWidth="1"/>
    <col min="8480" max="8480" width="186.33203125" style="723" customWidth="1"/>
    <col min="8481" max="8481" width="50" style="723" customWidth="1"/>
    <col min="8482" max="8482" width="38.33203125" style="723" customWidth="1"/>
    <col min="8483" max="8483" width="49.83203125" style="723" customWidth="1"/>
    <col min="8484" max="8484" width="50" style="723" customWidth="1"/>
    <col min="8485" max="8485" width="45" style="723" customWidth="1"/>
    <col min="8486" max="8486" width="50.33203125" style="723" customWidth="1"/>
    <col min="8487" max="8487" width="50" style="723" customWidth="1"/>
    <col min="8488" max="8488" width="45" style="723" customWidth="1"/>
    <col min="8489" max="8489" width="50" style="723" customWidth="1"/>
    <col min="8490" max="8490" width="51" style="723" customWidth="1"/>
    <col min="8491" max="8703" width="9.33203125" style="723"/>
    <col min="8704" max="8704" width="186.33203125" style="723" customWidth="1"/>
    <col min="8705" max="8705" width="49.83203125" style="723" customWidth="1"/>
    <col min="8706" max="8706" width="38.33203125" style="723" customWidth="1"/>
    <col min="8707" max="8708" width="50" style="723" customWidth="1"/>
    <col min="8709" max="8709" width="37.6640625" style="723" customWidth="1"/>
    <col min="8710" max="8711" width="50" style="723" customWidth="1"/>
    <col min="8712" max="8712" width="38.1640625" style="723" customWidth="1"/>
    <col min="8713" max="8714" width="50" style="723" customWidth="1"/>
    <col min="8715" max="8715" width="38.33203125" style="723" customWidth="1"/>
    <col min="8716" max="8717" width="50" style="723" customWidth="1"/>
    <col min="8718" max="8718" width="38.33203125" style="723" customWidth="1"/>
    <col min="8719" max="8719" width="50" style="723" customWidth="1"/>
    <col min="8720" max="8720" width="186.33203125" style="723" customWidth="1"/>
    <col min="8721" max="8721" width="50" style="723" customWidth="1"/>
    <col min="8722" max="8722" width="38.33203125" style="723" customWidth="1"/>
    <col min="8723" max="8724" width="49.83203125" style="723" customWidth="1"/>
    <col min="8725" max="8725" width="38.1640625" style="723" customWidth="1"/>
    <col min="8726" max="8726" width="49.83203125" style="723" customWidth="1"/>
    <col min="8727" max="8727" width="50" style="723" customWidth="1"/>
    <col min="8728" max="8728" width="38.33203125" style="723" customWidth="1"/>
    <col min="8729" max="8730" width="49.83203125" style="723" customWidth="1"/>
    <col min="8731" max="8731" width="38.1640625" style="723" customWidth="1"/>
    <col min="8732" max="8733" width="50" style="723" customWidth="1"/>
    <col min="8734" max="8734" width="38.33203125" style="723" customWidth="1"/>
    <col min="8735" max="8735" width="50" style="723" customWidth="1"/>
    <col min="8736" max="8736" width="186.33203125" style="723" customWidth="1"/>
    <col min="8737" max="8737" width="50" style="723" customWidth="1"/>
    <col min="8738" max="8738" width="38.33203125" style="723" customWidth="1"/>
    <col min="8739" max="8739" width="49.83203125" style="723" customWidth="1"/>
    <col min="8740" max="8740" width="50" style="723" customWidth="1"/>
    <col min="8741" max="8741" width="45" style="723" customWidth="1"/>
    <col min="8742" max="8742" width="50.33203125" style="723" customWidth="1"/>
    <col min="8743" max="8743" width="50" style="723" customWidth="1"/>
    <col min="8744" max="8744" width="45" style="723" customWidth="1"/>
    <col min="8745" max="8745" width="50" style="723" customWidth="1"/>
    <col min="8746" max="8746" width="51" style="723" customWidth="1"/>
    <col min="8747" max="8959" width="9.33203125" style="723"/>
    <col min="8960" max="8960" width="186.33203125" style="723" customWidth="1"/>
    <col min="8961" max="8961" width="49.83203125" style="723" customWidth="1"/>
    <col min="8962" max="8962" width="38.33203125" style="723" customWidth="1"/>
    <col min="8963" max="8964" width="50" style="723" customWidth="1"/>
    <col min="8965" max="8965" width="37.6640625" style="723" customWidth="1"/>
    <col min="8966" max="8967" width="50" style="723" customWidth="1"/>
    <col min="8968" max="8968" width="38.1640625" style="723" customWidth="1"/>
    <col min="8969" max="8970" width="50" style="723" customWidth="1"/>
    <col min="8971" max="8971" width="38.33203125" style="723" customWidth="1"/>
    <col min="8972" max="8973" width="50" style="723" customWidth="1"/>
    <col min="8974" max="8974" width="38.33203125" style="723" customWidth="1"/>
    <col min="8975" max="8975" width="50" style="723" customWidth="1"/>
    <col min="8976" max="8976" width="186.33203125" style="723" customWidth="1"/>
    <col min="8977" max="8977" width="50" style="723" customWidth="1"/>
    <col min="8978" max="8978" width="38.33203125" style="723" customWidth="1"/>
    <col min="8979" max="8980" width="49.83203125" style="723" customWidth="1"/>
    <col min="8981" max="8981" width="38.1640625" style="723" customWidth="1"/>
    <col min="8982" max="8982" width="49.83203125" style="723" customWidth="1"/>
    <col min="8983" max="8983" width="50" style="723" customWidth="1"/>
    <col min="8984" max="8984" width="38.33203125" style="723" customWidth="1"/>
    <col min="8985" max="8986" width="49.83203125" style="723" customWidth="1"/>
    <col min="8987" max="8987" width="38.1640625" style="723" customWidth="1"/>
    <col min="8988" max="8989" width="50" style="723" customWidth="1"/>
    <col min="8990" max="8990" width="38.33203125" style="723" customWidth="1"/>
    <col min="8991" max="8991" width="50" style="723" customWidth="1"/>
    <col min="8992" max="8992" width="186.33203125" style="723" customWidth="1"/>
    <col min="8993" max="8993" width="50" style="723" customWidth="1"/>
    <col min="8994" max="8994" width="38.33203125" style="723" customWidth="1"/>
    <col min="8995" max="8995" width="49.83203125" style="723" customWidth="1"/>
    <col min="8996" max="8996" width="50" style="723" customWidth="1"/>
    <col min="8997" max="8997" width="45" style="723" customWidth="1"/>
    <col min="8998" max="8998" width="50.33203125" style="723" customWidth="1"/>
    <col min="8999" max="8999" width="50" style="723" customWidth="1"/>
    <col min="9000" max="9000" width="45" style="723" customWidth="1"/>
    <col min="9001" max="9001" width="50" style="723" customWidth="1"/>
    <col min="9002" max="9002" width="51" style="723" customWidth="1"/>
    <col min="9003" max="9215" width="9.33203125" style="723"/>
    <col min="9216" max="9216" width="186.33203125" style="723" customWidth="1"/>
    <col min="9217" max="9217" width="49.83203125" style="723" customWidth="1"/>
    <col min="9218" max="9218" width="38.33203125" style="723" customWidth="1"/>
    <col min="9219" max="9220" width="50" style="723" customWidth="1"/>
    <col min="9221" max="9221" width="37.6640625" style="723" customWidth="1"/>
    <col min="9222" max="9223" width="50" style="723" customWidth="1"/>
    <col min="9224" max="9224" width="38.1640625" style="723" customWidth="1"/>
    <col min="9225" max="9226" width="50" style="723" customWidth="1"/>
    <col min="9227" max="9227" width="38.33203125" style="723" customWidth="1"/>
    <col min="9228" max="9229" width="50" style="723" customWidth="1"/>
    <col min="9230" max="9230" width="38.33203125" style="723" customWidth="1"/>
    <col min="9231" max="9231" width="50" style="723" customWidth="1"/>
    <col min="9232" max="9232" width="186.33203125" style="723" customWidth="1"/>
    <col min="9233" max="9233" width="50" style="723" customWidth="1"/>
    <col min="9234" max="9234" width="38.33203125" style="723" customWidth="1"/>
    <col min="9235" max="9236" width="49.83203125" style="723" customWidth="1"/>
    <col min="9237" max="9237" width="38.1640625" style="723" customWidth="1"/>
    <col min="9238" max="9238" width="49.83203125" style="723" customWidth="1"/>
    <col min="9239" max="9239" width="50" style="723" customWidth="1"/>
    <col min="9240" max="9240" width="38.33203125" style="723" customWidth="1"/>
    <col min="9241" max="9242" width="49.83203125" style="723" customWidth="1"/>
    <col min="9243" max="9243" width="38.1640625" style="723" customWidth="1"/>
    <col min="9244" max="9245" width="50" style="723" customWidth="1"/>
    <col min="9246" max="9246" width="38.33203125" style="723" customWidth="1"/>
    <col min="9247" max="9247" width="50" style="723" customWidth="1"/>
    <col min="9248" max="9248" width="186.33203125" style="723" customWidth="1"/>
    <col min="9249" max="9249" width="50" style="723" customWidth="1"/>
    <col min="9250" max="9250" width="38.33203125" style="723" customWidth="1"/>
    <col min="9251" max="9251" width="49.83203125" style="723" customWidth="1"/>
    <col min="9252" max="9252" width="50" style="723" customWidth="1"/>
    <col min="9253" max="9253" width="45" style="723" customWidth="1"/>
    <col min="9254" max="9254" width="50.33203125" style="723" customWidth="1"/>
    <col min="9255" max="9255" width="50" style="723" customWidth="1"/>
    <col min="9256" max="9256" width="45" style="723" customWidth="1"/>
    <col min="9257" max="9257" width="50" style="723" customWidth="1"/>
    <col min="9258" max="9258" width="51" style="723" customWidth="1"/>
    <col min="9259" max="9471" width="9.33203125" style="723"/>
    <col min="9472" max="9472" width="186.33203125" style="723" customWidth="1"/>
    <col min="9473" max="9473" width="49.83203125" style="723" customWidth="1"/>
    <col min="9474" max="9474" width="38.33203125" style="723" customWidth="1"/>
    <col min="9475" max="9476" width="50" style="723" customWidth="1"/>
    <col min="9477" max="9477" width="37.6640625" style="723" customWidth="1"/>
    <col min="9478" max="9479" width="50" style="723" customWidth="1"/>
    <col min="9480" max="9480" width="38.1640625" style="723" customWidth="1"/>
    <col min="9481" max="9482" width="50" style="723" customWidth="1"/>
    <col min="9483" max="9483" width="38.33203125" style="723" customWidth="1"/>
    <col min="9484" max="9485" width="50" style="723" customWidth="1"/>
    <col min="9486" max="9486" width="38.33203125" style="723" customWidth="1"/>
    <col min="9487" max="9487" width="50" style="723" customWidth="1"/>
    <col min="9488" max="9488" width="186.33203125" style="723" customWidth="1"/>
    <col min="9489" max="9489" width="50" style="723" customWidth="1"/>
    <col min="9490" max="9490" width="38.33203125" style="723" customWidth="1"/>
    <col min="9491" max="9492" width="49.83203125" style="723" customWidth="1"/>
    <col min="9493" max="9493" width="38.1640625" style="723" customWidth="1"/>
    <col min="9494" max="9494" width="49.83203125" style="723" customWidth="1"/>
    <col min="9495" max="9495" width="50" style="723" customWidth="1"/>
    <col min="9496" max="9496" width="38.33203125" style="723" customWidth="1"/>
    <col min="9497" max="9498" width="49.83203125" style="723" customWidth="1"/>
    <col min="9499" max="9499" width="38.1640625" style="723" customWidth="1"/>
    <col min="9500" max="9501" width="50" style="723" customWidth="1"/>
    <col min="9502" max="9502" width="38.33203125" style="723" customWidth="1"/>
    <col min="9503" max="9503" width="50" style="723" customWidth="1"/>
    <col min="9504" max="9504" width="186.33203125" style="723" customWidth="1"/>
    <col min="9505" max="9505" width="50" style="723" customWidth="1"/>
    <col min="9506" max="9506" width="38.33203125" style="723" customWidth="1"/>
    <col min="9507" max="9507" width="49.83203125" style="723" customWidth="1"/>
    <col min="9508" max="9508" width="50" style="723" customWidth="1"/>
    <col min="9509" max="9509" width="45" style="723" customWidth="1"/>
    <col min="9510" max="9510" width="50.33203125" style="723" customWidth="1"/>
    <col min="9511" max="9511" width="50" style="723" customWidth="1"/>
    <col min="9512" max="9512" width="45" style="723" customWidth="1"/>
    <col min="9513" max="9513" width="50" style="723" customWidth="1"/>
    <col min="9514" max="9514" width="51" style="723" customWidth="1"/>
    <col min="9515" max="9727" width="9.33203125" style="723"/>
    <col min="9728" max="9728" width="186.33203125" style="723" customWidth="1"/>
    <col min="9729" max="9729" width="49.83203125" style="723" customWidth="1"/>
    <col min="9730" max="9730" width="38.33203125" style="723" customWidth="1"/>
    <col min="9731" max="9732" width="50" style="723" customWidth="1"/>
    <col min="9733" max="9733" width="37.6640625" style="723" customWidth="1"/>
    <col min="9734" max="9735" width="50" style="723" customWidth="1"/>
    <col min="9736" max="9736" width="38.1640625" style="723" customWidth="1"/>
    <col min="9737" max="9738" width="50" style="723" customWidth="1"/>
    <col min="9739" max="9739" width="38.33203125" style="723" customWidth="1"/>
    <col min="9740" max="9741" width="50" style="723" customWidth="1"/>
    <col min="9742" max="9742" width="38.33203125" style="723" customWidth="1"/>
    <col min="9743" max="9743" width="50" style="723" customWidth="1"/>
    <col min="9744" max="9744" width="186.33203125" style="723" customWidth="1"/>
    <col min="9745" max="9745" width="50" style="723" customWidth="1"/>
    <col min="9746" max="9746" width="38.33203125" style="723" customWidth="1"/>
    <col min="9747" max="9748" width="49.83203125" style="723" customWidth="1"/>
    <col min="9749" max="9749" width="38.1640625" style="723" customWidth="1"/>
    <col min="9750" max="9750" width="49.83203125" style="723" customWidth="1"/>
    <col min="9751" max="9751" width="50" style="723" customWidth="1"/>
    <col min="9752" max="9752" width="38.33203125" style="723" customWidth="1"/>
    <col min="9753" max="9754" width="49.83203125" style="723" customWidth="1"/>
    <col min="9755" max="9755" width="38.1640625" style="723" customWidth="1"/>
    <col min="9756" max="9757" width="50" style="723" customWidth="1"/>
    <col min="9758" max="9758" width="38.33203125" style="723" customWidth="1"/>
    <col min="9759" max="9759" width="50" style="723" customWidth="1"/>
    <col min="9760" max="9760" width="186.33203125" style="723" customWidth="1"/>
    <col min="9761" max="9761" width="50" style="723" customWidth="1"/>
    <col min="9762" max="9762" width="38.33203125" style="723" customWidth="1"/>
    <col min="9763" max="9763" width="49.83203125" style="723" customWidth="1"/>
    <col min="9764" max="9764" width="50" style="723" customWidth="1"/>
    <col min="9765" max="9765" width="45" style="723" customWidth="1"/>
    <col min="9766" max="9766" width="50.33203125" style="723" customWidth="1"/>
    <col min="9767" max="9767" width="50" style="723" customWidth="1"/>
    <col min="9768" max="9768" width="45" style="723" customWidth="1"/>
    <col min="9769" max="9769" width="50" style="723" customWidth="1"/>
    <col min="9770" max="9770" width="51" style="723" customWidth="1"/>
    <col min="9771" max="9983" width="9.33203125" style="723"/>
    <col min="9984" max="9984" width="186.33203125" style="723" customWidth="1"/>
    <col min="9985" max="9985" width="49.83203125" style="723" customWidth="1"/>
    <col min="9986" max="9986" width="38.33203125" style="723" customWidth="1"/>
    <col min="9987" max="9988" width="50" style="723" customWidth="1"/>
    <col min="9989" max="9989" width="37.6640625" style="723" customWidth="1"/>
    <col min="9990" max="9991" width="50" style="723" customWidth="1"/>
    <col min="9992" max="9992" width="38.1640625" style="723" customWidth="1"/>
    <col min="9993" max="9994" width="50" style="723" customWidth="1"/>
    <col min="9995" max="9995" width="38.33203125" style="723" customWidth="1"/>
    <col min="9996" max="9997" width="50" style="723" customWidth="1"/>
    <col min="9998" max="9998" width="38.33203125" style="723" customWidth="1"/>
    <col min="9999" max="9999" width="50" style="723" customWidth="1"/>
    <col min="10000" max="10000" width="186.33203125" style="723" customWidth="1"/>
    <col min="10001" max="10001" width="50" style="723" customWidth="1"/>
    <col min="10002" max="10002" width="38.33203125" style="723" customWidth="1"/>
    <col min="10003" max="10004" width="49.83203125" style="723" customWidth="1"/>
    <col min="10005" max="10005" width="38.1640625" style="723" customWidth="1"/>
    <col min="10006" max="10006" width="49.83203125" style="723" customWidth="1"/>
    <col min="10007" max="10007" width="50" style="723" customWidth="1"/>
    <col min="10008" max="10008" width="38.33203125" style="723" customWidth="1"/>
    <col min="10009" max="10010" width="49.83203125" style="723" customWidth="1"/>
    <col min="10011" max="10011" width="38.1640625" style="723" customWidth="1"/>
    <col min="10012" max="10013" width="50" style="723" customWidth="1"/>
    <col min="10014" max="10014" width="38.33203125" style="723" customWidth="1"/>
    <col min="10015" max="10015" width="50" style="723" customWidth="1"/>
    <col min="10016" max="10016" width="186.33203125" style="723" customWidth="1"/>
    <col min="10017" max="10017" width="50" style="723" customWidth="1"/>
    <col min="10018" max="10018" width="38.33203125" style="723" customWidth="1"/>
    <col min="10019" max="10019" width="49.83203125" style="723" customWidth="1"/>
    <col min="10020" max="10020" width="50" style="723" customWidth="1"/>
    <col min="10021" max="10021" width="45" style="723" customWidth="1"/>
    <col min="10022" max="10022" width="50.33203125" style="723" customWidth="1"/>
    <col min="10023" max="10023" width="50" style="723" customWidth="1"/>
    <col min="10024" max="10024" width="45" style="723" customWidth="1"/>
    <col min="10025" max="10025" width="50" style="723" customWidth="1"/>
    <col min="10026" max="10026" width="51" style="723" customWidth="1"/>
    <col min="10027" max="10239" width="9.33203125" style="723"/>
    <col min="10240" max="10240" width="186.33203125" style="723" customWidth="1"/>
    <col min="10241" max="10241" width="49.83203125" style="723" customWidth="1"/>
    <col min="10242" max="10242" width="38.33203125" style="723" customWidth="1"/>
    <col min="10243" max="10244" width="50" style="723" customWidth="1"/>
    <col min="10245" max="10245" width="37.6640625" style="723" customWidth="1"/>
    <col min="10246" max="10247" width="50" style="723" customWidth="1"/>
    <col min="10248" max="10248" width="38.1640625" style="723" customWidth="1"/>
    <col min="10249" max="10250" width="50" style="723" customWidth="1"/>
    <col min="10251" max="10251" width="38.33203125" style="723" customWidth="1"/>
    <col min="10252" max="10253" width="50" style="723" customWidth="1"/>
    <col min="10254" max="10254" width="38.33203125" style="723" customWidth="1"/>
    <col min="10255" max="10255" width="50" style="723" customWidth="1"/>
    <col min="10256" max="10256" width="186.33203125" style="723" customWidth="1"/>
    <col min="10257" max="10257" width="50" style="723" customWidth="1"/>
    <col min="10258" max="10258" width="38.33203125" style="723" customWidth="1"/>
    <col min="10259" max="10260" width="49.83203125" style="723" customWidth="1"/>
    <col min="10261" max="10261" width="38.1640625" style="723" customWidth="1"/>
    <col min="10262" max="10262" width="49.83203125" style="723" customWidth="1"/>
    <col min="10263" max="10263" width="50" style="723" customWidth="1"/>
    <col min="10264" max="10264" width="38.33203125" style="723" customWidth="1"/>
    <col min="10265" max="10266" width="49.83203125" style="723" customWidth="1"/>
    <col min="10267" max="10267" width="38.1640625" style="723" customWidth="1"/>
    <col min="10268" max="10269" width="50" style="723" customWidth="1"/>
    <col min="10270" max="10270" width="38.33203125" style="723" customWidth="1"/>
    <col min="10271" max="10271" width="50" style="723" customWidth="1"/>
    <col min="10272" max="10272" width="186.33203125" style="723" customWidth="1"/>
    <col min="10273" max="10273" width="50" style="723" customWidth="1"/>
    <col min="10274" max="10274" width="38.33203125" style="723" customWidth="1"/>
    <col min="10275" max="10275" width="49.83203125" style="723" customWidth="1"/>
    <col min="10276" max="10276" width="50" style="723" customWidth="1"/>
    <col min="10277" max="10277" width="45" style="723" customWidth="1"/>
    <col min="10278" max="10278" width="50.33203125" style="723" customWidth="1"/>
    <col min="10279" max="10279" width="50" style="723" customWidth="1"/>
    <col min="10280" max="10280" width="45" style="723" customWidth="1"/>
    <col min="10281" max="10281" width="50" style="723" customWidth="1"/>
    <col min="10282" max="10282" width="51" style="723" customWidth="1"/>
    <col min="10283" max="10495" width="9.33203125" style="723"/>
    <col min="10496" max="10496" width="186.33203125" style="723" customWidth="1"/>
    <col min="10497" max="10497" width="49.83203125" style="723" customWidth="1"/>
    <col min="10498" max="10498" width="38.33203125" style="723" customWidth="1"/>
    <col min="10499" max="10500" width="50" style="723" customWidth="1"/>
    <col min="10501" max="10501" width="37.6640625" style="723" customWidth="1"/>
    <col min="10502" max="10503" width="50" style="723" customWidth="1"/>
    <col min="10504" max="10504" width="38.1640625" style="723" customWidth="1"/>
    <col min="10505" max="10506" width="50" style="723" customWidth="1"/>
    <col min="10507" max="10507" width="38.33203125" style="723" customWidth="1"/>
    <col min="10508" max="10509" width="50" style="723" customWidth="1"/>
    <col min="10510" max="10510" width="38.33203125" style="723" customWidth="1"/>
    <col min="10511" max="10511" width="50" style="723" customWidth="1"/>
    <col min="10512" max="10512" width="186.33203125" style="723" customWidth="1"/>
    <col min="10513" max="10513" width="50" style="723" customWidth="1"/>
    <col min="10514" max="10514" width="38.33203125" style="723" customWidth="1"/>
    <col min="10515" max="10516" width="49.83203125" style="723" customWidth="1"/>
    <col min="10517" max="10517" width="38.1640625" style="723" customWidth="1"/>
    <col min="10518" max="10518" width="49.83203125" style="723" customWidth="1"/>
    <col min="10519" max="10519" width="50" style="723" customWidth="1"/>
    <col min="10520" max="10520" width="38.33203125" style="723" customWidth="1"/>
    <col min="10521" max="10522" width="49.83203125" style="723" customWidth="1"/>
    <col min="10523" max="10523" width="38.1640625" style="723" customWidth="1"/>
    <col min="10524" max="10525" width="50" style="723" customWidth="1"/>
    <col min="10526" max="10526" width="38.33203125" style="723" customWidth="1"/>
    <col min="10527" max="10527" width="50" style="723" customWidth="1"/>
    <col min="10528" max="10528" width="186.33203125" style="723" customWidth="1"/>
    <col min="10529" max="10529" width="50" style="723" customWidth="1"/>
    <col min="10530" max="10530" width="38.33203125" style="723" customWidth="1"/>
    <col min="10531" max="10531" width="49.83203125" style="723" customWidth="1"/>
    <col min="10532" max="10532" width="50" style="723" customWidth="1"/>
    <col min="10533" max="10533" width="45" style="723" customWidth="1"/>
    <col min="10534" max="10534" width="50.33203125" style="723" customWidth="1"/>
    <col min="10535" max="10535" width="50" style="723" customWidth="1"/>
    <col min="10536" max="10536" width="45" style="723" customWidth="1"/>
    <col min="10537" max="10537" width="50" style="723" customWidth="1"/>
    <col min="10538" max="10538" width="51" style="723" customWidth="1"/>
    <col min="10539" max="10751" width="9.33203125" style="723"/>
    <col min="10752" max="10752" width="186.33203125" style="723" customWidth="1"/>
    <col min="10753" max="10753" width="49.83203125" style="723" customWidth="1"/>
    <col min="10754" max="10754" width="38.33203125" style="723" customWidth="1"/>
    <col min="10755" max="10756" width="50" style="723" customWidth="1"/>
    <col min="10757" max="10757" width="37.6640625" style="723" customWidth="1"/>
    <col min="10758" max="10759" width="50" style="723" customWidth="1"/>
    <col min="10760" max="10760" width="38.1640625" style="723" customWidth="1"/>
    <col min="10761" max="10762" width="50" style="723" customWidth="1"/>
    <col min="10763" max="10763" width="38.33203125" style="723" customWidth="1"/>
    <col min="10764" max="10765" width="50" style="723" customWidth="1"/>
    <col min="10766" max="10766" width="38.33203125" style="723" customWidth="1"/>
    <col min="10767" max="10767" width="50" style="723" customWidth="1"/>
    <col min="10768" max="10768" width="186.33203125" style="723" customWidth="1"/>
    <col min="10769" max="10769" width="50" style="723" customWidth="1"/>
    <col min="10770" max="10770" width="38.33203125" style="723" customWidth="1"/>
    <col min="10771" max="10772" width="49.83203125" style="723" customWidth="1"/>
    <col min="10773" max="10773" width="38.1640625" style="723" customWidth="1"/>
    <col min="10774" max="10774" width="49.83203125" style="723" customWidth="1"/>
    <col min="10775" max="10775" width="50" style="723" customWidth="1"/>
    <col min="10776" max="10776" width="38.33203125" style="723" customWidth="1"/>
    <col min="10777" max="10778" width="49.83203125" style="723" customWidth="1"/>
    <col min="10779" max="10779" width="38.1640625" style="723" customWidth="1"/>
    <col min="10780" max="10781" width="50" style="723" customWidth="1"/>
    <col min="10782" max="10782" width="38.33203125" style="723" customWidth="1"/>
    <col min="10783" max="10783" width="50" style="723" customWidth="1"/>
    <col min="10784" max="10784" width="186.33203125" style="723" customWidth="1"/>
    <col min="10785" max="10785" width="50" style="723" customWidth="1"/>
    <col min="10786" max="10786" width="38.33203125" style="723" customWidth="1"/>
    <col min="10787" max="10787" width="49.83203125" style="723" customWidth="1"/>
    <col min="10788" max="10788" width="50" style="723" customWidth="1"/>
    <col min="10789" max="10789" width="45" style="723" customWidth="1"/>
    <col min="10790" max="10790" width="50.33203125" style="723" customWidth="1"/>
    <col min="10791" max="10791" width="50" style="723" customWidth="1"/>
    <col min="10792" max="10792" width="45" style="723" customWidth="1"/>
    <col min="10793" max="10793" width="50" style="723" customWidth="1"/>
    <col min="10794" max="10794" width="51" style="723" customWidth="1"/>
    <col min="10795" max="11007" width="9.33203125" style="723"/>
    <col min="11008" max="11008" width="186.33203125" style="723" customWidth="1"/>
    <col min="11009" max="11009" width="49.83203125" style="723" customWidth="1"/>
    <col min="11010" max="11010" width="38.33203125" style="723" customWidth="1"/>
    <col min="11011" max="11012" width="50" style="723" customWidth="1"/>
    <col min="11013" max="11013" width="37.6640625" style="723" customWidth="1"/>
    <col min="11014" max="11015" width="50" style="723" customWidth="1"/>
    <col min="11016" max="11016" width="38.1640625" style="723" customWidth="1"/>
    <col min="11017" max="11018" width="50" style="723" customWidth="1"/>
    <col min="11019" max="11019" width="38.33203125" style="723" customWidth="1"/>
    <col min="11020" max="11021" width="50" style="723" customWidth="1"/>
    <col min="11022" max="11022" width="38.33203125" style="723" customWidth="1"/>
    <col min="11023" max="11023" width="50" style="723" customWidth="1"/>
    <col min="11024" max="11024" width="186.33203125" style="723" customWidth="1"/>
    <col min="11025" max="11025" width="50" style="723" customWidth="1"/>
    <col min="11026" max="11026" width="38.33203125" style="723" customWidth="1"/>
    <col min="11027" max="11028" width="49.83203125" style="723" customWidth="1"/>
    <col min="11029" max="11029" width="38.1640625" style="723" customWidth="1"/>
    <col min="11030" max="11030" width="49.83203125" style="723" customWidth="1"/>
    <col min="11031" max="11031" width="50" style="723" customWidth="1"/>
    <col min="11032" max="11032" width="38.33203125" style="723" customWidth="1"/>
    <col min="11033" max="11034" width="49.83203125" style="723" customWidth="1"/>
    <col min="11035" max="11035" width="38.1640625" style="723" customWidth="1"/>
    <col min="11036" max="11037" width="50" style="723" customWidth="1"/>
    <col min="11038" max="11038" width="38.33203125" style="723" customWidth="1"/>
    <col min="11039" max="11039" width="50" style="723" customWidth="1"/>
    <col min="11040" max="11040" width="186.33203125" style="723" customWidth="1"/>
    <col min="11041" max="11041" width="50" style="723" customWidth="1"/>
    <col min="11042" max="11042" width="38.33203125" style="723" customWidth="1"/>
    <col min="11043" max="11043" width="49.83203125" style="723" customWidth="1"/>
    <col min="11044" max="11044" width="50" style="723" customWidth="1"/>
    <col min="11045" max="11045" width="45" style="723" customWidth="1"/>
    <col min="11046" max="11046" width="50.33203125" style="723" customWidth="1"/>
    <col min="11047" max="11047" width="50" style="723" customWidth="1"/>
    <col min="11048" max="11048" width="45" style="723" customWidth="1"/>
    <col min="11049" max="11049" width="50" style="723" customWidth="1"/>
    <col min="11050" max="11050" width="51" style="723" customWidth="1"/>
    <col min="11051" max="11263" width="9.33203125" style="723"/>
    <col min="11264" max="11264" width="186.33203125" style="723" customWidth="1"/>
    <col min="11265" max="11265" width="49.83203125" style="723" customWidth="1"/>
    <col min="11266" max="11266" width="38.33203125" style="723" customWidth="1"/>
    <col min="11267" max="11268" width="50" style="723" customWidth="1"/>
    <col min="11269" max="11269" width="37.6640625" style="723" customWidth="1"/>
    <col min="11270" max="11271" width="50" style="723" customWidth="1"/>
    <col min="11272" max="11272" width="38.1640625" style="723" customWidth="1"/>
    <col min="11273" max="11274" width="50" style="723" customWidth="1"/>
    <col min="11275" max="11275" width="38.33203125" style="723" customWidth="1"/>
    <col min="11276" max="11277" width="50" style="723" customWidth="1"/>
    <col min="11278" max="11278" width="38.33203125" style="723" customWidth="1"/>
    <col min="11279" max="11279" width="50" style="723" customWidth="1"/>
    <col min="11280" max="11280" width="186.33203125" style="723" customWidth="1"/>
    <col min="11281" max="11281" width="50" style="723" customWidth="1"/>
    <col min="11282" max="11282" width="38.33203125" style="723" customWidth="1"/>
    <col min="11283" max="11284" width="49.83203125" style="723" customWidth="1"/>
    <col min="11285" max="11285" width="38.1640625" style="723" customWidth="1"/>
    <col min="11286" max="11286" width="49.83203125" style="723" customWidth="1"/>
    <col min="11287" max="11287" width="50" style="723" customWidth="1"/>
    <col min="11288" max="11288" width="38.33203125" style="723" customWidth="1"/>
    <col min="11289" max="11290" width="49.83203125" style="723" customWidth="1"/>
    <col min="11291" max="11291" width="38.1640625" style="723" customWidth="1"/>
    <col min="11292" max="11293" width="50" style="723" customWidth="1"/>
    <col min="11294" max="11294" width="38.33203125" style="723" customWidth="1"/>
    <col min="11295" max="11295" width="50" style="723" customWidth="1"/>
    <col min="11296" max="11296" width="186.33203125" style="723" customWidth="1"/>
    <col min="11297" max="11297" width="50" style="723" customWidth="1"/>
    <col min="11298" max="11298" width="38.33203125" style="723" customWidth="1"/>
    <col min="11299" max="11299" width="49.83203125" style="723" customWidth="1"/>
    <col min="11300" max="11300" width="50" style="723" customWidth="1"/>
    <col min="11301" max="11301" width="45" style="723" customWidth="1"/>
    <col min="11302" max="11302" width="50.33203125" style="723" customWidth="1"/>
    <col min="11303" max="11303" width="50" style="723" customWidth="1"/>
    <col min="11304" max="11304" width="45" style="723" customWidth="1"/>
    <col min="11305" max="11305" width="50" style="723" customWidth="1"/>
    <col min="11306" max="11306" width="51" style="723" customWidth="1"/>
    <col min="11307" max="11519" width="9.33203125" style="723"/>
    <col min="11520" max="11520" width="186.33203125" style="723" customWidth="1"/>
    <col min="11521" max="11521" width="49.83203125" style="723" customWidth="1"/>
    <col min="11522" max="11522" width="38.33203125" style="723" customWidth="1"/>
    <col min="11523" max="11524" width="50" style="723" customWidth="1"/>
    <col min="11525" max="11525" width="37.6640625" style="723" customWidth="1"/>
    <col min="11526" max="11527" width="50" style="723" customWidth="1"/>
    <col min="11528" max="11528" width="38.1640625" style="723" customWidth="1"/>
    <col min="11529" max="11530" width="50" style="723" customWidth="1"/>
    <col min="11531" max="11531" width="38.33203125" style="723" customWidth="1"/>
    <col min="11532" max="11533" width="50" style="723" customWidth="1"/>
    <col min="11534" max="11534" width="38.33203125" style="723" customWidth="1"/>
    <col min="11535" max="11535" width="50" style="723" customWidth="1"/>
    <col min="11536" max="11536" width="186.33203125" style="723" customWidth="1"/>
    <col min="11537" max="11537" width="50" style="723" customWidth="1"/>
    <col min="11538" max="11538" width="38.33203125" style="723" customWidth="1"/>
    <col min="11539" max="11540" width="49.83203125" style="723" customWidth="1"/>
    <col min="11541" max="11541" width="38.1640625" style="723" customWidth="1"/>
    <col min="11542" max="11542" width="49.83203125" style="723" customWidth="1"/>
    <col min="11543" max="11543" width="50" style="723" customWidth="1"/>
    <col min="11544" max="11544" width="38.33203125" style="723" customWidth="1"/>
    <col min="11545" max="11546" width="49.83203125" style="723" customWidth="1"/>
    <col min="11547" max="11547" width="38.1640625" style="723" customWidth="1"/>
    <col min="11548" max="11549" width="50" style="723" customWidth="1"/>
    <col min="11550" max="11550" width="38.33203125" style="723" customWidth="1"/>
    <col min="11551" max="11551" width="50" style="723" customWidth="1"/>
    <col min="11552" max="11552" width="186.33203125" style="723" customWidth="1"/>
    <col min="11553" max="11553" width="50" style="723" customWidth="1"/>
    <col min="11554" max="11554" width="38.33203125" style="723" customWidth="1"/>
    <col min="11555" max="11555" width="49.83203125" style="723" customWidth="1"/>
    <col min="11556" max="11556" width="50" style="723" customWidth="1"/>
    <col min="11557" max="11557" width="45" style="723" customWidth="1"/>
    <col min="11558" max="11558" width="50.33203125" style="723" customWidth="1"/>
    <col min="11559" max="11559" width="50" style="723" customWidth="1"/>
    <col min="11560" max="11560" width="45" style="723" customWidth="1"/>
    <col min="11561" max="11561" width="50" style="723" customWidth="1"/>
    <col min="11562" max="11562" width="51" style="723" customWidth="1"/>
    <col min="11563" max="11775" width="9.33203125" style="723"/>
    <col min="11776" max="11776" width="186.33203125" style="723" customWidth="1"/>
    <col min="11777" max="11777" width="49.83203125" style="723" customWidth="1"/>
    <col min="11778" max="11778" width="38.33203125" style="723" customWidth="1"/>
    <col min="11779" max="11780" width="50" style="723" customWidth="1"/>
    <col min="11781" max="11781" width="37.6640625" style="723" customWidth="1"/>
    <col min="11782" max="11783" width="50" style="723" customWidth="1"/>
    <col min="11784" max="11784" width="38.1640625" style="723" customWidth="1"/>
    <col min="11785" max="11786" width="50" style="723" customWidth="1"/>
    <col min="11787" max="11787" width="38.33203125" style="723" customWidth="1"/>
    <col min="11788" max="11789" width="50" style="723" customWidth="1"/>
    <col min="11790" max="11790" width="38.33203125" style="723" customWidth="1"/>
    <col min="11791" max="11791" width="50" style="723" customWidth="1"/>
    <col min="11792" max="11792" width="186.33203125" style="723" customWidth="1"/>
    <col min="11793" max="11793" width="50" style="723" customWidth="1"/>
    <col min="11794" max="11794" width="38.33203125" style="723" customWidth="1"/>
    <col min="11795" max="11796" width="49.83203125" style="723" customWidth="1"/>
    <col min="11797" max="11797" width="38.1640625" style="723" customWidth="1"/>
    <col min="11798" max="11798" width="49.83203125" style="723" customWidth="1"/>
    <col min="11799" max="11799" width="50" style="723" customWidth="1"/>
    <col min="11800" max="11800" width="38.33203125" style="723" customWidth="1"/>
    <col min="11801" max="11802" width="49.83203125" style="723" customWidth="1"/>
    <col min="11803" max="11803" width="38.1640625" style="723" customWidth="1"/>
    <col min="11804" max="11805" width="50" style="723" customWidth="1"/>
    <col min="11806" max="11806" width="38.33203125" style="723" customWidth="1"/>
    <col min="11807" max="11807" width="50" style="723" customWidth="1"/>
    <col min="11808" max="11808" width="186.33203125" style="723" customWidth="1"/>
    <col min="11809" max="11809" width="50" style="723" customWidth="1"/>
    <col min="11810" max="11810" width="38.33203125" style="723" customWidth="1"/>
    <col min="11811" max="11811" width="49.83203125" style="723" customWidth="1"/>
    <col min="11812" max="11812" width="50" style="723" customWidth="1"/>
    <col min="11813" max="11813" width="45" style="723" customWidth="1"/>
    <col min="11814" max="11814" width="50.33203125" style="723" customWidth="1"/>
    <col min="11815" max="11815" width="50" style="723" customWidth="1"/>
    <col min="11816" max="11816" width="45" style="723" customWidth="1"/>
    <col min="11817" max="11817" width="50" style="723" customWidth="1"/>
    <col min="11818" max="11818" width="51" style="723" customWidth="1"/>
    <col min="11819" max="12031" width="9.33203125" style="723"/>
    <col min="12032" max="12032" width="186.33203125" style="723" customWidth="1"/>
    <col min="12033" max="12033" width="49.83203125" style="723" customWidth="1"/>
    <col min="12034" max="12034" width="38.33203125" style="723" customWidth="1"/>
    <col min="12035" max="12036" width="50" style="723" customWidth="1"/>
    <col min="12037" max="12037" width="37.6640625" style="723" customWidth="1"/>
    <col min="12038" max="12039" width="50" style="723" customWidth="1"/>
    <col min="12040" max="12040" width="38.1640625" style="723" customWidth="1"/>
    <col min="12041" max="12042" width="50" style="723" customWidth="1"/>
    <col min="12043" max="12043" width="38.33203125" style="723" customWidth="1"/>
    <col min="12044" max="12045" width="50" style="723" customWidth="1"/>
    <col min="12046" max="12046" width="38.33203125" style="723" customWidth="1"/>
    <col min="12047" max="12047" width="50" style="723" customWidth="1"/>
    <col min="12048" max="12048" width="186.33203125" style="723" customWidth="1"/>
    <col min="12049" max="12049" width="50" style="723" customWidth="1"/>
    <col min="12050" max="12050" width="38.33203125" style="723" customWidth="1"/>
    <col min="12051" max="12052" width="49.83203125" style="723" customWidth="1"/>
    <col min="12053" max="12053" width="38.1640625" style="723" customWidth="1"/>
    <col min="12054" max="12054" width="49.83203125" style="723" customWidth="1"/>
    <col min="12055" max="12055" width="50" style="723" customWidth="1"/>
    <col min="12056" max="12056" width="38.33203125" style="723" customWidth="1"/>
    <col min="12057" max="12058" width="49.83203125" style="723" customWidth="1"/>
    <col min="12059" max="12059" width="38.1640625" style="723" customWidth="1"/>
    <col min="12060" max="12061" width="50" style="723" customWidth="1"/>
    <col min="12062" max="12062" width="38.33203125" style="723" customWidth="1"/>
    <col min="12063" max="12063" width="50" style="723" customWidth="1"/>
    <col min="12064" max="12064" width="186.33203125" style="723" customWidth="1"/>
    <col min="12065" max="12065" width="50" style="723" customWidth="1"/>
    <col min="12066" max="12066" width="38.33203125" style="723" customWidth="1"/>
    <col min="12067" max="12067" width="49.83203125" style="723" customWidth="1"/>
    <col min="12068" max="12068" width="50" style="723" customWidth="1"/>
    <col min="12069" max="12069" width="45" style="723" customWidth="1"/>
    <col min="12070" max="12070" width="50.33203125" style="723" customWidth="1"/>
    <col min="12071" max="12071" width="50" style="723" customWidth="1"/>
    <col min="12072" max="12072" width="45" style="723" customWidth="1"/>
    <col min="12073" max="12073" width="50" style="723" customWidth="1"/>
    <col min="12074" max="12074" width="51" style="723" customWidth="1"/>
    <col min="12075" max="12287" width="9.33203125" style="723"/>
    <col min="12288" max="12288" width="186.33203125" style="723" customWidth="1"/>
    <col min="12289" max="12289" width="49.83203125" style="723" customWidth="1"/>
    <col min="12290" max="12290" width="38.33203125" style="723" customWidth="1"/>
    <col min="12291" max="12292" width="50" style="723" customWidth="1"/>
    <col min="12293" max="12293" width="37.6640625" style="723" customWidth="1"/>
    <col min="12294" max="12295" width="50" style="723" customWidth="1"/>
    <col min="12296" max="12296" width="38.1640625" style="723" customWidth="1"/>
    <col min="12297" max="12298" width="50" style="723" customWidth="1"/>
    <col min="12299" max="12299" width="38.33203125" style="723" customWidth="1"/>
    <col min="12300" max="12301" width="50" style="723" customWidth="1"/>
    <col min="12302" max="12302" width="38.33203125" style="723" customWidth="1"/>
    <col min="12303" max="12303" width="50" style="723" customWidth="1"/>
    <col min="12304" max="12304" width="186.33203125" style="723" customWidth="1"/>
    <col min="12305" max="12305" width="50" style="723" customWidth="1"/>
    <col min="12306" max="12306" width="38.33203125" style="723" customWidth="1"/>
    <col min="12307" max="12308" width="49.83203125" style="723" customWidth="1"/>
    <col min="12309" max="12309" width="38.1640625" style="723" customWidth="1"/>
    <col min="12310" max="12310" width="49.83203125" style="723" customWidth="1"/>
    <col min="12311" max="12311" width="50" style="723" customWidth="1"/>
    <col min="12312" max="12312" width="38.33203125" style="723" customWidth="1"/>
    <col min="12313" max="12314" width="49.83203125" style="723" customWidth="1"/>
    <col min="12315" max="12315" width="38.1640625" style="723" customWidth="1"/>
    <col min="12316" max="12317" width="50" style="723" customWidth="1"/>
    <col min="12318" max="12318" width="38.33203125" style="723" customWidth="1"/>
    <col min="12319" max="12319" width="50" style="723" customWidth="1"/>
    <col min="12320" max="12320" width="186.33203125" style="723" customWidth="1"/>
    <col min="12321" max="12321" width="50" style="723" customWidth="1"/>
    <col min="12322" max="12322" width="38.33203125" style="723" customWidth="1"/>
    <col min="12323" max="12323" width="49.83203125" style="723" customWidth="1"/>
    <col min="12324" max="12324" width="50" style="723" customWidth="1"/>
    <col min="12325" max="12325" width="45" style="723" customWidth="1"/>
    <col min="12326" max="12326" width="50.33203125" style="723" customWidth="1"/>
    <col min="12327" max="12327" width="50" style="723" customWidth="1"/>
    <col min="12328" max="12328" width="45" style="723" customWidth="1"/>
    <col min="12329" max="12329" width="50" style="723" customWidth="1"/>
    <col min="12330" max="12330" width="51" style="723" customWidth="1"/>
    <col min="12331" max="12543" width="9.33203125" style="723"/>
    <col min="12544" max="12544" width="186.33203125" style="723" customWidth="1"/>
    <col min="12545" max="12545" width="49.83203125" style="723" customWidth="1"/>
    <col min="12546" max="12546" width="38.33203125" style="723" customWidth="1"/>
    <col min="12547" max="12548" width="50" style="723" customWidth="1"/>
    <col min="12549" max="12549" width="37.6640625" style="723" customWidth="1"/>
    <col min="12550" max="12551" width="50" style="723" customWidth="1"/>
    <col min="12552" max="12552" width="38.1640625" style="723" customWidth="1"/>
    <col min="12553" max="12554" width="50" style="723" customWidth="1"/>
    <col min="12555" max="12555" width="38.33203125" style="723" customWidth="1"/>
    <col min="12556" max="12557" width="50" style="723" customWidth="1"/>
    <col min="12558" max="12558" width="38.33203125" style="723" customWidth="1"/>
    <col min="12559" max="12559" width="50" style="723" customWidth="1"/>
    <col min="12560" max="12560" width="186.33203125" style="723" customWidth="1"/>
    <col min="12561" max="12561" width="50" style="723" customWidth="1"/>
    <col min="12562" max="12562" width="38.33203125" style="723" customWidth="1"/>
    <col min="12563" max="12564" width="49.83203125" style="723" customWidth="1"/>
    <col min="12565" max="12565" width="38.1640625" style="723" customWidth="1"/>
    <col min="12566" max="12566" width="49.83203125" style="723" customWidth="1"/>
    <col min="12567" max="12567" width="50" style="723" customWidth="1"/>
    <col min="12568" max="12568" width="38.33203125" style="723" customWidth="1"/>
    <col min="12569" max="12570" width="49.83203125" style="723" customWidth="1"/>
    <col min="12571" max="12571" width="38.1640625" style="723" customWidth="1"/>
    <col min="12572" max="12573" width="50" style="723" customWidth="1"/>
    <col min="12574" max="12574" width="38.33203125" style="723" customWidth="1"/>
    <col min="12575" max="12575" width="50" style="723" customWidth="1"/>
    <col min="12576" max="12576" width="186.33203125" style="723" customWidth="1"/>
    <col min="12577" max="12577" width="50" style="723" customWidth="1"/>
    <col min="12578" max="12578" width="38.33203125" style="723" customWidth="1"/>
    <col min="12579" max="12579" width="49.83203125" style="723" customWidth="1"/>
    <col min="12580" max="12580" width="50" style="723" customWidth="1"/>
    <col min="12581" max="12581" width="45" style="723" customWidth="1"/>
    <col min="12582" max="12582" width="50.33203125" style="723" customWidth="1"/>
    <col min="12583" max="12583" width="50" style="723" customWidth="1"/>
    <col min="12584" max="12584" width="45" style="723" customWidth="1"/>
    <col min="12585" max="12585" width="50" style="723" customWidth="1"/>
    <col min="12586" max="12586" width="51" style="723" customWidth="1"/>
    <col min="12587" max="12799" width="9.33203125" style="723"/>
    <col min="12800" max="12800" width="186.33203125" style="723" customWidth="1"/>
    <col min="12801" max="12801" width="49.83203125" style="723" customWidth="1"/>
    <col min="12802" max="12802" width="38.33203125" style="723" customWidth="1"/>
    <col min="12803" max="12804" width="50" style="723" customWidth="1"/>
    <col min="12805" max="12805" width="37.6640625" style="723" customWidth="1"/>
    <col min="12806" max="12807" width="50" style="723" customWidth="1"/>
    <col min="12808" max="12808" width="38.1640625" style="723" customWidth="1"/>
    <col min="12809" max="12810" width="50" style="723" customWidth="1"/>
    <col min="12811" max="12811" width="38.33203125" style="723" customWidth="1"/>
    <col min="12812" max="12813" width="50" style="723" customWidth="1"/>
    <col min="12814" max="12814" width="38.33203125" style="723" customWidth="1"/>
    <col min="12815" max="12815" width="50" style="723" customWidth="1"/>
    <col min="12816" max="12816" width="186.33203125" style="723" customWidth="1"/>
    <col min="12817" max="12817" width="50" style="723" customWidth="1"/>
    <col min="12818" max="12818" width="38.33203125" style="723" customWidth="1"/>
    <col min="12819" max="12820" width="49.83203125" style="723" customWidth="1"/>
    <col min="12821" max="12821" width="38.1640625" style="723" customWidth="1"/>
    <col min="12822" max="12822" width="49.83203125" style="723" customWidth="1"/>
    <col min="12823" max="12823" width="50" style="723" customWidth="1"/>
    <col min="12824" max="12824" width="38.33203125" style="723" customWidth="1"/>
    <col min="12825" max="12826" width="49.83203125" style="723" customWidth="1"/>
    <col min="12827" max="12827" width="38.1640625" style="723" customWidth="1"/>
    <col min="12828" max="12829" width="50" style="723" customWidth="1"/>
    <col min="12830" max="12830" width="38.33203125" style="723" customWidth="1"/>
    <col min="12831" max="12831" width="50" style="723" customWidth="1"/>
    <col min="12832" max="12832" width="186.33203125" style="723" customWidth="1"/>
    <col min="12833" max="12833" width="50" style="723" customWidth="1"/>
    <col min="12834" max="12834" width="38.33203125" style="723" customWidth="1"/>
    <col min="12835" max="12835" width="49.83203125" style="723" customWidth="1"/>
    <col min="12836" max="12836" width="50" style="723" customWidth="1"/>
    <col min="12837" max="12837" width="45" style="723" customWidth="1"/>
    <col min="12838" max="12838" width="50.33203125" style="723" customWidth="1"/>
    <col min="12839" max="12839" width="50" style="723" customWidth="1"/>
    <col min="12840" max="12840" width="45" style="723" customWidth="1"/>
    <col min="12841" max="12841" width="50" style="723" customWidth="1"/>
    <col min="12842" max="12842" width="51" style="723" customWidth="1"/>
    <col min="12843" max="13055" width="9.33203125" style="723"/>
    <col min="13056" max="13056" width="186.33203125" style="723" customWidth="1"/>
    <col min="13057" max="13057" width="49.83203125" style="723" customWidth="1"/>
    <col min="13058" max="13058" width="38.33203125" style="723" customWidth="1"/>
    <col min="13059" max="13060" width="50" style="723" customWidth="1"/>
    <col min="13061" max="13061" width="37.6640625" style="723" customWidth="1"/>
    <col min="13062" max="13063" width="50" style="723" customWidth="1"/>
    <col min="13064" max="13064" width="38.1640625" style="723" customWidth="1"/>
    <col min="13065" max="13066" width="50" style="723" customWidth="1"/>
    <col min="13067" max="13067" width="38.33203125" style="723" customWidth="1"/>
    <col min="13068" max="13069" width="50" style="723" customWidth="1"/>
    <col min="13070" max="13070" width="38.33203125" style="723" customWidth="1"/>
    <col min="13071" max="13071" width="50" style="723" customWidth="1"/>
    <col min="13072" max="13072" width="186.33203125" style="723" customWidth="1"/>
    <col min="13073" max="13073" width="50" style="723" customWidth="1"/>
    <col min="13074" max="13074" width="38.33203125" style="723" customWidth="1"/>
    <col min="13075" max="13076" width="49.83203125" style="723" customWidth="1"/>
    <col min="13077" max="13077" width="38.1640625" style="723" customWidth="1"/>
    <col min="13078" max="13078" width="49.83203125" style="723" customWidth="1"/>
    <col min="13079" max="13079" width="50" style="723" customWidth="1"/>
    <col min="13080" max="13080" width="38.33203125" style="723" customWidth="1"/>
    <col min="13081" max="13082" width="49.83203125" style="723" customWidth="1"/>
    <col min="13083" max="13083" width="38.1640625" style="723" customWidth="1"/>
    <col min="13084" max="13085" width="50" style="723" customWidth="1"/>
    <col min="13086" max="13086" width="38.33203125" style="723" customWidth="1"/>
    <col min="13087" max="13087" width="50" style="723" customWidth="1"/>
    <col min="13088" max="13088" width="186.33203125" style="723" customWidth="1"/>
    <col min="13089" max="13089" width="50" style="723" customWidth="1"/>
    <col min="13090" max="13090" width="38.33203125" style="723" customWidth="1"/>
    <col min="13091" max="13091" width="49.83203125" style="723" customWidth="1"/>
    <col min="13092" max="13092" width="50" style="723" customWidth="1"/>
    <col min="13093" max="13093" width="45" style="723" customWidth="1"/>
    <col min="13094" max="13094" width="50.33203125" style="723" customWidth="1"/>
    <col min="13095" max="13095" width="50" style="723" customWidth="1"/>
    <col min="13096" max="13096" width="45" style="723" customWidth="1"/>
    <col min="13097" max="13097" width="50" style="723" customWidth="1"/>
    <col min="13098" max="13098" width="51" style="723" customWidth="1"/>
    <col min="13099" max="13311" width="9.33203125" style="723"/>
    <col min="13312" max="13312" width="186.33203125" style="723" customWidth="1"/>
    <col min="13313" max="13313" width="49.83203125" style="723" customWidth="1"/>
    <col min="13314" max="13314" width="38.33203125" style="723" customWidth="1"/>
    <col min="13315" max="13316" width="50" style="723" customWidth="1"/>
    <col min="13317" max="13317" width="37.6640625" style="723" customWidth="1"/>
    <col min="13318" max="13319" width="50" style="723" customWidth="1"/>
    <col min="13320" max="13320" width="38.1640625" style="723" customWidth="1"/>
    <col min="13321" max="13322" width="50" style="723" customWidth="1"/>
    <col min="13323" max="13323" width="38.33203125" style="723" customWidth="1"/>
    <col min="13324" max="13325" width="50" style="723" customWidth="1"/>
    <col min="13326" max="13326" width="38.33203125" style="723" customWidth="1"/>
    <col min="13327" max="13327" width="50" style="723" customWidth="1"/>
    <col min="13328" max="13328" width="186.33203125" style="723" customWidth="1"/>
    <col min="13329" max="13329" width="50" style="723" customWidth="1"/>
    <col min="13330" max="13330" width="38.33203125" style="723" customWidth="1"/>
    <col min="13331" max="13332" width="49.83203125" style="723" customWidth="1"/>
    <col min="13333" max="13333" width="38.1640625" style="723" customWidth="1"/>
    <col min="13334" max="13334" width="49.83203125" style="723" customWidth="1"/>
    <col min="13335" max="13335" width="50" style="723" customWidth="1"/>
    <col min="13336" max="13336" width="38.33203125" style="723" customWidth="1"/>
    <col min="13337" max="13338" width="49.83203125" style="723" customWidth="1"/>
    <col min="13339" max="13339" width="38.1640625" style="723" customWidth="1"/>
    <col min="13340" max="13341" width="50" style="723" customWidth="1"/>
    <col min="13342" max="13342" width="38.33203125" style="723" customWidth="1"/>
    <col min="13343" max="13343" width="50" style="723" customWidth="1"/>
    <col min="13344" max="13344" width="186.33203125" style="723" customWidth="1"/>
    <col min="13345" max="13345" width="50" style="723" customWidth="1"/>
    <col min="13346" max="13346" width="38.33203125" style="723" customWidth="1"/>
    <col min="13347" max="13347" width="49.83203125" style="723" customWidth="1"/>
    <col min="13348" max="13348" width="50" style="723" customWidth="1"/>
    <col min="13349" max="13349" width="45" style="723" customWidth="1"/>
    <col min="13350" max="13350" width="50.33203125" style="723" customWidth="1"/>
    <col min="13351" max="13351" width="50" style="723" customWidth="1"/>
    <col min="13352" max="13352" width="45" style="723" customWidth="1"/>
    <col min="13353" max="13353" width="50" style="723" customWidth="1"/>
    <col min="13354" max="13354" width="51" style="723" customWidth="1"/>
    <col min="13355" max="13567" width="9.33203125" style="723"/>
    <col min="13568" max="13568" width="186.33203125" style="723" customWidth="1"/>
    <col min="13569" max="13569" width="49.83203125" style="723" customWidth="1"/>
    <col min="13570" max="13570" width="38.33203125" style="723" customWidth="1"/>
    <col min="13571" max="13572" width="50" style="723" customWidth="1"/>
    <col min="13573" max="13573" width="37.6640625" style="723" customWidth="1"/>
    <col min="13574" max="13575" width="50" style="723" customWidth="1"/>
    <col min="13576" max="13576" width="38.1640625" style="723" customWidth="1"/>
    <col min="13577" max="13578" width="50" style="723" customWidth="1"/>
    <col min="13579" max="13579" width="38.33203125" style="723" customWidth="1"/>
    <col min="13580" max="13581" width="50" style="723" customWidth="1"/>
    <col min="13582" max="13582" width="38.33203125" style="723" customWidth="1"/>
    <col min="13583" max="13583" width="50" style="723" customWidth="1"/>
    <col min="13584" max="13584" width="186.33203125" style="723" customWidth="1"/>
    <col min="13585" max="13585" width="50" style="723" customWidth="1"/>
    <col min="13586" max="13586" width="38.33203125" style="723" customWidth="1"/>
    <col min="13587" max="13588" width="49.83203125" style="723" customWidth="1"/>
    <col min="13589" max="13589" width="38.1640625" style="723" customWidth="1"/>
    <col min="13590" max="13590" width="49.83203125" style="723" customWidth="1"/>
    <col min="13591" max="13591" width="50" style="723" customWidth="1"/>
    <col min="13592" max="13592" width="38.33203125" style="723" customWidth="1"/>
    <col min="13593" max="13594" width="49.83203125" style="723" customWidth="1"/>
    <col min="13595" max="13595" width="38.1640625" style="723" customWidth="1"/>
    <col min="13596" max="13597" width="50" style="723" customWidth="1"/>
    <col min="13598" max="13598" width="38.33203125" style="723" customWidth="1"/>
    <col min="13599" max="13599" width="50" style="723" customWidth="1"/>
    <col min="13600" max="13600" width="186.33203125" style="723" customWidth="1"/>
    <col min="13601" max="13601" width="50" style="723" customWidth="1"/>
    <col min="13602" max="13602" width="38.33203125" style="723" customWidth="1"/>
    <col min="13603" max="13603" width="49.83203125" style="723" customWidth="1"/>
    <col min="13604" max="13604" width="50" style="723" customWidth="1"/>
    <col min="13605" max="13605" width="45" style="723" customWidth="1"/>
    <col min="13606" max="13606" width="50.33203125" style="723" customWidth="1"/>
    <col min="13607" max="13607" width="50" style="723" customWidth="1"/>
    <col min="13608" max="13608" width="45" style="723" customWidth="1"/>
    <col min="13609" max="13609" width="50" style="723" customWidth="1"/>
    <col min="13610" max="13610" width="51" style="723" customWidth="1"/>
    <col min="13611" max="13823" width="9.33203125" style="723"/>
    <col min="13824" max="13824" width="186.33203125" style="723" customWidth="1"/>
    <col min="13825" max="13825" width="49.83203125" style="723" customWidth="1"/>
    <col min="13826" max="13826" width="38.33203125" style="723" customWidth="1"/>
    <col min="13827" max="13828" width="50" style="723" customWidth="1"/>
    <col min="13829" max="13829" width="37.6640625" style="723" customWidth="1"/>
    <col min="13830" max="13831" width="50" style="723" customWidth="1"/>
    <col min="13832" max="13832" width="38.1640625" style="723" customWidth="1"/>
    <col min="13833" max="13834" width="50" style="723" customWidth="1"/>
    <col min="13835" max="13835" width="38.33203125" style="723" customWidth="1"/>
    <col min="13836" max="13837" width="50" style="723" customWidth="1"/>
    <col min="13838" max="13838" width="38.33203125" style="723" customWidth="1"/>
    <col min="13839" max="13839" width="50" style="723" customWidth="1"/>
    <col min="13840" max="13840" width="186.33203125" style="723" customWidth="1"/>
    <col min="13841" max="13841" width="50" style="723" customWidth="1"/>
    <col min="13842" max="13842" width="38.33203125" style="723" customWidth="1"/>
    <col min="13843" max="13844" width="49.83203125" style="723" customWidth="1"/>
    <col min="13845" max="13845" width="38.1640625" style="723" customWidth="1"/>
    <col min="13846" max="13846" width="49.83203125" style="723" customWidth="1"/>
    <col min="13847" max="13847" width="50" style="723" customWidth="1"/>
    <col min="13848" max="13848" width="38.33203125" style="723" customWidth="1"/>
    <col min="13849" max="13850" width="49.83203125" style="723" customWidth="1"/>
    <col min="13851" max="13851" width="38.1640625" style="723" customWidth="1"/>
    <col min="13852" max="13853" width="50" style="723" customWidth="1"/>
    <col min="13854" max="13854" width="38.33203125" style="723" customWidth="1"/>
    <col min="13855" max="13855" width="50" style="723" customWidth="1"/>
    <col min="13856" max="13856" width="186.33203125" style="723" customWidth="1"/>
    <col min="13857" max="13857" width="50" style="723" customWidth="1"/>
    <col min="13858" max="13858" width="38.33203125" style="723" customWidth="1"/>
    <col min="13859" max="13859" width="49.83203125" style="723" customWidth="1"/>
    <col min="13860" max="13860" width="50" style="723" customWidth="1"/>
    <col min="13861" max="13861" width="45" style="723" customWidth="1"/>
    <col min="13862" max="13862" width="50.33203125" style="723" customWidth="1"/>
    <col min="13863" max="13863" width="50" style="723" customWidth="1"/>
    <col min="13864" max="13864" width="45" style="723" customWidth="1"/>
    <col min="13865" max="13865" width="50" style="723" customWidth="1"/>
    <col min="13866" max="13866" width="51" style="723" customWidth="1"/>
    <col min="13867" max="14079" width="9.33203125" style="723"/>
    <col min="14080" max="14080" width="186.33203125" style="723" customWidth="1"/>
    <col min="14081" max="14081" width="49.83203125" style="723" customWidth="1"/>
    <col min="14082" max="14082" width="38.33203125" style="723" customWidth="1"/>
    <col min="14083" max="14084" width="50" style="723" customWidth="1"/>
    <col min="14085" max="14085" width="37.6640625" style="723" customWidth="1"/>
    <col min="14086" max="14087" width="50" style="723" customWidth="1"/>
    <col min="14088" max="14088" width="38.1640625" style="723" customWidth="1"/>
    <col min="14089" max="14090" width="50" style="723" customWidth="1"/>
    <col min="14091" max="14091" width="38.33203125" style="723" customWidth="1"/>
    <col min="14092" max="14093" width="50" style="723" customWidth="1"/>
    <col min="14094" max="14094" width="38.33203125" style="723" customWidth="1"/>
    <col min="14095" max="14095" width="50" style="723" customWidth="1"/>
    <col min="14096" max="14096" width="186.33203125" style="723" customWidth="1"/>
    <col min="14097" max="14097" width="50" style="723" customWidth="1"/>
    <col min="14098" max="14098" width="38.33203125" style="723" customWidth="1"/>
    <col min="14099" max="14100" width="49.83203125" style="723" customWidth="1"/>
    <col min="14101" max="14101" width="38.1640625" style="723" customWidth="1"/>
    <col min="14102" max="14102" width="49.83203125" style="723" customWidth="1"/>
    <col min="14103" max="14103" width="50" style="723" customWidth="1"/>
    <col min="14104" max="14104" width="38.33203125" style="723" customWidth="1"/>
    <col min="14105" max="14106" width="49.83203125" style="723" customWidth="1"/>
    <col min="14107" max="14107" width="38.1640625" style="723" customWidth="1"/>
    <col min="14108" max="14109" width="50" style="723" customWidth="1"/>
    <col min="14110" max="14110" width="38.33203125" style="723" customWidth="1"/>
    <col min="14111" max="14111" width="50" style="723" customWidth="1"/>
    <col min="14112" max="14112" width="186.33203125" style="723" customWidth="1"/>
    <col min="14113" max="14113" width="50" style="723" customWidth="1"/>
    <col min="14114" max="14114" width="38.33203125" style="723" customWidth="1"/>
    <col min="14115" max="14115" width="49.83203125" style="723" customWidth="1"/>
    <col min="14116" max="14116" width="50" style="723" customWidth="1"/>
    <col min="14117" max="14117" width="45" style="723" customWidth="1"/>
    <col min="14118" max="14118" width="50.33203125" style="723" customWidth="1"/>
    <col min="14119" max="14119" width="50" style="723" customWidth="1"/>
    <col min="14120" max="14120" width="45" style="723" customWidth="1"/>
    <col min="14121" max="14121" width="50" style="723" customWidth="1"/>
    <col min="14122" max="14122" width="51" style="723" customWidth="1"/>
    <col min="14123" max="14335" width="9.33203125" style="723"/>
    <col min="14336" max="14336" width="186.33203125" style="723" customWidth="1"/>
    <col min="14337" max="14337" width="49.83203125" style="723" customWidth="1"/>
    <col min="14338" max="14338" width="38.33203125" style="723" customWidth="1"/>
    <col min="14339" max="14340" width="50" style="723" customWidth="1"/>
    <col min="14341" max="14341" width="37.6640625" style="723" customWidth="1"/>
    <col min="14342" max="14343" width="50" style="723" customWidth="1"/>
    <col min="14344" max="14344" width="38.1640625" style="723" customWidth="1"/>
    <col min="14345" max="14346" width="50" style="723" customWidth="1"/>
    <col min="14347" max="14347" width="38.33203125" style="723" customWidth="1"/>
    <col min="14348" max="14349" width="50" style="723" customWidth="1"/>
    <col min="14350" max="14350" width="38.33203125" style="723" customWidth="1"/>
    <col min="14351" max="14351" width="50" style="723" customWidth="1"/>
    <col min="14352" max="14352" width="186.33203125" style="723" customWidth="1"/>
    <col min="14353" max="14353" width="50" style="723" customWidth="1"/>
    <col min="14354" max="14354" width="38.33203125" style="723" customWidth="1"/>
    <col min="14355" max="14356" width="49.83203125" style="723" customWidth="1"/>
    <col min="14357" max="14357" width="38.1640625" style="723" customWidth="1"/>
    <col min="14358" max="14358" width="49.83203125" style="723" customWidth="1"/>
    <col min="14359" max="14359" width="50" style="723" customWidth="1"/>
    <col min="14360" max="14360" width="38.33203125" style="723" customWidth="1"/>
    <col min="14361" max="14362" width="49.83203125" style="723" customWidth="1"/>
    <col min="14363" max="14363" width="38.1640625" style="723" customWidth="1"/>
    <col min="14364" max="14365" width="50" style="723" customWidth="1"/>
    <col min="14366" max="14366" width="38.33203125" style="723" customWidth="1"/>
    <col min="14367" max="14367" width="50" style="723" customWidth="1"/>
    <col min="14368" max="14368" width="186.33203125" style="723" customWidth="1"/>
    <col min="14369" max="14369" width="50" style="723" customWidth="1"/>
    <col min="14370" max="14370" width="38.33203125" style="723" customWidth="1"/>
    <col min="14371" max="14371" width="49.83203125" style="723" customWidth="1"/>
    <col min="14372" max="14372" width="50" style="723" customWidth="1"/>
    <col min="14373" max="14373" width="45" style="723" customWidth="1"/>
    <col min="14374" max="14374" width="50.33203125" style="723" customWidth="1"/>
    <col min="14375" max="14375" width="50" style="723" customWidth="1"/>
    <col min="14376" max="14376" width="45" style="723" customWidth="1"/>
    <col min="14377" max="14377" width="50" style="723" customWidth="1"/>
    <col min="14378" max="14378" width="51" style="723" customWidth="1"/>
    <col min="14379" max="14591" width="9.33203125" style="723"/>
    <col min="14592" max="14592" width="186.33203125" style="723" customWidth="1"/>
    <col min="14593" max="14593" width="49.83203125" style="723" customWidth="1"/>
    <col min="14594" max="14594" width="38.33203125" style="723" customWidth="1"/>
    <col min="14595" max="14596" width="50" style="723" customWidth="1"/>
    <col min="14597" max="14597" width="37.6640625" style="723" customWidth="1"/>
    <col min="14598" max="14599" width="50" style="723" customWidth="1"/>
    <col min="14600" max="14600" width="38.1640625" style="723" customWidth="1"/>
    <col min="14601" max="14602" width="50" style="723" customWidth="1"/>
    <col min="14603" max="14603" width="38.33203125" style="723" customWidth="1"/>
    <col min="14604" max="14605" width="50" style="723" customWidth="1"/>
    <col min="14606" max="14606" width="38.33203125" style="723" customWidth="1"/>
    <col min="14607" max="14607" width="50" style="723" customWidth="1"/>
    <col min="14608" max="14608" width="186.33203125" style="723" customWidth="1"/>
    <col min="14609" max="14609" width="50" style="723" customWidth="1"/>
    <col min="14610" max="14610" width="38.33203125" style="723" customWidth="1"/>
    <col min="14611" max="14612" width="49.83203125" style="723" customWidth="1"/>
    <col min="14613" max="14613" width="38.1640625" style="723" customWidth="1"/>
    <col min="14614" max="14614" width="49.83203125" style="723" customWidth="1"/>
    <col min="14615" max="14615" width="50" style="723" customWidth="1"/>
    <col min="14616" max="14616" width="38.33203125" style="723" customWidth="1"/>
    <col min="14617" max="14618" width="49.83203125" style="723" customWidth="1"/>
    <col min="14619" max="14619" width="38.1640625" style="723" customWidth="1"/>
    <col min="14620" max="14621" width="50" style="723" customWidth="1"/>
    <col min="14622" max="14622" width="38.33203125" style="723" customWidth="1"/>
    <col min="14623" max="14623" width="50" style="723" customWidth="1"/>
    <col min="14624" max="14624" width="186.33203125" style="723" customWidth="1"/>
    <col min="14625" max="14625" width="50" style="723" customWidth="1"/>
    <col min="14626" max="14626" width="38.33203125" style="723" customWidth="1"/>
    <col min="14627" max="14627" width="49.83203125" style="723" customWidth="1"/>
    <col min="14628" max="14628" width="50" style="723" customWidth="1"/>
    <col min="14629" max="14629" width="45" style="723" customWidth="1"/>
    <col min="14630" max="14630" width="50.33203125" style="723" customWidth="1"/>
    <col min="14631" max="14631" width="50" style="723" customWidth="1"/>
    <col min="14632" max="14632" width="45" style="723" customWidth="1"/>
    <col min="14633" max="14633" width="50" style="723" customWidth="1"/>
    <col min="14634" max="14634" width="51" style="723" customWidth="1"/>
    <col min="14635" max="14847" width="9.33203125" style="723"/>
    <col min="14848" max="14848" width="186.33203125" style="723" customWidth="1"/>
    <col min="14849" max="14849" width="49.83203125" style="723" customWidth="1"/>
    <col min="14850" max="14850" width="38.33203125" style="723" customWidth="1"/>
    <col min="14851" max="14852" width="50" style="723" customWidth="1"/>
    <col min="14853" max="14853" width="37.6640625" style="723" customWidth="1"/>
    <col min="14854" max="14855" width="50" style="723" customWidth="1"/>
    <col min="14856" max="14856" width="38.1640625" style="723" customWidth="1"/>
    <col min="14857" max="14858" width="50" style="723" customWidth="1"/>
    <col min="14859" max="14859" width="38.33203125" style="723" customWidth="1"/>
    <col min="14860" max="14861" width="50" style="723" customWidth="1"/>
    <col min="14862" max="14862" width="38.33203125" style="723" customWidth="1"/>
    <col min="14863" max="14863" width="50" style="723" customWidth="1"/>
    <col min="14864" max="14864" width="186.33203125" style="723" customWidth="1"/>
    <col min="14865" max="14865" width="50" style="723" customWidth="1"/>
    <col min="14866" max="14866" width="38.33203125" style="723" customWidth="1"/>
    <col min="14867" max="14868" width="49.83203125" style="723" customWidth="1"/>
    <col min="14869" max="14869" width="38.1640625" style="723" customWidth="1"/>
    <col min="14870" max="14870" width="49.83203125" style="723" customWidth="1"/>
    <col min="14871" max="14871" width="50" style="723" customWidth="1"/>
    <col min="14872" max="14872" width="38.33203125" style="723" customWidth="1"/>
    <col min="14873" max="14874" width="49.83203125" style="723" customWidth="1"/>
    <col min="14875" max="14875" width="38.1640625" style="723" customWidth="1"/>
    <col min="14876" max="14877" width="50" style="723" customWidth="1"/>
    <col min="14878" max="14878" width="38.33203125" style="723" customWidth="1"/>
    <col min="14879" max="14879" width="50" style="723" customWidth="1"/>
    <col min="14880" max="14880" width="186.33203125" style="723" customWidth="1"/>
    <col min="14881" max="14881" width="50" style="723" customWidth="1"/>
    <col min="14882" max="14882" width="38.33203125" style="723" customWidth="1"/>
    <col min="14883" max="14883" width="49.83203125" style="723" customWidth="1"/>
    <col min="14884" max="14884" width="50" style="723" customWidth="1"/>
    <col min="14885" max="14885" width="45" style="723" customWidth="1"/>
    <col min="14886" max="14886" width="50.33203125" style="723" customWidth="1"/>
    <col min="14887" max="14887" width="50" style="723" customWidth="1"/>
    <col min="14888" max="14888" width="45" style="723" customWidth="1"/>
    <col min="14889" max="14889" width="50" style="723" customWidth="1"/>
    <col min="14890" max="14890" width="51" style="723" customWidth="1"/>
    <col min="14891" max="15103" width="9.33203125" style="723"/>
    <col min="15104" max="15104" width="186.33203125" style="723" customWidth="1"/>
    <col min="15105" max="15105" width="49.83203125" style="723" customWidth="1"/>
    <col min="15106" max="15106" width="38.33203125" style="723" customWidth="1"/>
    <col min="15107" max="15108" width="50" style="723" customWidth="1"/>
    <col min="15109" max="15109" width="37.6640625" style="723" customWidth="1"/>
    <col min="15110" max="15111" width="50" style="723" customWidth="1"/>
    <col min="15112" max="15112" width="38.1640625" style="723" customWidth="1"/>
    <col min="15113" max="15114" width="50" style="723" customWidth="1"/>
    <col min="15115" max="15115" width="38.33203125" style="723" customWidth="1"/>
    <col min="15116" max="15117" width="50" style="723" customWidth="1"/>
    <col min="15118" max="15118" width="38.33203125" style="723" customWidth="1"/>
    <col min="15119" max="15119" width="50" style="723" customWidth="1"/>
    <col min="15120" max="15120" width="186.33203125" style="723" customWidth="1"/>
    <col min="15121" max="15121" width="50" style="723" customWidth="1"/>
    <col min="15122" max="15122" width="38.33203125" style="723" customWidth="1"/>
    <col min="15123" max="15124" width="49.83203125" style="723" customWidth="1"/>
    <col min="15125" max="15125" width="38.1640625" style="723" customWidth="1"/>
    <col min="15126" max="15126" width="49.83203125" style="723" customWidth="1"/>
    <col min="15127" max="15127" width="50" style="723" customWidth="1"/>
    <col min="15128" max="15128" width="38.33203125" style="723" customWidth="1"/>
    <col min="15129" max="15130" width="49.83203125" style="723" customWidth="1"/>
    <col min="15131" max="15131" width="38.1640625" style="723" customWidth="1"/>
    <col min="15132" max="15133" width="50" style="723" customWidth="1"/>
    <col min="15134" max="15134" width="38.33203125" style="723" customWidth="1"/>
    <col min="15135" max="15135" width="50" style="723" customWidth="1"/>
    <col min="15136" max="15136" width="186.33203125" style="723" customWidth="1"/>
    <col min="15137" max="15137" width="50" style="723" customWidth="1"/>
    <col min="15138" max="15138" width="38.33203125" style="723" customWidth="1"/>
    <col min="15139" max="15139" width="49.83203125" style="723" customWidth="1"/>
    <col min="15140" max="15140" width="50" style="723" customWidth="1"/>
    <col min="15141" max="15141" width="45" style="723" customWidth="1"/>
    <col min="15142" max="15142" width="50.33203125" style="723" customWidth="1"/>
    <col min="15143" max="15143" width="50" style="723" customWidth="1"/>
    <col min="15144" max="15144" width="45" style="723" customWidth="1"/>
    <col min="15145" max="15145" width="50" style="723" customWidth="1"/>
    <col min="15146" max="15146" width="51" style="723" customWidth="1"/>
    <col min="15147" max="15359" width="9.33203125" style="723"/>
    <col min="15360" max="15360" width="186.33203125" style="723" customWidth="1"/>
    <col min="15361" max="15361" width="49.83203125" style="723" customWidth="1"/>
    <col min="15362" max="15362" width="38.33203125" style="723" customWidth="1"/>
    <col min="15363" max="15364" width="50" style="723" customWidth="1"/>
    <col min="15365" max="15365" width="37.6640625" style="723" customWidth="1"/>
    <col min="15366" max="15367" width="50" style="723" customWidth="1"/>
    <col min="15368" max="15368" width="38.1640625" style="723" customWidth="1"/>
    <col min="15369" max="15370" width="50" style="723" customWidth="1"/>
    <col min="15371" max="15371" width="38.33203125" style="723" customWidth="1"/>
    <col min="15372" max="15373" width="50" style="723" customWidth="1"/>
    <col min="15374" max="15374" width="38.33203125" style="723" customWidth="1"/>
    <col min="15375" max="15375" width="50" style="723" customWidth="1"/>
    <col min="15376" max="15376" width="186.33203125" style="723" customWidth="1"/>
    <col min="15377" max="15377" width="50" style="723" customWidth="1"/>
    <col min="15378" max="15378" width="38.33203125" style="723" customWidth="1"/>
    <col min="15379" max="15380" width="49.83203125" style="723" customWidth="1"/>
    <col min="15381" max="15381" width="38.1640625" style="723" customWidth="1"/>
    <col min="15382" max="15382" width="49.83203125" style="723" customWidth="1"/>
    <col min="15383" max="15383" width="50" style="723" customWidth="1"/>
    <col min="15384" max="15384" width="38.33203125" style="723" customWidth="1"/>
    <col min="15385" max="15386" width="49.83203125" style="723" customWidth="1"/>
    <col min="15387" max="15387" width="38.1640625" style="723" customWidth="1"/>
    <col min="15388" max="15389" width="50" style="723" customWidth="1"/>
    <col min="15390" max="15390" width="38.33203125" style="723" customWidth="1"/>
    <col min="15391" max="15391" width="50" style="723" customWidth="1"/>
    <col min="15392" max="15392" width="186.33203125" style="723" customWidth="1"/>
    <col min="15393" max="15393" width="50" style="723" customWidth="1"/>
    <col min="15394" max="15394" width="38.33203125" style="723" customWidth="1"/>
    <col min="15395" max="15395" width="49.83203125" style="723" customWidth="1"/>
    <col min="15396" max="15396" width="50" style="723" customWidth="1"/>
    <col min="15397" max="15397" width="45" style="723" customWidth="1"/>
    <col min="15398" max="15398" width="50.33203125" style="723" customWidth="1"/>
    <col min="15399" max="15399" width="50" style="723" customWidth="1"/>
    <col min="15400" max="15400" width="45" style="723" customWidth="1"/>
    <col min="15401" max="15401" width="50" style="723" customWidth="1"/>
    <col min="15402" max="15402" width="51" style="723" customWidth="1"/>
    <col min="15403" max="15615" width="9.33203125" style="723"/>
    <col min="15616" max="15616" width="186.33203125" style="723" customWidth="1"/>
    <col min="15617" max="15617" width="49.83203125" style="723" customWidth="1"/>
    <col min="15618" max="15618" width="38.33203125" style="723" customWidth="1"/>
    <col min="15619" max="15620" width="50" style="723" customWidth="1"/>
    <col min="15621" max="15621" width="37.6640625" style="723" customWidth="1"/>
    <col min="15622" max="15623" width="50" style="723" customWidth="1"/>
    <col min="15624" max="15624" width="38.1640625" style="723" customWidth="1"/>
    <col min="15625" max="15626" width="50" style="723" customWidth="1"/>
    <col min="15627" max="15627" width="38.33203125" style="723" customWidth="1"/>
    <col min="15628" max="15629" width="50" style="723" customWidth="1"/>
    <col min="15630" max="15630" width="38.33203125" style="723" customWidth="1"/>
    <col min="15631" max="15631" width="50" style="723" customWidth="1"/>
    <col min="15632" max="15632" width="186.33203125" style="723" customWidth="1"/>
    <col min="15633" max="15633" width="50" style="723" customWidth="1"/>
    <col min="15634" max="15634" width="38.33203125" style="723" customWidth="1"/>
    <col min="15635" max="15636" width="49.83203125" style="723" customWidth="1"/>
    <col min="15637" max="15637" width="38.1640625" style="723" customWidth="1"/>
    <col min="15638" max="15638" width="49.83203125" style="723" customWidth="1"/>
    <col min="15639" max="15639" width="50" style="723" customWidth="1"/>
    <col min="15640" max="15640" width="38.33203125" style="723" customWidth="1"/>
    <col min="15641" max="15642" width="49.83203125" style="723" customWidth="1"/>
    <col min="15643" max="15643" width="38.1640625" style="723" customWidth="1"/>
    <col min="15644" max="15645" width="50" style="723" customWidth="1"/>
    <col min="15646" max="15646" width="38.33203125" style="723" customWidth="1"/>
    <col min="15647" max="15647" width="50" style="723" customWidth="1"/>
    <col min="15648" max="15648" width="186.33203125" style="723" customWidth="1"/>
    <col min="15649" max="15649" width="50" style="723" customWidth="1"/>
    <col min="15650" max="15650" width="38.33203125" style="723" customWidth="1"/>
    <col min="15651" max="15651" width="49.83203125" style="723" customWidth="1"/>
    <col min="15652" max="15652" width="50" style="723" customWidth="1"/>
    <col min="15653" max="15653" width="45" style="723" customWidth="1"/>
    <col min="15654" max="15654" width="50.33203125" style="723" customWidth="1"/>
    <col min="15655" max="15655" width="50" style="723" customWidth="1"/>
    <col min="15656" max="15656" width="45" style="723" customWidth="1"/>
    <col min="15657" max="15657" width="50" style="723" customWidth="1"/>
    <col min="15658" max="15658" width="51" style="723" customWidth="1"/>
    <col min="15659" max="15871" width="9.33203125" style="723"/>
    <col min="15872" max="15872" width="186.33203125" style="723" customWidth="1"/>
    <col min="15873" max="15873" width="49.83203125" style="723" customWidth="1"/>
    <col min="15874" max="15874" width="38.33203125" style="723" customWidth="1"/>
    <col min="15875" max="15876" width="50" style="723" customWidth="1"/>
    <col min="15877" max="15877" width="37.6640625" style="723" customWidth="1"/>
    <col min="15878" max="15879" width="50" style="723" customWidth="1"/>
    <col min="15880" max="15880" width="38.1640625" style="723" customWidth="1"/>
    <col min="15881" max="15882" width="50" style="723" customWidth="1"/>
    <col min="15883" max="15883" width="38.33203125" style="723" customWidth="1"/>
    <col min="15884" max="15885" width="50" style="723" customWidth="1"/>
    <col min="15886" max="15886" width="38.33203125" style="723" customWidth="1"/>
    <col min="15887" max="15887" width="50" style="723" customWidth="1"/>
    <col min="15888" max="15888" width="186.33203125" style="723" customWidth="1"/>
    <col min="15889" max="15889" width="50" style="723" customWidth="1"/>
    <col min="15890" max="15890" width="38.33203125" style="723" customWidth="1"/>
    <col min="15891" max="15892" width="49.83203125" style="723" customWidth="1"/>
    <col min="15893" max="15893" width="38.1640625" style="723" customWidth="1"/>
    <col min="15894" max="15894" width="49.83203125" style="723" customWidth="1"/>
    <col min="15895" max="15895" width="50" style="723" customWidth="1"/>
    <col min="15896" max="15896" width="38.33203125" style="723" customWidth="1"/>
    <col min="15897" max="15898" width="49.83203125" style="723" customWidth="1"/>
    <col min="15899" max="15899" width="38.1640625" style="723" customWidth="1"/>
    <col min="15900" max="15901" width="50" style="723" customWidth="1"/>
    <col min="15902" max="15902" width="38.33203125" style="723" customWidth="1"/>
    <col min="15903" max="15903" width="50" style="723" customWidth="1"/>
    <col min="15904" max="15904" width="186.33203125" style="723" customWidth="1"/>
    <col min="15905" max="15905" width="50" style="723" customWidth="1"/>
    <col min="15906" max="15906" width="38.33203125" style="723" customWidth="1"/>
    <col min="15907" max="15907" width="49.83203125" style="723" customWidth="1"/>
    <col min="15908" max="15908" width="50" style="723" customWidth="1"/>
    <col min="15909" max="15909" width="45" style="723" customWidth="1"/>
    <col min="15910" max="15910" width="50.33203125" style="723" customWidth="1"/>
    <col min="15911" max="15911" width="50" style="723" customWidth="1"/>
    <col min="15912" max="15912" width="45" style="723" customWidth="1"/>
    <col min="15913" max="15913" width="50" style="723" customWidth="1"/>
    <col min="15914" max="15914" width="51" style="723" customWidth="1"/>
    <col min="15915" max="16127" width="9.33203125" style="723"/>
    <col min="16128" max="16128" width="186.33203125" style="723" customWidth="1"/>
    <col min="16129" max="16129" width="49.83203125" style="723" customWidth="1"/>
    <col min="16130" max="16130" width="38.33203125" style="723" customWidth="1"/>
    <col min="16131" max="16132" width="50" style="723" customWidth="1"/>
    <col min="16133" max="16133" width="37.6640625" style="723" customWidth="1"/>
    <col min="16134" max="16135" width="50" style="723" customWidth="1"/>
    <col min="16136" max="16136" width="38.1640625" style="723" customWidth="1"/>
    <col min="16137" max="16138" width="50" style="723" customWidth="1"/>
    <col min="16139" max="16139" width="38.33203125" style="723" customWidth="1"/>
    <col min="16140" max="16141" width="50" style="723" customWidth="1"/>
    <col min="16142" max="16142" width="38.33203125" style="723" customWidth="1"/>
    <col min="16143" max="16143" width="50" style="723" customWidth="1"/>
    <col min="16144" max="16144" width="186.33203125" style="723" customWidth="1"/>
    <col min="16145" max="16145" width="50" style="723" customWidth="1"/>
    <col min="16146" max="16146" width="38.33203125" style="723" customWidth="1"/>
    <col min="16147" max="16148" width="49.83203125" style="723" customWidth="1"/>
    <col min="16149" max="16149" width="38.1640625" style="723" customWidth="1"/>
    <col min="16150" max="16150" width="49.83203125" style="723" customWidth="1"/>
    <col min="16151" max="16151" width="50" style="723" customWidth="1"/>
    <col min="16152" max="16152" width="38.33203125" style="723" customWidth="1"/>
    <col min="16153" max="16154" width="49.83203125" style="723" customWidth="1"/>
    <col min="16155" max="16155" width="38.1640625" style="723" customWidth="1"/>
    <col min="16156" max="16157" width="50" style="723" customWidth="1"/>
    <col min="16158" max="16158" width="38.33203125" style="723" customWidth="1"/>
    <col min="16159" max="16159" width="50" style="723" customWidth="1"/>
    <col min="16160" max="16160" width="186.33203125" style="723" customWidth="1"/>
    <col min="16161" max="16161" width="50" style="723" customWidth="1"/>
    <col min="16162" max="16162" width="38.33203125" style="723" customWidth="1"/>
    <col min="16163" max="16163" width="49.83203125" style="723" customWidth="1"/>
    <col min="16164" max="16164" width="50" style="723" customWidth="1"/>
    <col min="16165" max="16165" width="45" style="723" customWidth="1"/>
    <col min="16166" max="16166" width="50.33203125" style="723" customWidth="1"/>
    <col min="16167" max="16167" width="50" style="723" customWidth="1"/>
    <col min="16168" max="16168" width="45" style="723" customWidth="1"/>
    <col min="16169" max="16169" width="50" style="723" customWidth="1"/>
    <col min="16170" max="16170" width="51" style="723" customWidth="1"/>
    <col min="16171" max="16384" width="9.33203125" style="723"/>
  </cols>
  <sheetData>
    <row r="1" spans="1:42" ht="26.45" customHeight="1" x14ac:dyDescent="0.7">
      <c r="A1" s="673"/>
      <c r="B1" s="677"/>
      <c r="C1" s="677"/>
      <c r="D1" s="677"/>
      <c r="E1" s="677"/>
      <c r="F1" s="677"/>
      <c r="G1" s="677"/>
      <c r="H1" s="677"/>
      <c r="I1" s="677"/>
      <c r="J1" s="677"/>
      <c r="K1" s="677"/>
      <c r="L1" s="677"/>
      <c r="M1" s="677"/>
      <c r="N1" s="677"/>
      <c r="O1" s="677"/>
      <c r="P1" s="677"/>
      <c r="Q1" s="673"/>
      <c r="R1" s="677"/>
      <c r="S1" s="677"/>
      <c r="T1" s="677"/>
      <c r="U1" s="677"/>
      <c r="V1" s="677"/>
      <c r="W1" s="677"/>
      <c r="X1" s="677"/>
      <c r="Y1" s="677"/>
      <c r="Z1" s="677"/>
      <c r="AA1" s="677"/>
      <c r="AB1" s="677"/>
      <c r="AC1" s="677"/>
      <c r="AD1" s="677"/>
      <c r="AE1" s="677"/>
      <c r="AF1" s="677"/>
      <c r="AG1" s="673"/>
      <c r="AH1" s="673"/>
      <c r="AI1" s="673"/>
      <c r="AJ1" s="673"/>
      <c r="AK1" s="673"/>
      <c r="AL1" s="673"/>
      <c r="AM1" s="676"/>
      <c r="AN1" s="676"/>
      <c r="AO1" s="676"/>
      <c r="AP1" s="677"/>
    </row>
    <row r="2" spans="1:42" ht="26.45" customHeight="1" x14ac:dyDescent="0.7">
      <c r="A2" s="673"/>
      <c r="B2" s="677"/>
      <c r="C2" s="677"/>
      <c r="D2" s="677"/>
      <c r="E2" s="677"/>
      <c r="F2" s="677"/>
      <c r="G2" s="677"/>
      <c r="H2" s="677"/>
      <c r="I2" s="677"/>
      <c r="J2" s="677"/>
      <c r="K2" s="677"/>
      <c r="L2" s="677"/>
      <c r="M2" s="677"/>
      <c r="N2" s="677"/>
      <c r="O2" s="677"/>
      <c r="P2" s="677"/>
      <c r="Q2" s="673"/>
      <c r="R2" s="677"/>
      <c r="S2" s="677"/>
      <c r="T2" s="677"/>
      <c r="U2" s="677"/>
      <c r="V2" s="677"/>
      <c r="W2" s="677"/>
      <c r="X2" s="677"/>
      <c r="Y2" s="677"/>
      <c r="Z2" s="677"/>
      <c r="AA2" s="677"/>
      <c r="AB2" s="677"/>
      <c r="AC2" s="677"/>
      <c r="AD2" s="677"/>
      <c r="AE2" s="677"/>
      <c r="AF2" s="677"/>
      <c r="AG2" s="673"/>
      <c r="AH2" s="673"/>
      <c r="AI2" s="673"/>
      <c r="AJ2" s="673"/>
      <c r="AK2" s="673"/>
      <c r="AL2" s="673"/>
      <c r="AM2" s="676"/>
      <c r="AN2" s="676"/>
      <c r="AO2" s="676"/>
      <c r="AP2" s="677"/>
    </row>
    <row r="3" spans="1:42" ht="54" customHeight="1" x14ac:dyDescent="0.7">
      <c r="A3" s="724"/>
      <c r="B3" s="974" t="s">
        <v>209</v>
      </c>
      <c r="C3" s="974"/>
      <c r="D3" s="974"/>
      <c r="E3" s="974"/>
      <c r="F3" s="974"/>
      <c r="G3" s="974"/>
      <c r="H3" s="974"/>
      <c r="I3" s="974"/>
      <c r="J3" s="974"/>
      <c r="K3" s="974"/>
      <c r="L3" s="974"/>
      <c r="M3" s="974"/>
      <c r="N3" s="974"/>
      <c r="O3" s="974"/>
      <c r="P3" s="974"/>
      <c r="Q3" s="673"/>
      <c r="R3" s="975" t="s">
        <v>209</v>
      </c>
      <c r="S3" s="975"/>
      <c r="T3" s="975"/>
      <c r="U3" s="975"/>
      <c r="V3" s="975"/>
      <c r="W3" s="975"/>
      <c r="X3" s="975"/>
      <c r="Y3" s="975"/>
      <c r="Z3" s="975"/>
      <c r="AA3" s="975"/>
      <c r="AB3" s="975"/>
      <c r="AC3" s="975"/>
      <c r="AD3" s="975"/>
      <c r="AE3" s="975"/>
      <c r="AF3" s="975"/>
      <c r="AG3" s="673"/>
      <c r="AH3" s="975" t="s">
        <v>209</v>
      </c>
      <c r="AI3" s="975"/>
      <c r="AJ3" s="975"/>
      <c r="AK3" s="975"/>
      <c r="AL3" s="975"/>
      <c r="AM3" s="975"/>
      <c r="AN3" s="975"/>
      <c r="AO3" s="975"/>
      <c r="AP3" s="975"/>
    </row>
    <row r="4" spans="1:42" ht="54" customHeight="1" x14ac:dyDescent="0.7">
      <c r="A4" s="724"/>
      <c r="B4" s="974" t="s">
        <v>776</v>
      </c>
      <c r="C4" s="974"/>
      <c r="D4" s="974"/>
      <c r="E4" s="974"/>
      <c r="F4" s="974"/>
      <c r="G4" s="974"/>
      <c r="H4" s="974"/>
      <c r="I4" s="974"/>
      <c r="J4" s="974"/>
      <c r="K4" s="974"/>
      <c r="L4" s="974"/>
      <c r="M4" s="974"/>
      <c r="N4" s="974"/>
      <c r="O4" s="974"/>
      <c r="P4" s="974"/>
      <c r="Q4" s="673"/>
      <c r="R4" s="975" t="s">
        <v>776</v>
      </c>
      <c r="S4" s="975"/>
      <c r="T4" s="975"/>
      <c r="U4" s="975"/>
      <c r="V4" s="975"/>
      <c r="W4" s="975"/>
      <c r="X4" s="975"/>
      <c r="Y4" s="975"/>
      <c r="Z4" s="975"/>
      <c r="AA4" s="975"/>
      <c r="AB4" s="975"/>
      <c r="AC4" s="975"/>
      <c r="AD4" s="975"/>
      <c r="AE4" s="975"/>
      <c r="AF4" s="975"/>
      <c r="AG4" s="673"/>
      <c r="AH4" s="975" t="s">
        <v>776</v>
      </c>
      <c r="AI4" s="975"/>
      <c r="AJ4" s="975"/>
      <c r="AK4" s="975"/>
      <c r="AL4" s="975"/>
      <c r="AM4" s="975"/>
      <c r="AN4" s="975"/>
      <c r="AO4" s="975"/>
      <c r="AP4" s="975"/>
    </row>
    <row r="5" spans="1:42" ht="42.75" customHeight="1" thickBot="1" x14ac:dyDescent="0.75">
      <c r="A5" s="673"/>
      <c r="B5" s="677"/>
      <c r="C5" s="677"/>
      <c r="D5" s="677"/>
      <c r="E5" s="677"/>
      <c r="F5" s="677"/>
      <c r="G5" s="677"/>
      <c r="H5" s="677"/>
      <c r="I5" s="677"/>
      <c r="J5" s="677"/>
      <c r="K5" s="677"/>
      <c r="L5" s="677"/>
      <c r="M5" s="677"/>
      <c r="N5" s="677"/>
      <c r="O5" s="677"/>
      <c r="P5" s="677" t="s">
        <v>201</v>
      </c>
      <c r="Q5" s="673"/>
      <c r="R5" s="677"/>
      <c r="S5" s="677"/>
      <c r="T5" s="677"/>
      <c r="U5" s="677"/>
      <c r="V5" s="677"/>
      <c r="W5" s="677"/>
      <c r="X5" s="677"/>
      <c r="Y5" s="677"/>
      <c r="Z5" s="677"/>
      <c r="AA5" s="677"/>
      <c r="AB5" s="677"/>
      <c r="AC5" s="677"/>
      <c r="AD5" s="677"/>
      <c r="AE5" s="677"/>
      <c r="AF5" s="677" t="s">
        <v>201</v>
      </c>
      <c r="AG5" s="673"/>
      <c r="AH5" s="673"/>
      <c r="AI5" s="673"/>
      <c r="AJ5" s="673"/>
      <c r="AK5" s="673"/>
      <c r="AL5" s="673"/>
      <c r="AM5" s="676"/>
      <c r="AN5" s="676"/>
      <c r="AO5" s="676"/>
      <c r="AP5" s="677" t="s">
        <v>201</v>
      </c>
    </row>
    <row r="6" spans="1:42" s="727" customFormat="1" ht="140.25" customHeight="1" x14ac:dyDescent="0.7">
      <c r="A6" s="726" t="s">
        <v>777</v>
      </c>
      <c r="B6" s="979" t="s">
        <v>50</v>
      </c>
      <c r="C6" s="980"/>
      <c r="D6" s="981"/>
      <c r="E6" s="976" t="s">
        <v>241</v>
      </c>
      <c r="F6" s="977"/>
      <c r="G6" s="978"/>
      <c r="H6" s="976" t="s">
        <v>778</v>
      </c>
      <c r="I6" s="977"/>
      <c r="J6" s="978"/>
      <c r="K6" s="979" t="s">
        <v>180</v>
      </c>
      <c r="L6" s="980"/>
      <c r="M6" s="981"/>
      <c r="N6" s="976" t="s">
        <v>219</v>
      </c>
      <c r="O6" s="977"/>
      <c r="P6" s="978"/>
      <c r="Q6" s="726" t="s">
        <v>777</v>
      </c>
      <c r="R6" s="979" t="s">
        <v>66</v>
      </c>
      <c r="S6" s="980"/>
      <c r="T6" s="981"/>
      <c r="U6" s="976" t="s">
        <v>67</v>
      </c>
      <c r="V6" s="977"/>
      <c r="W6" s="978"/>
      <c r="X6" s="976" t="s">
        <v>247</v>
      </c>
      <c r="Y6" s="977"/>
      <c r="Z6" s="978"/>
      <c r="AA6" s="976" t="s">
        <v>220</v>
      </c>
      <c r="AB6" s="977"/>
      <c r="AC6" s="978"/>
      <c r="AD6" s="976" t="s">
        <v>779</v>
      </c>
      <c r="AE6" s="977"/>
      <c r="AF6" s="978"/>
      <c r="AG6" s="726" t="s">
        <v>777</v>
      </c>
      <c r="AH6" s="976" t="s">
        <v>780</v>
      </c>
      <c r="AI6" s="977"/>
      <c r="AJ6" s="978"/>
      <c r="AK6" s="976" t="s">
        <v>781</v>
      </c>
      <c r="AL6" s="977"/>
      <c r="AM6" s="978"/>
      <c r="AN6" s="976" t="s">
        <v>782</v>
      </c>
      <c r="AO6" s="977"/>
      <c r="AP6" s="978"/>
    </row>
    <row r="7" spans="1:42" s="727" customFormat="1" ht="78.75" customHeight="1" thickBot="1" x14ac:dyDescent="0.75">
      <c r="A7" s="728" t="s">
        <v>736</v>
      </c>
      <c r="B7" s="982"/>
      <c r="C7" s="983"/>
      <c r="D7" s="984"/>
      <c r="E7" s="730"/>
      <c r="F7" s="731"/>
      <c r="G7" s="732"/>
      <c r="H7" s="730"/>
      <c r="I7" s="731"/>
      <c r="J7" s="732"/>
      <c r="K7" s="730"/>
      <c r="L7" s="731"/>
      <c r="M7" s="732"/>
      <c r="N7" s="982"/>
      <c r="O7" s="983"/>
      <c r="P7" s="984"/>
      <c r="Q7" s="728" t="s">
        <v>736</v>
      </c>
      <c r="R7" s="982"/>
      <c r="S7" s="983"/>
      <c r="T7" s="984"/>
      <c r="U7" s="729"/>
      <c r="V7" s="729"/>
      <c r="W7" s="729"/>
      <c r="X7" s="982"/>
      <c r="Y7" s="983"/>
      <c r="Z7" s="984"/>
      <c r="AA7" s="982"/>
      <c r="AB7" s="983"/>
      <c r="AC7" s="984"/>
      <c r="AD7" s="982"/>
      <c r="AE7" s="983"/>
      <c r="AF7" s="984"/>
      <c r="AG7" s="728" t="s">
        <v>736</v>
      </c>
      <c r="AH7" s="733"/>
      <c r="AI7" s="734"/>
      <c r="AJ7" s="735"/>
      <c r="AK7" s="982"/>
      <c r="AL7" s="983"/>
      <c r="AM7" s="984"/>
      <c r="AN7" s="982"/>
      <c r="AO7" s="983"/>
      <c r="AP7" s="984"/>
    </row>
    <row r="8" spans="1:42" s="737" customFormat="1" ht="147.75" customHeight="1" thickBot="1" x14ac:dyDescent="0.65">
      <c r="A8" s="736"/>
      <c r="B8" s="684" t="s">
        <v>737</v>
      </c>
      <c r="C8" s="684" t="s">
        <v>738</v>
      </c>
      <c r="D8" s="684" t="s">
        <v>739</v>
      </c>
      <c r="E8" s="684" t="s">
        <v>737</v>
      </c>
      <c r="F8" s="684" t="s">
        <v>738</v>
      </c>
      <c r="G8" s="684" t="s">
        <v>739</v>
      </c>
      <c r="H8" s="684" t="s">
        <v>737</v>
      </c>
      <c r="I8" s="684" t="s">
        <v>738</v>
      </c>
      <c r="J8" s="684" t="s">
        <v>739</v>
      </c>
      <c r="K8" s="684" t="s">
        <v>737</v>
      </c>
      <c r="L8" s="684" t="s">
        <v>738</v>
      </c>
      <c r="M8" s="684" t="s">
        <v>739</v>
      </c>
      <c r="N8" s="684" t="s">
        <v>737</v>
      </c>
      <c r="O8" s="684" t="s">
        <v>738</v>
      </c>
      <c r="P8" s="684" t="s">
        <v>739</v>
      </c>
      <c r="Q8" s="736"/>
      <c r="R8" s="684" t="s">
        <v>737</v>
      </c>
      <c r="S8" s="684" t="s">
        <v>738</v>
      </c>
      <c r="T8" s="684" t="s">
        <v>739</v>
      </c>
      <c r="U8" s="684" t="s">
        <v>737</v>
      </c>
      <c r="V8" s="684" t="s">
        <v>738</v>
      </c>
      <c r="W8" s="684" t="s">
        <v>739</v>
      </c>
      <c r="X8" s="684" t="s">
        <v>737</v>
      </c>
      <c r="Y8" s="684" t="s">
        <v>738</v>
      </c>
      <c r="Z8" s="684" t="s">
        <v>739</v>
      </c>
      <c r="AA8" s="684" t="s">
        <v>737</v>
      </c>
      <c r="AB8" s="684" t="s">
        <v>738</v>
      </c>
      <c r="AC8" s="684" t="s">
        <v>739</v>
      </c>
      <c r="AD8" s="684" t="s">
        <v>737</v>
      </c>
      <c r="AE8" s="684" t="s">
        <v>738</v>
      </c>
      <c r="AF8" s="684" t="s">
        <v>739</v>
      </c>
      <c r="AG8" s="736"/>
      <c r="AH8" s="684" t="s">
        <v>737</v>
      </c>
      <c r="AI8" s="684" t="s">
        <v>738</v>
      </c>
      <c r="AJ8" s="684" t="s">
        <v>739</v>
      </c>
      <c r="AK8" s="684" t="s">
        <v>737</v>
      </c>
      <c r="AL8" s="684" t="s">
        <v>738</v>
      </c>
      <c r="AM8" s="684" t="s">
        <v>739</v>
      </c>
      <c r="AN8" s="684" t="s">
        <v>737</v>
      </c>
      <c r="AO8" s="684" t="s">
        <v>738</v>
      </c>
      <c r="AP8" s="684" t="s">
        <v>739</v>
      </c>
    </row>
    <row r="9" spans="1:42" ht="45.75" customHeight="1" x14ac:dyDescent="0.7">
      <c r="A9" s="678" t="s">
        <v>740</v>
      </c>
      <c r="B9" s="685" t="s">
        <v>12</v>
      </c>
      <c r="C9" s="685"/>
      <c r="D9" s="685"/>
      <c r="E9" s="685"/>
      <c r="F9" s="685"/>
      <c r="G9" s="685"/>
      <c r="H9" s="685"/>
      <c r="I9" s="685"/>
      <c r="J9" s="685"/>
      <c r="K9" s="685"/>
      <c r="L9" s="685"/>
      <c r="M9" s="685"/>
      <c r="N9" s="685"/>
      <c r="O9" s="685"/>
      <c r="P9" s="685"/>
      <c r="Q9" s="678" t="s">
        <v>740</v>
      </c>
      <c r="R9" s="685"/>
      <c r="S9" s="685"/>
      <c r="T9" s="685"/>
      <c r="U9" s="685"/>
      <c r="V9" s="685"/>
      <c r="W9" s="685"/>
      <c r="X9" s="685"/>
      <c r="Y9" s="685"/>
      <c r="Z9" s="685"/>
      <c r="AA9" s="685"/>
      <c r="AB9" s="685"/>
      <c r="AC9" s="685"/>
      <c r="AD9" s="685"/>
      <c r="AE9" s="685"/>
      <c r="AF9" s="685"/>
      <c r="AG9" s="678" t="s">
        <v>740</v>
      </c>
      <c r="AH9" s="678"/>
      <c r="AI9" s="678"/>
      <c r="AJ9" s="678"/>
      <c r="AK9" s="678"/>
      <c r="AL9" s="678"/>
      <c r="AM9" s="738"/>
      <c r="AN9" s="738"/>
      <c r="AO9" s="738"/>
      <c r="AP9" s="685"/>
    </row>
    <row r="10" spans="1:42" ht="48.75" customHeight="1" x14ac:dyDescent="0.7">
      <c r="A10" s="687" t="s">
        <v>741</v>
      </c>
      <c r="B10" s="688">
        <f>'[3]int.bevételek RM I'!D10</f>
        <v>2568</v>
      </c>
      <c r="C10" s="688"/>
      <c r="D10" s="688">
        <f t="shared" ref="D10:D27" si="0">SUM(B10:C10)</f>
        <v>2568</v>
      </c>
      <c r="E10" s="688">
        <f>'[3]int.bevételek RM I'!G10</f>
        <v>0</v>
      </c>
      <c r="F10" s="688"/>
      <c r="G10" s="688">
        <f t="shared" ref="G10:G27" si="1">SUM(E10:F10)</f>
        <v>0</v>
      </c>
      <c r="H10" s="688">
        <f>'[3]int.bevételek RM I'!J10</f>
        <v>0</v>
      </c>
      <c r="I10" s="688"/>
      <c r="J10" s="688">
        <f t="shared" ref="J10:J27" si="2">SUM(H10:I10)</f>
        <v>0</v>
      </c>
      <c r="K10" s="688">
        <f>'[3]int.bevételek RM I'!M10</f>
        <v>0</v>
      </c>
      <c r="L10" s="688"/>
      <c r="M10" s="688">
        <f t="shared" ref="M10:M27" si="3">SUM(K10:L10)</f>
        <v>0</v>
      </c>
      <c r="N10" s="690">
        <f t="shared" ref="N10:P27" si="4">B10+E10+H10+K10</f>
        <v>2568</v>
      </c>
      <c r="O10" s="690">
        <f t="shared" si="4"/>
        <v>0</v>
      </c>
      <c r="P10" s="690">
        <f t="shared" si="4"/>
        <v>2568</v>
      </c>
      <c r="Q10" s="687" t="s">
        <v>741</v>
      </c>
      <c r="R10" s="688">
        <f>'[3]int.bevételek RM I'!T10</f>
        <v>0</v>
      </c>
      <c r="S10" s="688"/>
      <c r="T10" s="688">
        <f t="shared" ref="T10:T27" si="5">SUM(R10:S10)</f>
        <v>0</v>
      </c>
      <c r="U10" s="688">
        <f>'[3]int.bevételek RM I'!W10</f>
        <v>0</v>
      </c>
      <c r="V10" s="688"/>
      <c r="W10" s="688">
        <f>SUM(U10:V10)</f>
        <v>0</v>
      </c>
      <c r="X10" s="688">
        <f>'[3]int.bevételek RM I'!Z10</f>
        <v>0</v>
      </c>
      <c r="Y10" s="688"/>
      <c r="Z10" s="688">
        <f t="shared" ref="Z10:Z27" si="6">SUM(X10:Y10)</f>
        <v>0</v>
      </c>
      <c r="AA10" s="690">
        <f t="shared" ref="AA10:AC27" si="7">R10+U10+X10</f>
        <v>0</v>
      </c>
      <c r="AB10" s="690">
        <f t="shared" si="7"/>
        <v>0</v>
      </c>
      <c r="AC10" s="690">
        <f t="shared" si="7"/>
        <v>0</v>
      </c>
      <c r="AD10" s="690">
        <f>N10+AA10</f>
        <v>2568</v>
      </c>
      <c r="AE10" s="690">
        <f>O10+AB10</f>
        <v>0</v>
      </c>
      <c r="AF10" s="690">
        <f>P10+AC10</f>
        <v>2568</v>
      </c>
      <c r="AG10" s="687" t="s">
        <v>741</v>
      </c>
      <c r="AH10" s="688">
        <f>'[3]int.bevételek RM I'!AJ10</f>
        <v>3426</v>
      </c>
      <c r="AI10" s="688"/>
      <c r="AJ10" s="688">
        <f t="shared" ref="AJ10:AJ27" si="8">SUM(AH10:AI10)</f>
        <v>3426</v>
      </c>
      <c r="AK10" s="690">
        <f>'[3]int.bevételek RM I'!AM10</f>
        <v>326005</v>
      </c>
      <c r="AL10" s="690">
        <v>650</v>
      </c>
      <c r="AM10" s="690">
        <f>SUM(AK10:AL10)</f>
        <v>326655</v>
      </c>
      <c r="AN10" s="690">
        <f t="shared" ref="AN10:AP27" si="9">N10+AA10+AH10+AK10</f>
        <v>331999</v>
      </c>
      <c r="AO10" s="690">
        <f t="shared" si="9"/>
        <v>650</v>
      </c>
      <c r="AP10" s="690">
        <f t="shared" si="9"/>
        <v>332649</v>
      </c>
    </row>
    <row r="11" spans="1:42" ht="48.75" customHeight="1" x14ac:dyDescent="0.7">
      <c r="A11" s="691" t="s">
        <v>742</v>
      </c>
      <c r="B11" s="688">
        <f>'[3]int.bevételek RM I'!D11</f>
        <v>1000</v>
      </c>
      <c r="C11" s="688"/>
      <c r="D11" s="688">
        <f t="shared" si="0"/>
        <v>1000</v>
      </c>
      <c r="E11" s="688">
        <f>'[3]int.bevételek RM I'!G11</f>
        <v>0</v>
      </c>
      <c r="F11" s="688"/>
      <c r="G11" s="688">
        <f t="shared" si="1"/>
        <v>0</v>
      </c>
      <c r="H11" s="688">
        <f>'[3]int.bevételek RM I'!J11</f>
        <v>0</v>
      </c>
      <c r="I11" s="688"/>
      <c r="J11" s="688">
        <f t="shared" si="2"/>
        <v>0</v>
      </c>
      <c r="K11" s="688">
        <f>'[3]int.bevételek RM I'!M11</f>
        <v>0</v>
      </c>
      <c r="L11" s="688"/>
      <c r="M11" s="688">
        <f t="shared" si="3"/>
        <v>0</v>
      </c>
      <c r="N11" s="690">
        <f t="shared" si="4"/>
        <v>1000</v>
      </c>
      <c r="O11" s="690">
        <f t="shared" si="4"/>
        <v>0</v>
      </c>
      <c r="P11" s="690">
        <f t="shared" si="4"/>
        <v>1000</v>
      </c>
      <c r="Q11" s="691" t="s">
        <v>742</v>
      </c>
      <c r="R11" s="688">
        <f>'[3]int.bevételek RM I'!T11</f>
        <v>0</v>
      </c>
      <c r="S11" s="688"/>
      <c r="T11" s="688">
        <f t="shared" si="5"/>
        <v>0</v>
      </c>
      <c r="U11" s="688">
        <f>'[3]int.bevételek RM I'!W11</f>
        <v>0</v>
      </c>
      <c r="V11" s="688"/>
      <c r="W11" s="688">
        <f>SUM(U11:V11)</f>
        <v>0</v>
      </c>
      <c r="X11" s="688">
        <f>'[3]int.bevételek RM I'!Z11</f>
        <v>0</v>
      </c>
      <c r="Y11" s="688"/>
      <c r="Z11" s="688">
        <f t="shared" si="6"/>
        <v>0</v>
      </c>
      <c r="AA11" s="690">
        <f t="shared" si="7"/>
        <v>0</v>
      </c>
      <c r="AB11" s="690">
        <f t="shared" si="7"/>
        <v>0</v>
      </c>
      <c r="AC11" s="690">
        <f t="shared" si="7"/>
        <v>0</v>
      </c>
      <c r="AD11" s="690">
        <f t="shared" ref="AD11:AF37" si="10">N11+AA11</f>
        <v>1000</v>
      </c>
      <c r="AE11" s="690">
        <f t="shared" si="10"/>
        <v>0</v>
      </c>
      <c r="AF11" s="690">
        <f t="shared" si="10"/>
        <v>1000</v>
      </c>
      <c r="AG11" s="691" t="s">
        <v>742</v>
      </c>
      <c r="AH11" s="688">
        <f>'[3]int.bevételek RM I'!AJ11</f>
        <v>886</v>
      </c>
      <c r="AI11" s="688"/>
      <c r="AJ11" s="688">
        <f t="shared" si="8"/>
        <v>886</v>
      </c>
      <c r="AK11" s="690">
        <f>'[3]int.bevételek RM I'!AM11</f>
        <v>219948</v>
      </c>
      <c r="AL11" s="690">
        <v>458</v>
      </c>
      <c r="AM11" s="690">
        <f t="shared" ref="AM11:AM27" si="11">SUM(AK11:AL11)</f>
        <v>220406</v>
      </c>
      <c r="AN11" s="690">
        <f t="shared" si="9"/>
        <v>221834</v>
      </c>
      <c r="AO11" s="690">
        <f t="shared" si="9"/>
        <v>458</v>
      </c>
      <c r="AP11" s="690">
        <f t="shared" si="9"/>
        <v>222292</v>
      </c>
    </row>
    <row r="12" spans="1:42" ht="48.75" customHeight="1" x14ac:dyDescent="0.7">
      <c r="A12" s="691" t="s">
        <v>743</v>
      </c>
      <c r="B12" s="688">
        <f>'[3]int.bevételek RM I'!D12</f>
        <v>960</v>
      </c>
      <c r="C12" s="688"/>
      <c r="D12" s="688">
        <f t="shared" si="0"/>
        <v>960</v>
      </c>
      <c r="E12" s="688">
        <f>'[3]int.bevételek RM I'!G12</f>
        <v>64</v>
      </c>
      <c r="F12" s="688"/>
      <c r="G12" s="688">
        <f t="shared" si="1"/>
        <v>64</v>
      </c>
      <c r="H12" s="688">
        <f>'[3]int.bevételek RM I'!J12</f>
        <v>0</v>
      </c>
      <c r="I12" s="688"/>
      <c r="J12" s="688">
        <f t="shared" si="2"/>
        <v>0</v>
      </c>
      <c r="K12" s="688">
        <f>'[3]int.bevételek RM I'!M12</f>
        <v>0</v>
      </c>
      <c r="L12" s="688"/>
      <c r="M12" s="688">
        <f t="shared" si="3"/>
        <v>0</v>
      </c>
      <c r="N12" s="690">
        <f t="shared" si="4"/>
        <v>1024</v>
      </c>
      <c r="O12" s="690">
        <f t="shared" si="4"/>
        <v>0</v>
      </c>
      <c r="P12" s="690">
        <f t="shared" si="4"/>
        <v>1024</v>
      </c>
      <c r="Q12" s="691" t="s">
        <v>743</v>
      </c>
      <c r="R12" s="688">
        <f>'[3]int.bevételek RM I'!T12</f>
        <v>0</v>
      </c>
      <c r="S12" s="688"/>
      <c r="T12" s="688">
        <f t="shared" si="5"/>
        <v>0</v>
      </c>
      <c r="U12" s="688">
        <f>'[3]int.bevételek RM I'!W12</f>
        <v>0</v>
      </c>
      <c r="V12" s="688"/>
      <c r="W12" s="688">
        <f t="shared" ref="W12:W23" si="12">SUM(U12:V12)</f>
        <v>0</v>
      </c>
      <c r="X12" s="688">
        <f>'[3]int.bevételek RM I'!Z12</f>
        <v>0</v>
      </c>
      <c r="Y12" s="688"/>
      <c r="Z12" s="688">
        <f t="shared" si="6"/>
        <v>0</v>
      </c>
      <c r="AA12" s="690">
        <f t="shared" si="7"/>
        <v>0</v>
      </c>
      <c r="AB12" s="690">
        <f t="shared" si="7"/>
        <v>0</v>
      </c>
      <c r="AC12" s="690">
        <f t="shared" si="7"/>
        <v>0</v>
      </c>
      <c r="AD12" s="690">
        <f t="shared" si="10"/>
        <v>1024</v>
      </c>
      <c r="AE12" s="690">
        <f t="shared" si="10"/>
        <v>0</v>
      </c>
      <c r="AF12" s="690">
        <f t="shared" si="10"/>
        <v>1024</v>
      </c>
      <c r="AG12" s="691" t="s">
        <v>743</v>
      </c>
      <c r="AH12" s="688">
        <f>'[3]int.bevételek RM I'!AJ12</f>
        <v>2589</v>
      </c>
      <c r="AI12" s="688"/>
      <c r="AJ12" s="688">
        <f t="shared" si="8"/>
        <v>2589</v>
      </c>
      <c r="AK12" s="690">
        <f>'[3]int.bevételek RM I'!AM12</f>
        <v>228445</v>
      </c>
      <c r="AL12" s="690">
        <v>1295</v>
      </c>
      <c r="AM12" s="690">
        <f t="shared" si="11"/>
        <v>229740</v>
      </c>
      <c r="AN12" s="690">
        <f t="shared" si="9"/>
        <v>232058</v>
      </c>
      <c r="AO12" s="690">
        <f t="shared" si="9"/>
        <v>1295</v>
      </c>
      <c r="AP12" s="690">
        <f t="shared" si="9"/>
        <v>233353</v>
      </c>
    </row>
    <row r="13" spans="1:42" ht="48.75" customHeight="1" x14ac:dyDescent="0.7">
      <c r="A13" s="691" t="s">
        <v>744</v>
      </c>
      <c r="B13" s="688">
        <f>'[3]int.bevételek RM I'!D13</f>
        <v>1256</v>
      </c>
      <c r="C13" s="688">
        <v>54</v>
      </c>
      <c r="D13" s="688">
        <f t="shared" si="0"/>
        <v>1310</v>
      </c>
      <c r="E13" s="688">
        <f>'[3]int.bevételek RM I'!G13</f>
        <v>48</v>
      </c>
      <c r="F13" s="688"/>
      <c r="G13" s="688">
        <f t="shared" si="1"/>
        <v>48</v>
      </c>
      <c r="H13" s="688">
        <f>'[3]int.bevételek RM I'!J13</f>
        <v>0</v>
      </c>
      <c r="I13" s="688"/>
      <c r="J13" s="688">
        <f t="shared" si="2"/>
        <v>0</v>
      </c>
      <c r="K13" s="688">
        <f>'[3]int.bevételek RM I'!M13</f>
        <v>0</v>
      </c>
      <c r="L13" s="688"/>
      <c r="M13" s="688">
        <f t="shared" si="3"/>
        <v>0</v>
      </c>
      <c r="N13" s="690">
        <f t="shared" si="4"/>
        <v>1304</v>
      </c>
      <c r="O13" s="690">
        <f t="shared" si="4"/>
        <v>54</v>
      </c>
      <c r="P13" s="690">
        <f t="shared" si="4"/>
        <v>1358</v>
      </c>
      <c r="Q13" s="691" t="s">
        <v>744</v>
      </c>
      <c r="R13" s="688">
        <f>'[3]int.bevételek RM I'!T13</f>
        <v>0</v>
      </c>
      <c r="S13" s="688"/>
      <c r="T13" s="688">
        <f t="shared" si="5"/>
        <v>0</v>
      </c>
      <c r="U13" s="688">
        <f>'[3]int.bevételek RM I'!W13</f>
        <v>0</v>
      </c>
      <c r="V13" s="688"/>
      <c r="W13" s="688">
        <f t="shared" si="12"/>
        <v>0</v>
      </c>
      <c r="X13" s="688">
        <f>'[3]int.bevételek RM I'!Z13</f>
        <v>0</v>
      </c>
      <c r="Y13" s="688"/>
      <c r="Z13" s="688">
        <f t="shared" si="6"/>
        <v>0</v>
      </c>
      <c r="AA13" s="690">
        <f t="shared" si="7"/>
        <v>0</v>
      </c>
      <c r="AB13" s="690">
        <f t="shared" si="7"/>
        <v>0</v>
      </c>
      <c r="AC13" s="690">
        <f t="shared" si="7"/>
        <v>0</v>
      </c>
      <c r="AD13" s="690">
        <f t="shared" si="10"/>
        <v>1304</v>
      </c>
      <c r="AE13" s="690">
        <f t="shared" si="10"/>
        <v>54</v>
      </c>
      <c r="AF13" s="690">
        <f t="shared" si="10"/>
        <v>1358</v>
      </c>
      <c r="AG13" s="691" t="s">
        <v>744</v>
      </c>
      <c r="AH13" s="688">
        <f>'[3]int.bevételek RM I'!AJ13</f>
        <v>1730</v>
      </c>
      <c r="AI13" s="688"/>
      <c r="AJ13" s="688">
        <f t="shared" si="8"/>
        <v>1730</v>
      </c>
      <c r="AK13" s="690">
        <f>'[3]int.bevételek RM I'!AM13</f>
        <v>279608</v>
      </c>
      <c r="AL13" s="690">
        <v>651</v>
      </c>
      <c r="AM13" s="690">
        <f t="shared" si="11"/>
        <v>280259</v>
      </c>
      <c r="AN13" s="690">
        <f t="shared" si="9"/>
        <v>282642</v>
      </c>
      <c r="AO13" s="690">
        <f t="shared" si="9"/>
        <v>705</v>
      </c>
      <c r="AP13" s="690">
        <f t="shared" si="9"/>
        <v>283347</v>
      </c>
    </row>
    <row r="14" spans="1:42" ht="48.75" customHeight="1" x14ac:dyDescent="0.7">
      <c r="A14" s="691" t="s">
        <v>745</v>
      </c>
      <c r="B14" s="688">
        <f>'[3]int.bevételek RM I'!D14</f>
        <v>1328</v>
      </c>
      <c r="C14" s="688"/>
      <c r="D14" s="688">
        <f t="shared" si="0"/>
        <v>1328</v>
      </c>
      <c r="E14" s="688">
        <f>'[3]int.bevételek RM I'!G14</f>
        <v>183</v>
      </c>
      <c r="F14" s="688"/>
      <c r="G14" s="688">
        <f t="shared" si="1"/>
        <v>183</v>
      </c>
      <c r="H14" s="688">
        <f>'[3]int.bevételek RM I'!J14</f>
        <v>0</v>
      </c>
      <c r="I14" s="688"/>
      <c r="J14" s="688">
        <f t="shared" si="2"/>
        <v>0</v>
      </c>
      <c r="K14" s="688">
        <f>'[3]int.bevételek RM I'!M14</f>
        <v>0</v>
      </c>
      <c r="L14" s="688"/>
      <c r="M14" s="688">
        <f t="shared" si="3"/>
        <v>0</v>
      </c>
      <c r="N14" s="690">
        <f t="shared" si="4"/>
        <v>1511</v>
      </c>
      <c r="O14" s="690">
        <f t="shared" si="4"/>
        <v>0</v>
      </c>
      <c r="P14" s="690">
        <f t="shared" si="4"/>
        <v>1511</v>
      </c>
      <c r="Q14" s="691" t="s">
        <v>745</v>
      </c>
      <c r="R14" s="688">
        <f>'[3]int.bevételek RM I'!T14</f>
        <v>0</v>
      </c>
      <c r="S14" s="688"/>
      <c r="T14" s="688">
        <f t="shared" si="5"/>
        <v>0</v>
      </c>
      <c r="U14" s="688">
        <f>'[3]int.bevételek RM I'!W14</f>
        <v>0</v>
      </c>
      <c r="V14" s="688"/>
      <c r="W14" s="688">
        <f t="shared" si="12"/>
        <v>0</v>
      </c>
      <c r="X14" s="688">
        <f>'[3]int.bevételek RM I'!Z14</f>
        <v>0</v>
      </c>
      <c r="Y14" s="688"/>
      <c r="Z14" s="688">
        <f t="shared" si="6"/>
        <v>0</v>
      </c>
      <c r="AA14" s="690">
        <f t="shared" si="7"/>
        <v>0</v>
      </c>
      <c r="AB14" s="690">
        <f t="shared" si="7"/>
        <v>0</v>
      </c>
      <c r="AC14" s="690">
        <f t="shared" si="7"/>
        <v>0</v>
      </c>
      <c r="AD14" s="690">
        <f t="shared" si="10"/>
        <v>1511</v>
      </c>
      <c r="AE14" s="690">
        <f t="shared" si="10"/>
        <v>0</v>
      </c>
      <c r="AF14" s="690">
        <f t="shared" si="10"/>
        <v>1511</v>
      </c>
      <c r="AG14" s="691" t="s">
        <v>745</v>
      </c>
      <c r="AH14" s="688">
        <f>'[3]int.bevételek RM I'!AJ14</f>
        <v>1850</v>
      </c>
      <c r="AI14" s="688"/>
      <c r="AJ14" s="688">
        <f t="shared" si="8"/>
        <v>1850</v>
      </c>
      <c r="AK14" s="690">
        <f>'[3]int.bevételek RM I'!AM14</f>
        <v>276947</v>
      </c>
      <c r="AL14" s="690">
        <v>38166</v>
      </c>
      <c r="AM14" s="690">
        <f t="shared" si="11"/>
        <v>315113</v>
      </c>
      <c r="AN14" s="690">
        <f t="shared" si="9"/>
        <v>280308</v>
      </c>
      <c r="AO14" s="690">
        <f t="shared" si="9"/>
        <v>38166</v>
      </c>
      <c r="AP14" s="690">
        <f t="shared" si="9"/>
        <v>318474</v>
      </c>
    </row>
    <row r="15" spans="1:42" ht="48.75" customHeight="1" x14ac:dyDescent="0.7">
      <c r="A15" s="691" t="s">
        <v>746</v>
      </c>
      <c r="B15" s="688">
        <f>'[3]int.bevételek RM I'!D15</f>
        <v>1600</v>
      </c>
      <c r="C15" s="688"/>
      <c r="D15" s="688">
        <f t="shared" si="0"/>
        <v>1600</v>
      </c>
      <c r="E15" s="688">
        <f>'[3]int.bevételek RM I'!G15</f>
        <v>60</v>
      </c>
      <c r="F15" s="688"/>
      <c r="G15" s="688">
        <f t="shared" si="1"/>
        <v>60</v>
      </c>
      <c r="H15" s="688">
        <f>'[3]int.bevételek RM I'!J15</f>
        <v>0</v>
      </c>
      <c r="I15" s="688"/>
      <c r="J15" s="688">
        <f t="shared" si="2"/>
        <v>0</v>
      </c>
      <c r="K15" s="688">
        <f>'[3]int.bevételek RM I'!M15</f>
        <v>0</v>
      </c>
      <c r="L15" s="688"/>
      <c r="M15" s="688">
        <f t="shared" si="3"/>
        <v>0</v>
      </c>
      <c r="N15" s="690">
        <f t="shared" si="4"/>
        <v>1660</v>
      </c>
      <c r="O15" s="690">
        <f t="shared" si="4"/>
        <v>0</v>
      </c>
      <c r="P15" s="690">
        <f t="shared" si="4"/>
        <v>1660</v>
      </c>
      <c r="Q15" s="691" t="s">
        <v>746</v>
      </c>
      <c r="R15" s="688">
        <f>'[3]int.bevételek RM I'!T15</f>
        <v>0</v>
      </c>
      <c r="S15" s="688"/>
      <c r="T15" s="688">
        <f t="shared" si="5"/>
        <v>0</v>
      </c>
      <c r="U15" s="688">
        <f>'[3]int.bevételek RM I'!W15</f>
        <v>0</v>
      </c>
      <c r="V15" s="688"/>
      <c r="W15" s="688">
        <f t="shared" si="12"/>
        <v>0</v>
      </c>
      <c r="X15" s="688">
        <f>'[3]int.bevételek RM I'!Z15</f>
        <v>0</v>
      </c>
      <c r="Y15" s="688"/>
      <c r="Z15" s="688">
        <f t="shared" si="6"/>
        <v>0</v>
      </c>
      <c r="AA15" s="690">
        <f t="shared" si="7"/>
        <v>0</v>
      </c>
      <c r="AB15" s="690">
        <f t="shared" si="7"/>
        <v>0</v>
      </c>
      <c r="AC15" s="690">
        <f t="shared" si="7"/>
        <v>0</v>
      </c>
      <c r="AD15" s="690">
        <f t="shared" si="10"/>
        <v>1660</v>
      </c>
      <c r="AE15" s="690">
        <f t="shared" si="10"/>
        <v>0</v>
      </c>
      <c r="AF15" s="690">
        <f t="shared" si="10"/>
        <v>1660</v>
      </c>
      <c r="AG15" s="691" t="s">
        <v>746</v>
      </c>
      <c r="AH15" s="688">
        <f>'[3]int.bevételek RM I'!AJ15</f>
        <v>2051</v>
      </c>
      <c r="AI15" s="688"/>
      <c r="AJ15" s="688">
        <f t="shared" si="8"/>
        <v>2051</v>
      </c>
      <c r="AK15" s="690">
        <f>'[3]int.bevételek RM I'!AM15</f>
        <v>255747</v>
      </c>
      <c r="AL15" s="690">
        <v>942</v>
      </c>
      <c r="AM15" s="690">
        <f t="shared" si="11"/>
        <v>256689</v>
      </c>
      <c r="AN15" s="690">
        <f t="shared" si="9"/>
        <v>259458</v>
      </c>
      <c r="AO15" s="690">
        <f t="shared" si="9"/>
        <v>942</v>
      </c>
      <c r="AP15" s="690">
        <f t="shared" si="9"/>
        <v>260400</v>
      </c>
    </row>
    <row r="16" spans="1:42" ht="48.75" customHeight="1" x14ac:dyDescent="0.7">
      <c r="A16" s="691" t="s">
        <v>783</v>
      </c>
      <c r="B16" s="688">
        <f>'[3]int.bevételek RM I'!D16</f>
        <v>1400</v>
      </c>
      <c r="C16" s="688">
        <v>296</v>
      </c>
      <c r="D16" s="688">
        <f t="shared" si="0"/>
        <v>1696</v>
      </c>
      <c r="E16" s="688">
        <f>'[3]int.bevételek RM I'!G16</f>
        <v>0</v>
      </c>
      <c r="F16" s="688"/>
      <c r="G16" s="688">
        <f t="shared" si="1"/>
        <v>0</v>
      </c>
      <c r="H16" s="688">
        <f>'[3]int.bevételek RM I'!J16</f>
        <v>0</v>
      </c>
      <c r="I16" s="688"/>
      <c r="J16" s="688">
        <f t="shared" si="2"/>
        <v>0</v>
      </c>
      <c r="K16" s="688">
        <f>'[3]int.bevételek RM I'!M16</f>
        <v>0</v>
      </c>
      <c r="L16" s="688"/>
      <c r="M16" s="688">
        <f t="shared" si="3"/>
        <v>0</v>
      </c>
      <c r="N16" s="690">
        <f t="shared" si="4"/>
        <v>1400</v>
      </c>
      <c r="O16" s="690">
        <f t="shared" si="4"/>
        <v>296</v>
      </c>
      <c r="P16" s="690">
        <f t="shared" si="4"/>
        <v>1696</v>
      </c>
      <c r="Q16" s="691" t="s">
        <v>747</v>
      </c>
      <c r="R16" s="688">
        <f>'[3]int.bevételek RM I'!T16</f>
        <v>0</v>
      </c>
      <c r="S16" s="688"/>
      <c r="T16" s="688">
        <f t="shared" si="5"/>
        <v>0</v>
      </c>
      <c r="U16" s="688">
        <f>'[3]int.bevételek RM I'!W16</f>
        <v>0</v>
      </c>
      <c r="V16" s="688"/>
      <c r="W16" s="688">
        <f t="shared" si="12"/>
        <v>0</v>
      </c>
      <c r="X16" s="688">
        <f>'[3]int.bevételek RM I'!Z16</f>
        <v>0</v>
      </c>
      <c r="Y16" s="688"/>
      <c r="Z16" s="688">
        <f t="shared" si="6"/>
        <v>0</v>
      </c>
      <c r="AA16" s="690">
        <f t="shared" si="7"/>
        <v>0</v>
      </c>
      <c r="AB16" s="690">
        <f t="shared" si="7"/>
        <v>0</v>
      </c>
      <c r="AC16" s="690">
        <f t="shared" si="7"/>
        <v>0</v>
      </c>
      <c r="AD16" s="690">
        <f t="shared" si="10"/>
        <v>1400</v>
      </c>
      <c r="AE16" s="690">
        <f t="shared" si="10"/>
        <v>296</v>
      </c>
      <c r="AF16" s="690">
        <f t="shared" si="10"/>
        <v>1696</v>
      </c>
      <c r="AG16" s="691" t="s">
        <v>747</v>
      </c>
      <c r="AH16" s="688">
        <f>'[3]int.bevételek RM I'!AJ16</f>
        <v>1230</v>
      </c>
      <c r="AI16" s="688"/>
      <c r="AJ16" s="688">
        <f t="shared" si="8"/>
        <v>1230</v>
      </c>
      <c r="AK16" s="690">
        <f>'[3]int.bevételek RM I'!AM16</f>
        <v>181439</v>
      </c>
      <c r="AL16" s="690">
        <v>2131</v>
      </c>
      <c r="AM16" s="690">
        <f t="shared" si="11"/>
        <v>183570</v>
      </c>
      <c r="AN16" s="690">
        <f t="shared" si="9"/>
        <v>184069</v>
      </c>
      <c r="AO16" s="690">
        <f t="shared" si="9"/>
        <v>2427</v>
      </c>
      <c r="AP16" s="690">
        <f t="shared" si="9"/>
        <v>186496</v>
      </c>
    </row>
    <row r="17" spans="1:42" ht="48.75" customHeight="1" x14ac:dyDescent="0.7">
      <c r="A17" s="691" t="s">
        <v>748</v>
      </c>
      <c r="B17" s="688">
        <f>'[3]int.bevételek RM I'!D17</f>
        <v>1568</v>
      </c>
      <c r="C17" s="688"/>
      <c r="D17" s="688">
        <f t="shared" si="0"/>
        <v>1568</v>
      </c>
      <c r="E17" s="688">
        <f>'[3]int.bevételek RM I'!G17</f>
        <v>0</v>
      </c>
      <c r="F17" s="688"/>
      <c r="G17" s="688">
        <f t="shared" si="1"/>
        <v>0</v>
      </c>
      <c r="H17" s="688">
        <f>'[3]int.bevételek RM I'!J17</f>
        <v>0</v>
      </c>
      <c r="I17" s="688"/>
      <c r="J17" s="688">
        <f t="shared" si="2"/>
        <v>0</v>
      </c>
      <c r="K17" s="688">
        <f>'[3]int.bevételek RM I'!M17</f>
        <v>0</v>
      </c>
      <c r="L17" s="688"/>
      <c r="M17" s="688">
        <f t="shared" si="3"/>
        <v>0</v>
      </c>
      <c r="N17" s="690">
        <f t="shared" si="4"/>
        <v>1568</v>
      </c>
      <c r="O17" s="690">
        <f t="shared" si="4"/>
        <v>0</v>
      </c>
      <c r="P17" s="690">
        <f t="shared" si="4"/>
        <v>1568</v>
      </c>
      <c r="Q17" s="691" t="s">
        <v>748</v>
      </c>
      <c r="R17" s="688">
        <f>'[3]int.bevételek RM I'!T17</f>
        <v>0</v>
      </c>
      <c r="S17" s="688"/>
      <c r="T17" s="688">
        <f t="shared" si="5"/>
        <v>0</v>
      </c>
      <c r="U17" s="688">
        <f>'[3]int.bevételek RM I'!W17</f>
        <v>0</v>
      </c>
      <c r="V17" s="688"/>
      <c r="W17" s="688">
        <f t="shared" si="12"/>
        <v>0</v>
      </c>
      <c r="X17" s="688">
        <f>'[3]int.bevételek RM I'!Z17</f>
        <v>0</v>
      </c>
      <c r="Y17" s="688"/>
      <c r="Z17" s="688">
        <f t="shared" si="6"/>
        <v>0</v>
      </c>
      <c r="AA17" s="690">
        <f t="shared" si="7"/>
        <v>0</v>
      </c>
      <c r="AB17" s="690">
        <f t="shared" si="7"/>
        <v>0</v>
      </c>
      <c r="AC17" s="690">
        <f t="shared" si="7"/>
        <v>0</v>
      </c>
      <c r="AD17" s="690">
        <f t="shared" si="10"/>
        <v>1568</v>
      </c>
      <c r="AE17" s="690">
        <f t="shared" si="10"/>
        <v>0</v>
      </c>
      <c r="AF17" s="690">
        <f t="shared" si="10"/>
        <v>1568</v>
      </c>
      <c r="AG17" s="691" t="s">
        <v>748</v>
      </c>
      <c r="AH17" s="688">
        <f>'[3]int.bevételek RM I'!AJ17</f>
        <v>957</v>
      </c>
      <c r="AI17" s="688"/>
      <c r="AJ17" s="688">
        <f t="shared" si="8"/>
        <v>957</v>
      </c>
      <c r="AK17" s="690">
        <f>'[3]int.bevételek RM I'!AM17</f>
        <v>194615</v>
      </c>
      <c r="AL17" s="690">
        <v>400</v>
      </c>
      <c r="AM17" s="690">
        <f t="shared" si="11"/>
        <v>195015</v>
      </c>
      <c r="AN17" s="690">
        <f t="shared" si="9"/>
        <v>197140</v>
      </c>
      <c r="AO17" s="690">
        <f t="shared" si="9"/>
        <v>400</v>
      </c>
      <c r="AP17" s="690">
        <f t="shared" si="9"/>
        <v>197540</v>
      </c>
    </row>
    <row r="18" spans="1:42" ht="48.75" customHeight="1" x14ac:dyDescent="0.7">
      <c r="A18" s="691" t="s">
        <v>749</v>
      </c>
      <c r="B18" s="688">
        <f>'[3]int.bevételek RM I'!D18</f>
        <v>880</v>
      </c>
      <c r="C18" s="688">
        <v>127</v>
      </c>
      <c r="D18" s="688">
        <f t="shared" si="0"/>
        <v>1007</v>
      </c>
      <c r="E18" s="688">
        <f>'[3]int.bevételek RM I'!G18</f>
        <v>0</v>
      </c>
      <c r="F18" s="688"/>
      <c r="G18" s="688">
        <f t="shared" si="1"/>
        <v>0</v>
      </c>
      <c r="H18" s="688">
        <f>'[3]int.bevételek RM I'!J18</f>
        <v>0</v>
      </c>
      <c r="I18" s="688"/>
      <c r="J18" s="688">
        <f t="shared" si="2"/>
        <v>0</v>
      </c>
      <c r="K18" s="688">
        <f>'[3]int.bevételek RM I'!M18</f>
        <v>0</v>
      </c>
      <c r="L18" s="688"/>
      <c r="M18" s="688">
        <f t="shared" si="3"/>
        <v>0</v>
      </c>
      <c r="N18" s="690">
        <f t="shared" si="4"/>
        <v>880</v>
      </c>
      <c r="O18" s="690">
        <f t="shared" si="4"/>
        <v>127</v>
      </c>
      <c r="P18" s="690">
        <f t="shared" si="4"/>
        <v>1007</v>
      </c>
      <c r="Q18" s="691" t="s">
        <v>749</v>
      </c>
      <c r="R18" s="688">
        <f>'[3]int.bevételek RM I'!T18</f>
        <v>0</v>
      </c>
      <c r="S18" s="688"/>
      <c r="T18" s="688">
        <f t="shared" si="5"/>
        <v>0</v>
      </c>
      <c r="U18" s="688">
        <f>'[3]int.bevételek RM I'!W18</f>
        <v>0</v>
      </c>
      <c r="V18" s="688"/>
      <c r="W18" s="688">
        <f t="shared" si="12"/>
        <v>0</v>
      </c>
      <c r="X18" s="688">
        <f>'[3]int.bevételek RM I'!Z18</f>
        <v>0</v>
      </c>
      <c r="Y18" s="688"/>
      <c r="Z18" s="688">
        <f t="shared" si="6"/>
        <v>0</v>
      </c>
      <c r="AA18" s="690">
        <f t="shared" si="7"/>
        <v>0</v>
      </c>
      <c r="AB18" s="690">
        <f t="shared" si="7"/>
        <v>0</v>
      </c>
      <c r="AC18" s="690">
        <f t="shared" si="7"/>
        <v>0</v>
      </c>
      <c r="AD18" s="690">
        <f t="shared" si="10"/>
        <v>880</v>
      </c>
      <c r="AE18" s="690">
        <f t="shared" si="10"/>
        <v>127</v>
      </c>
      <c r="AF18" s="690">
        <f t="shared" si="10"/>
        <v>1007</v>
      </c>
      <c r="AG18" s="691" t="s">
        <v>749</v>
      </c>
      <c r="AH18" s="688">
        <f>'[3]int.bevételek RM I'!AJ18</f>
        <v>1896</v>
      </c>
      <c r="AI18" s="688"/>
      <c r="AJ18" s="688">
        <f t="shared" si="8"/>
        <v>1896</v>
      </c>
      <c r="AK18" s="690">
        <f>'[3]int.bevételek RM I'!AM18</f>
        <v>282991</v>
      </c>
      <c r="AL18" s="690">
        <v>1881</v>
      </c>
      <c r="AM18" s="690">
        <f t="shared" si="11"/>
        <v>284872</v>
      </c>
      <c r="AN18" s="690">
        <f t="shared" si="9"/>
        <v>285767</v>
      </c>
      <c r="AO18" s="690">
        <f t="shared" si="9"/>
        <v>2008</v>
      </c>
      <c r="AP18" s="690">
        <f t="shared" si="9"/>
        <v>287775</v>
      </c>
    </row>
    <row r="19" spans="1:42" ht="48.75" customHeight="1" x14ac:dyDescent="0.7">
      <c r="A19" s="691" t="s">
        <v>750</v>
      </c>
      <c r="B19" s="688">
        <f>'[3]int.bevételek RM I'!D19</f>
        <v>3384</v>
      </c>
      <c r="C19" s="688">
        <v>1166</v>
      </c>
      <c r="D19" s="688">
        <f t="shared" si="0"/>
        <v>4550</v>
      </c>
      <c r="E19" s="688">
        <f>'[3]int.bevételek RM I'!G19</f>
        <v>0</v>
      </c>
      <c r="F19" s="688"/>
      <c r="G19" s="688">
        <f t="shared" si="1"/>
        <v>0</v>
      </c>
      <c r="H19" s="688">
        <f>'[3]int.bevételek RM I'!J19</f>
        <v>0</v>
      </c>
      <c r="I19" s="688"/>
      <c r="J19" s="688">
        <f t="shared" si="2"/>
        <v>0</v>
      </c>
      <c r="K19" s="688">
        <f>'[3]int.bevételek RM I'!M19</f>
        <v>0</v>
      </c>
      <c r="L19" s="688"/>
      <c r="M19" s="688">
        <f t="shared" si="3"/>
        <v>0</v>
      </c>
      <c r="N19" s="690">
        <f t="shared" si="4"/>
        <v>3384</v>
      </c>
      <c r="O19" s="690">
        <f t="shared" si="4"/>
        <v>1166</v>
      </c>
      <c r="P19" s="690">
        <f t="shared" si="4"/>
        <v>4550</v>
      </c>
      <c r="Q19" s="691" t="s">
        <v>750</v>
      </c>
      <c r="R19" s="688">
        <f>'[3]int.bevételek RM I'!T19</f>
        <v>0</v>
      </c>
      <c r="S19" s="688"/>
      <c r="T19" s="688">
        <f t="shared" si="5"/>
        <v>0</v>
      </c>
      <c r="U19" s="688">
        <f>'[3]int.bevételek RM I'!W19</f>
        <v>0</v>
      </c>
      <c r="V19" s="688"/>
      <c r="W19" s="688">
        <f t="shared" si="12"/>
        <v>0</v>
      </c>
      <c r="X19" s="688">
        <f>'[3]int.bevételek RM I'!Z19</f>
        <v>0</v>
      </c>
      <c r="Y19" s="688"/>
      <c r="Z19" s="688">
        <f t="shared" si="6"/>
        <v>0</v>
      </c>
      <c r="AA19" s="690">
        <f t="shared" si="7"/>
        <v>0</v>
      </c>
      <c r="AB19" s="690">
        <f t="shared" si="7"/>
        <v>0</v>
      </c>
      <c r="AC19" s="690">
        <f t="shared" si="7"/>
        <v>0</v>
      </c>
      <c r="AD19" s="690">
        <f t="shared" si="10"/>
        <v>3384</v>
      </c>
      <c r="AE19" s="690">
        <f t="shared" si="10"/>
        <v>1166</v>
      </c>
      <c r="AF19" s="690">
        <f t="shared" si="10"/>
        <v>4550</v>
      </c>
      <c r="AG19" s="691" t="s">
        <v>750</v>
      </c>
      <c r="AH19" s="688">
        <f>'[3]int.bevételek RM I'!AJ19</f>
        <v>5227</v>
      </c>
      <c r="AI19" s="688"/>
      <c r="AJ19" s="688">
        <f t="shared" si="8"/>
        <v>5227</v>
      </c>
      <c r="AK19" s="690">
        <f>'[3]int.bevételek RM I'!AM19</f>
        <v>323830</v>
      </c>
      <c r="AL19" s="690">
        <v>797</v>
      </c>
      <c r="AM19" s="690">
        <f t="shared" si="11"/>
        <v>324627</v>
      </c>
      <c r="AN19" s="690">
        <f t="shared" si="9"/>
        <v>332441</v>
      </c>
      <c r="AO19" s="690">
        <f t="shared" si="9"/>
        <v>1963</v>
      </c>
      <c r="AP19" s="690">
        <f t="shared" si="9"/>
        <v>334404</v>
      </c>
    </row>
    <row r="20" spans="1:42" ht="48.75" customHeight="1" x14ac:dyDescent="0.7">
      <c r="A20" s="691" t="s">
        <v>751</v>
      </c>
      <c r="B20" s="688">
        <f>'[3]int.bevételek RM I'!D20</f>
        <v>124</v>
      </c>
      <c r="C20" s="688">
        <v>135</v>
      </c>
      <c r="D20" s="688">
        <f t="shared" si="0"/>
        <v>259</v>
      </c>
      <c r="E20" s="688">
        <f>'[3]int.bevételek RM I'!G20</f>
        <v>44</v>
      </c>
      <c r="F20" s="688"/>
      <c r="G20" s="688">
        <f t="shared" si="1"/>
        <v>44</v>
      </c>
      <c r="H20" s="688">
        <f>'[3]int.bevételek RM I'!J20</f>
        <v>0</v>
      </c>
      <c r="I20" s="688"/>
      <c r="J20" s="688">
        <f t="shared" si="2"/>
        <v>0</v>
      </c>
      <c r="K20" s="688">
        <f>'[3]int.bevételek RM I'!M20</f>
        <v>0</v>
      </c>
      <c r="L20" s="688"/>
      <c r="M20" s="688">
        <f t="shared" si="3"/>
        <v>0</v>
      </c>
      <c r="N20" s="690">
        <f t="shared" si="4"/>
        <v>168</v>
      </c>
      <c r="O20" s="690">
        <f t="shared" si="4"/>
        <v>135</v>
      </c>
      <c r="P20" s="690">
        <f t="shared" si="4"/>
        <v>303</v>
      </c>
      <c r="Q20" s="691" t="s">
        <v>751</v>
      </c>
      <c r="R20" s="688">
        <f>'[3]int.bevételek RM I'!T20</f>
        <v>0</v>
      </c>
      <c r="S20" s="688"/>
      <c r="T20" s="688">
        <f t="shared" si="5"/>
        <v>0</v>
      </c>
      <c r="U20" s="688">
        <f>'[3]int.bevételek RM I'!W20</f>
        <v>0</v>
      </c>
      <c r="V20" s="688"/>
      <c r="W20" s="688">
        <f t="shared" si="12"/>
        <v>0</v>
      </c>
      <c r="X20" s="688">
        <f>'[3]int.bevételek RM I'!Z20</f>
        <v>0</v>
      </c>
      <c r="Y20" s="688"/>
      <c r="Z20" s="688">
        <f t="shared" si="6"/>
        <v>0</v>
      </c>
      <c r="AA20" s="690">
        <f t="shared" si="7"/>
        <v>0</v>
      </c>
      <c r="AB20" s="690">
        <f t="shared" si="7"/>
        <v>0</v>
      </c>
      <c r="AC20" s="690">
        <f t="shared" si="7"/>
        <v>0</v>
      </c>
      <c r="AD20" s="690">
        <f t="shared" si="10"/>
        <v>168</v>
      </c>
      <c r="AE20" s="690">
        <f t="shared" si="10"/>
        <v>135</v>
      </c>
      <c r="AF20" s="690">
        <f t="shared" si="10"/>
        <v>303</v>
      </c>
      <c r="AG20" s="691" t="s">
        <v>751</v>
      </c>
      <c r="AH20" s="688">
        <f>'[3]int.bevételek RM I'!AJ20</f>
        <v>864</v>
      </c>
      <c r="AI20" s="688"/>
      <c r="AJ20" s="688">
        <f t="shared" si="8"/>
        <v>864</v>
      </c>
      <c r="AK20" s="690">
        <f>'[3]int.bevételek RM I'!AM20</f>
        <v>146970</v>
      </c>
      <c r="AL20" s="690">
        <v>901</v>
      </c>
      <c r="AM20" s="690">
        <f t="shared" si="11"/>
        <v>147871</v>
      </c>
      <c r="AN20" s="690">
        <f t="shared" si="9"/>
        <v>148002</v>
      </c>
      <c r="AO20" s="690">
        <f t="shared" si="9"/>
        <v>1036</v>
      </c>
      <c r="AP20" s="690">
        <f t="shared" si="9"/>
        <v>149038</v>
      </c>
    </row>
    <row r="21" spans="1:42" ht="48.75" customHeight="1" x14ac:dyDescent="0.7">
      <c r="A21" s="691" t="s">
        <v>752</v>
      </c>
      <c r="B21" s="688">
        <f>'[3]int.bevételek RM I'!D21</f>
        <v>1160</v>
      </c>
      <c r="C21" s="688">
        <v>57</v>
      </c>
      <c r="D21" s="688">
        <f t="shared" si="0"/>
        <v>1217</v>
      </c>
      <c r="E21" s="688">
        <f>'[3]int.bevételek RM I'!G21</f>
        <v>0</v>
      </c>
      <c r="F21" s="688"/>
      <c r="G21" s="688">
        <f t="shared" si="1"/>
        <v>0</v>
      </c>
      <c r="H21" s="688">
        <f>'[3]int.bevételek RM I'!J21</f>
        <v>0</v>
      </c>
      <c r="I21" s="688"/>
      <c r="J21" s="688">
        <f t="shared" si="2"/>
        <v>0</v>
      </c>
      <c r="K21" s="688">
        <f>'[3]int.bevételek RM I'!M21</f>
        <v>0</v>
      </c>
      <c r="L21" s="688"/>
      <c r="M21" s="688">
        <f t="shared" si="3"/>
        <v>0</v>
      </c>
      <c r="N21" s="690">
        <f t="shared" si="4"/>
        <v>1160</v>
      </c>
      <c r="O21" s="690">
        <f t="shared" si="4"/>
        <v>57</v>
      </c>
      <c r="P21" s="690">
        <f t="shared" si="4"/>
        <v>1217</v>
      </c>
      <c r="Q21" s="691" t="s">
        <v>752</v>
      </c>
      <c r="R21" s="688">
        <f>'[3]int.bevételek RM I'!T21</f>
        <v>0</v>
      </c>
      <c r="S21" s="688"/>
      <c r="T21" s="688">
        <f t="shared" si="5"/>
        <v>0</v>
      </c>
      <c r="U21" s="688">
        <f>'[3]int.bevételek RM I'!W21</f>
        <v>0</v>
      </c>
      <c r="V21" s="688"/>
      <c r="W21" s="688">
        <f t="shared" si="12"/>
        <v>0</v>
      </c>
      <c r="X21" s="688">
        <f>'[3]int.bevételek RM I'!Z21</f>
        <v>0</v>
      </c>
      <c r="Y21" s="688"/>
      <c r="Z21" s="688">
        <f t="shared" si="6"/>
        <v>0</v>
      </c>
      <c r="AA21" s="690">
        <f t="shared" si="7"/>
        <v>0</v>
      </c>
      <c r="AB21" s="690">
        <f t="shared" si="7"/>
        <v>0</v>
      </c>
      <c r="AC21" s="690">
        <f t="shared" si="7"/>
        <v>0</v>
      </c>
      <c r="AD21" s="690">
        <f t="shared" si="10"/>
        <v>1160</v>
      </c>
      <c r="AE21" s="690">
        <f t="shared" si="10"/>
        <v>57</v>
      </c>
      <c r="AF21" s="690">
        <f t="shared" si="10"/>
        <v>1217</v>
      </c>
      <c r="AG21" s="691" t="s">
        <v>752</v>
      </c>
      <c r="AH21" s="688">
        <f>'[3]int.bevételek RM I'!AJ21</f>
        <v>1185</v>
      </c>
      <c r="AI21" s="688"/>
      <c r="AJ21" s="688">
        <f t="shared" si="8"/>
        <v>1185</v>
      </c>
      <c r="AK21" s="690">
        <f>'[3]int.bevételek RM I'!AM21</f>
        <v>150794</v>
      </c>
      <c r="AL21" s="690">
        <v>429</v>
      </c>
      <c r="AM21" s="690">
        <f t="shared" si="11"/>
        <v>151223</v>
      </c>
      <c r="AN21" s="690">
        <f t="shared" si="9"/>
        <v>153139</v>
      </c>
      <c r="AO21" s="690">
        <f t="shared" si="9"/>
        <v>486</v>
      </c>
      <c r="AP21" s="690">
        <f t="shared" si="9"/>
        <v>153625</v>
      </c>
    </row>
    <row r="22" spans="1:42" ht="48.75" customHeight="1" x14ac:dyDescent="0.7">
      <c r="A22" s="691" t="s">
        <v>753</v>
      </c>
      <c r="B22" s="688">
        <f>'[3]int.bevételek RM I'!D22</f>
        <v>2552</v>
      </c>
      <c r="C22" s="688"/>
      <c r="D22" s="688">
        <f t="shared" si="0"/>
        <v>2552</v>
      </c>
      <c r="E22" s="688">
        <f>'[3]int.bevételek RM I'!G22</f>
        <v>24</v>
      </c>
      <c r="F22" s="688"/>
      <c r="G22" s="688">
        <f t="shared" si="1"/>
        <v>24</v>
      </c>
      <c r="H22" s="688">
        <f>'[3]int.bevételek RM I'!J22</f>
        <v>0</v>
      </c>
      <c r="I22" s="688"/>
      <c r="J22" s="688">
        <f t="shared" si="2"/>
        <v>0</v>
      </c>
      <c r="K22" s="688">
        <f>'[3]int.bevételek RM I'!M22</f>
        <v>0</v>
      </c>
      <c r="L22" s="688"/>
      <c r="M22" s="688">
        <f t="shared" si="3"/>
        <v>0</v>
      </c>
      <c r="N22" s="690">
        <f t="shared" si="4"/>
        <v>2576</v>
      </c>
      <c r="O22" s="690">
        <f t="shared" si="4"/>
        <v>0</v>
      </c>
      <c r="P22" s="690">
        <f t="shared" si="4"/>
        <v>2576</v>
      </c>
      <c r="Q22" s="691" t="s">
        <v>753</v>
      </c>
      <c r="R22" s="688">
        <f>'[3]int.bevételek RM I'!T22</f>
        <v>0</v>
      </c>
      <c r="S22" s="688"/>
      <c r="T22" s="688">
        <f t="shared" si="5"/>
        <v>0</v>
      </c>
      <c r="U22" s="688">
        <f>'[3]int.bevételek RM I'!W22</f>
        <v>0</v>
      </c>
      <c r="V22" s="688"/>
      <c r="W22" s="688">
        <f t="shared" si="12"/>
        <v>0</v>
      </c>
      <c r="X22" s="688">
        <f>'[3]int.bevételek RM I'!Z22</f>
        <v>0</v>
      </c>
      <c r="Y22" s="688"/>
      <c r="Z22" s="688">
        <f t="shared" si="6"/>
        <v>0</v>
      </c>
      <c r="AA22" s="690">
        <f t="shared" si="7"/>
        <v>0</v>
      </c>
      <c r="AB22" s="690">
        <f t="shared" si="7"/>
        <v>0</v>
      </c>
      <c r="AC22" s="690">
        <f t="shared" si="7"/>
        <v>0</v>
      </c>
      <c r="AD22" s="690">
        <f t="shared" si="10"/>
        <v>2576</v>
      </c>
      <c r="AE22" s="690">
        <f t="shared" si="10"/>
        <v>0</v>
      </c>
      <c r="AF22" s="690">
        <f t="shared" si="10"/>
        <v>2576</v>
      </c>
      <c r="AG22" s="691" t="s">
        <v>753</v>
      </c>
      <c r="AH22" s="688">
        <f>'[3]int.bevételek RM I'!AJ22</f>
        <v>1195</v>
      </c>
      <c r="AI22" s="688"/>
      <c r="AJ22" s="688">
        <f t="shared" si="8"/>
        <v>1195</v>
      </c>
      <c r="AK22" s="690">
        <f>'[3]int.bevételek RM I'!AM22</f>
        <v>182784</v>
      </c>
      <c r="AL22" s="690">
        <v>397</v>
      </c>
      <c r="AM22" s="690">
        <f t="shared" si="11"/>
        <v>183181</v>
      </c>
      <c r="AN22" s="690">
        <f t="shared" si="9"/>
        <v>186555</v>
      </c>
      <c r="AO22" s="690">
        <f t="shared" si="9"/>
        <v>397</v>
      </c>
      <c r="AP22" s="690">
        <f t="shared" si="9"/>
        <v>186952</v>
      </c>
    </row>
    <row r="23" spans="1:42" ht="48.75" customHeight="1" x14ac:dyDescent="0.7">
      <c r="A23" s="691" t="s">
        <v>754</v>
      </c>
      <c r="B23" s="688">
        <f>'[3]int.bevételek RM I'!D23</f>
        <v>280</v>
      </c>
      <c r="C23" s="688">
        <v>64</v>
      </c>
      <c r="D23" s="688">
        <f t="shared" si="0"/>
        <v>344</v>
      </c>
      <c r="E23" s="688">
        <f>'[3]int.bevételek RM I'!G23</f>
        <v>49</v>
      </c>
      <c r="F23" s="688"/>
      <c r="G23" s="688">
        <f t="shared" si="1"/>
        <v>49</v>
      </c>
      <c r="H23" s="688">
        <f>'[3]int.bevételek RM I'!J23</f>
        <v>0</v>
      </c>
      <c r="I23" s="688"/>
      <c r="J23" s="688">
        <f t="shared" si="2"/>
        <v>0</v>
      </c>
      <c r="K23" s="688">
        <f>'[3]int.bevételek RM I'!M23</f>
        <v>0</v>
      </c>
      <c r="L23" s="688"/>
      <c r="M23" s="688">
        <f t="shared" si="3"/>
        <v>0</v>
      </c>
      <c r="N23" s="690">
        <f t="shared" si="4"/>
        <v>329</v>
      </c>
      <c r="O23" s="690">
        <f t="shared" si="4"/>
        <v>64</v>
      </c>
      <c r="P23" s="690">
        <f t="shared" si="4"/>
        <v>393</v>
      </c>
      <c r="Q23" s="691" t="s">
        <v>754</v>
      </c>
      <c r="R23" s="688">
        <f>'[3]int.bevételek RM I'!T23</f>
        <v>0</v>
      </c>
      <c r="S23" s="688"/>
      <c r="T23" s="688">
        <f t="shared" si="5"/>
        <v>0</v>
      </c>
      <c r="U23" s="688">
        <f>'[3]int.bevételek RM I'!W23</f>
        <v>0</v>
      </c>
      <c r="V23" s="688"/>
      <c r="W23" s="688">
        <f t="shared" si="12"/>
        <v>0</v>
      </c>
      <c r="X23" s="688">
        <f>'[3]int.bevételek RM I'!Z23</f>
        <v>0</v>
      </c>
      <c r="Y23" s="688"/>
      <c r="Z23" s="688">
        <f t="shared" si="6"/>
        <v>0</v>
      </c>
      <c r="AA23" s="690">
        <f t="shared" si="7"/>
        <v>0</v>
      </c>
      <c r="AB23" s="690">
        <f t="shared" si="7"/>
        <v>0</v>
      </c>
      <c r="AC23" s="690">
        <f t="shared" si="7"/>
        <v>0</v>
      </c>
      <c r="AD23" s="690">
        <f t="shared" si="10"/>
        <v>329</v>
      </c>
      <c r="AE23" s="690">
        <f t="shared" si="10"/>
        <v>64</v>
      </c>
      <c r="AF23" s="690">
        <f t="shared" si="10"/>
        <v>393</v>
      </c>
      <c r="AG23" s="691" t="s">
        <v>754</v>
      </c>
      <c r="AH23" s="688">
        <f>'[3]int.bevételek RM I'!AJ23</f>
        <v>2476</v>
      </c>
      <c r="AI23" s="688"/>
      <c r="AJ23" s="688">
        <f t="shared" si="8"/>
        <v>2476</v>
      </c>
      <c r="AK23" s="690">
        <f>'[3]int.bevételek RM I'!AM23</f>
        <v>222120</v>
      </c>
      <c r="AL23" s="690">
        <v>1807</v>
      </c>
      <c r="AM23" s="690">
        <f t="shared" si="11"/>
        <v>223927</v>
      </c>
      <c r="AN23" s="690">
        <f t="shared" si="9"/>
        <v>224925</v>
      </c>
      <c r="AO23" s="690">
        <f t="shared" si="9"/>
        <v>1871</v>
      </c>
      <c r="AP23" s="690">
        <f t="shared" si="9"/>
        <v>226796</v>
      </c>
    </row>
    <row r="24" spans="1:42" ht="48.75" customHeight="1" x14ac:dyDescent="0.7">
      <c r="A24" s="691" t="s">
        <v>755</v>
      </c>
      <c r="B24" s="688">
        <f>'[3]int.bevételek RM I'!D24</f>
        <v>1640</v>
      </c>
      <c r="C24" s="688">
        <v>176</v>
      </c>
      <c r="D24" s="688">
        <f t="shared" si="0"/>
        <v>1816</v>
      </c>
      <c r="E24" s="688">
        <f>'[3]int.bevételek RM I'!G24</f>
        <v>0</v>
      </c>
      <c r="F24" s="688"/>
      <c r="G24" s="688">
        <f t="shared" si="1"/>
        <v>0</v>
      </c>
      <c r="H24" s="688">
        <f>'[3]int.bevételek RM I'!J24</f>
        <v>0</v>
      </c>
      <c r="I24" s="688">
        <v>86</v>
      </c>
      <c r="J24" s="688">
        <f t="shared" si="2"/>
        <v>86</v>
      </c>
      <c r="K24" s="688">
        <f>'[3]int.bevételek RM I'!M24</f>
        <v>0</v>
      </c>
      <c r="L24" s="688"/>
      <c r="M24" s="688">
        <f t="shared" si="3"/>
        <v>0</v>
      </c>
      <c r="N24" s="690">
        <f t="shared" si="4"/>
        <v>1640</v>
      </c>
      <c r="O24" s="690">
        <f t="shared" si="4"/>
        <v>262</v>
      </c>
      <c r="P24" s="690">
        <f t="shared" si="4"/>
        <v>1902</v>
      </c>
      <c r="Q24" s="691" t="s">
        <v>755</v>
      </c>
      <c r="R24" s="688">
        <f>'[3]int.bevételek RM I'!T24</f>
        <v>0</v>
      </c>
      <c r="S24" s="688"/>
      <c r="T24" s="688">
        <f t="shared" si="5"/>
        <v>0</v>
      </c>
      <c r="U24" s="688">
        <f>'[3]int.bevételek RM I'!W24</f>
        <v>0</v>
      </c>
      <c r="V24" s="688"/>
      <c r="W24" s="688">
        <f>SUM(U24:V24)</f>
        <v>0</v>
      </c>
      <c r="X24" s="688">
        <f>'[3]int.bevételek RM I'!Z24</f>
        <v>0</v>
      </c>
      <c r="Y24" s="688"/>
      <c r="Z24" s="688">
        <f t="shared" si="6"/>
        <v>0</v>
      </c>
      <c r="AA24" s="690">
        <f t="shared" si="7"/>
        <v>0</v>
      </c>
      <c r="AB24" s="690">
        <f t="shared" si="7"/>
        <v>0</v>
      </c>
      <c r="AC24" s="690">
        <f t="shared" si="7"/>
        <v>0</v>
      </c>
      <c r="AD24" s="690">
        <f t="shared" si="10"/>
        <v>1640</v>
      </c>
      <c r="AE24" s="690">
        <f t="shared" si="10"/>
        <v>262</v>
      </c>
      <c r="AF24" s="690">
        <f t="shared" si="10"/>
        <v>1902</v>
      </c>
      <c r="AG24" s="691" t="s">
        <v>755</v>
      </c>
      <c r="AH24" s="688">
        <f>'[3]int.bevételek RM I'!AJ24</f>
        <v>1221</v>
      </c>
      <c r="AI24" s="688"/>
      <c r="AJ24" s="688">
        <f t="shared" si="8"/>
        <v>1221</v>
      </c>
      <c r="AK24" s="690">
        <f>'[3]int.bevételek RM I'!AM24</f>
        <v>314681</v>
      </c>
      <c r="AL24" s="690">
        <v>1838</v>
      </c>
      <c r="AM24" s="690">
        <f t="shared" si="11"/>
        <v>316519</v>
      </c>
      <c r="AN24" s="690">
        <f t="shared" si="9"/>
        <v>317542</v>
      </c>
      <c r="AO24" s="690">
        <f t="shared" si="9"/>
        <v>2100</v>
      </c>
      <c r="AP24" s="690">
        <f t="shared" si="9"/>
        <v>319642</v>
      </c>
    </row>
    <row r="25" spans="1:42" ht="48.75" customHeight="1" x14ac:dyDescent="0.7">
      <c r="A25" s="691" t="s">
        <v>756</v>
      </c>
      <c r="B25" s="688">
        <f>'[3]int.bevételek RM I'!D25</f>
        <v>329</v>
      </c>
      <c r="C25" s="688">
        <v>107</v>
      </c>
      <c r="D25" s="688">
        <f t="shared" si="0"/>
        <v>436</v>
      </c>
      <c r="E25" s="688">
        <f>'[3]int.bevételek RM I'!G25</f>
        <v>96</v>
      </c>
      <c r="F25" s="688"/>
      <c r="G25" s="688">
        <f t="shared" si="1"/>
        <v>96</v>
      </c>
      <c r="H25" s="688">
        <f>'[3]int.bevételek RM I'!J25</f>
        <v>0</v>
      </c>
      <c r="I25" s="688"/>
      <c r="J25" s="688">
        <f t="shared" si="2"/>
        <v>0</v>
      </c>
      <c r="K25" s="688">
        <f>'[3]int.bevételek RM I'!M25</f>
        <v>0</v>
      </c>
      <c r="L25" s="688"/>
      <c r="M25" s="688">
        <f t="shared" si="3"/>
        <v>0</v>
      </c>
      <c r="N25" s="690">
        <f t="shared" si="4"/>
        <v>425</v>
      </c>
      <c r="O25" s="690">
        <f t="shared" si="4"/>
        <v>107</v>
      </c>
      <c r="P25" s="690">
        <f t="shared" si="4"/>
        <v>532</v>
      </c>
      <c r="Q25" s="691" t="s">
        <v>756</v>
      </c>
      <c r="R25" s="688">
        <f>'[3]int.bevételek RM I'!T25</f>
        <v>0</v>
      </c>
      <c r="S25" s="688"/>
      <c r="T25" s="688">
        <f t="shared" si="5"/>
        <v>0</v>
      </c>
      <c r="U25" s="688">
        <f>'[3]int.bevételek RM I'!W25</f>
        <v>0</v>
      </c>
      <c r="V25" s="688"/>
      <c r="W25" s="688">
        <f>SUM(U25:V25)</f>
        <v>0</v>
      </c>
      <c r="X25" s="688">
        <f>'[3]int.bevételek RM I'!Z25</f>
        <v>0</v>
      </c>
      <c r="Y25" s="688"/>
      <c r="Z25" s="688">
        <f t="shared" si="6"/>
        <v>0</v>
      </c>
      <c r="AA25" s="690">
        <f t="shared" si="7"/>
        <v>0</v>
      </c>
      <c r="AB25" s="690">
        <f t="shared" si="7"/>
        <v>0</v>
      </c>
      <c r="AC25" s="690">
        <f t="shared" si="7"/>
        <v>0</v>
      </c>
      <c r="AD25" s="690">
        <f t="shared" si="10"/>
        <v>425</v>
      </c>
      <c r="AE25" s="690">
        <f t="shared" si="10"/>
        <v>107</v>
      </c>
      <c r="AF25" s="690">
        <f t="shared" si="10"/>
        <v>532</v>
      </c>
      <c r="AG25" s="691" t="s">
        <v>756</v>
      </c>
      <c r="AH25" s="688">
        <f>'[3]int.bevételek RM I'!AJ25</f>
        <v>2113</v>
      </c>
      <c r="AI25" s="688"/>
      <c r="AJ25" s="688">
        <f t="shared" si="8"/>
        <v>2113</v>
      </c>
      <c r="AK25" s="690">
        <f>'[3]int.bevételek RM I'!AM25</f>
        <v>227601</v>
      </c>
      <c r="AL25" s="690">
        <v>425</v>
      </c>
      <c r="AM25" s="690">
        <f t="shared" si="11"/>
        <v>228026</v>
      </c>
      <c r="AN25" s="690">
        <f t="shared" si="9"/>
        <v>230139</v>
      </c>
      <c r="AO25" s="690">
        <f t="shared" si="9"/>
        <v>532</v>
      </c>
      <c r="AP25" s="690">
        <f t="shared" si="9"/>
        <v>230671</v>
      </c>
    </row>
    <row r="26" spans="1:42" ht="48.75" customHeight="1" x14ac:dyDescent="0.7">
      <c r="A26" s="687" t="s">
        <v>757</v>
      </c>
      <c r="B26" s="688">
        <f>'[3]int.bevételek RM I'!D26</f>
        <v>1104</v>
      </c>
      <c r="C26" s="688"/>
      <c r="D26" s="688">
        <f t="shared" si="0"/>
        <v>1104</v>
      </c>
      <c r="E26" s="688">
        <f>'[3]int.bevételek RM I'!G26</f>
        <v>0</v>
      </c>
      <c r="F26" s="688"/>
      <c r="G26" s="688">
        <f t="shared" si="1"/>
        <v>0</v>
      </c>
      <c r="H26" s="688">
        <f>'[3]int.bevételek RM I'!J26</f>
        <v>0</v>
      </c>
      <c r="I26" s="688"/>
      <c r="J26" s="688">
        <f t="shared" si="2"/>
        <v>0</v>
      </c>
      <c r="K26" s="688">
        <f>'[3]int.bevételek RM I'!M26</f>
        <v>0</v>
      </c>
      <c r="L26" s="688"/>
      <c r="M26" s="688">
        <f t="shared" si="3"/>
        <v>0</v>
      </c>
      <c r="N26" s="690">
        <f t="shared" si="4"/>
        <v>1104</v>
      </c>
      <c r="O26" s="690">
        <f t="shared" si="4"/>
        <v>0</v>
      </c>
      <c r="P26" s="690">
        <f t="shared" si="4"/>
        <v>1104</v>
      </c>
      <c r="Q26" s="687" t="s">
        <v>757</v>
      </c>
      <c r="R26" s="688">
        <f>'[3]int.bevételek RM I'!T26</f>
        <v>0</v>
      </c>
      <c r="S26" s="688"/>
      <c r="T26" s="688">
        <f t="shared" si="5"/>
        <v>0</v>
      </c>
      <c r="U26" s="688">
        <f>'[3]int.bevételek RM I'!W26</f>
        <v>0</v>
      </c>
      <c r="V26" s="688"/>
      <c r="W26" s="688">
        <f>SUM(U26:V26)</f>
        <v>0</v>
      </c>
      <c r="X26" s="688">
        <f>'[3]int.bevételek RM I'!Z26</f>
        <v>0</v>
      </c>
      <c r="Y26" s="688"/>
      <c r="Z26" s="688">
        <f t="shared" si="6"/>
        <v>0</v>
      </c>
      <c r="AA26" s="690">
        <f t="shared" si="7"/>
        <v>0</v>
      </c>
      <c r="AB26" s="690">
        <f t="shared" si="7"/>
        <v>0</v>
      </c>
      <c r="AC26" s="690">
        <f t="shared" si="7"/>
        <v>0</v>
      </c>
      <c r="AD26" s="690">
        <f t="shared" si="10"/>
        <v>1104</v>
      </c>
      <c r="AE26" s="690">
        <f t="shared" si="10"/>
        <v>0</v>
      </c>
      <c r="AF26" s="690">
        <f t="shared" si="10"/>
        <v>1104</v>
      </c>
      <c r="AG26" s="687" t="s">
        <v>757</v>
      </c>
      <c r="AH26" s="688">
        <f>'[3]int.bevételek RM I'!AJ26</f>
        <v>799</v>
      </c>
      <c r="AI26" s="688"/>
      <c r="AJ26" s="688">
        <f t="shared" si="8"/>
        <v>799</v>
      </c>
      <c r="AK26" s="690">
        <f>'[3]int.bevételek RM I'!AM26</f>
        <v>181158</v>
      </c>
      <c r="AL26" s="690">
        <v>397</v>
      </c>
      <c r="AM26" s="690">
        <f t="shared" si="11"/>
        <v>181555</v>
      </c>
      <c r="AN26" s="690">
        <f t="shared" si="9"/>
        <v>183061</v>
      </c>
      <c r="AO26" s="690">
        <f t="shared" si="9"/>
        <v>397</v>
      </c>
      <c r="AP26" s="690">
        <f t="shared" si="9"/>
        <v>183458</v>
      </c>
    </row>
    <row r="27" spans="1:42" ht="48.75" customHeight="1" thickBot="1" x14ac:dyDescent="0.75">
      <c r="A27" s="692" t="s">
        <v>758</v>
      </c>
      <c r="B27" s="688">
        <f>'[3]int.bevételek RM I'!D27</f>
        <v>1600</v>
      </c>
      <c r="C27" s="693">
        <v>405</v>
      </c>
      <c r="D27" s="693">
        <f t="shared" si="0"/>
        <v>2005</v>
      </c>
      <c r="E27" s="688">
        <f>'[3]int.bevételek RM I'!G27</f>
        <v>0</v>
      </c>
      <c r="F27" s="693"/>
      <c r="G27" s="693">
        <f t="shared" si="1"/>
        <v>0</v>
      </c>
      <c r="H27" s="693">
        <f>'[3]int.bevételek RM I'!J27</f>
        <v>0</v>
      </c>
      <c r="I27" s="693"/>
      <c r="J27" s="693">
        <f t="shared" si="2"/>
        <v>0</v>
      </c>
      <c r="K27" s="693">
        <f>'[3]int.bevételek RM I'!M27</f>
        <v>0</v>
      </c>
      <c r="L27" s="693"/>
      <c r="M27" s="688">
        <f t="shared" si="3"/>
        <v>0</v>
      </c>
      <c r="N27" s="690">
        <f t="shared" si="4"/>
        <v>1600</v>
      </c>
      <c r="O27" s="690">
        <f t="shared" si="4"/>
        <v>405</v>
      </c>
      <c r="P27" s="690">
        <f t="shared" si="4"/>
        <v>2005</v>
      </c>
      <c r="Q27" s="692" t="s">
        <v>758</v>
      </c>
      <c r="R27" s="693">
        <f>'[3]int.bevételek RM I'!T27</f>
        <v>0</v>
      </c>
      <c r="S27" s="693"/>
      <c r="T27" s="693">
        <f t="shared" si="5"/>
        <v>0</v>
      </c>
      <c r="U27" s="693">
        <f>'[3]int.bevételek RM I'!W27</f>
        <v>0</v>
      </c>
      <c r="V27" s="693"/>
      <c r="W27" s="688">
        <f>SUM(U27:V27)</f>
        <v>0</v>
      </c>
      <c r="X27" s="693">
        <f>'[3]int.bevételek RM I'!Z27</f>
        <v>0</v>
      </c>
      <c r="Y27" s="693"/>
      <c r="Z27" s="693">
        <f t="shared" si="6"/>
        <v>0</v>
      </c>
      <c r="AA27" s="690">
        <f t="shared" si="7"/>
        <v>0</v>
      </c>
      <c r="AB27" s="690">
        <f t="shared" si="7"/>
        <v>0</v>
      </c>
      <c r="AC27" s="690">
        <f t="shared" si="7"/>
        <v>0</v>
      </c>
      <c r="AD27" s="694">
        <f t="shared" si="10"/>
        <v>1600</v>
      </c>
      <c r="AE27" s="694">
        <f t="shared" si="10"/>
        <v>405</v>
      </c>
      <c r="AF27" s="694">
        <f t="shared" si="10"/>
        <v>2005</v>
      </c>
      <c r="AG27" s="692" t="s">
        <v>758</v>
      </c>
      <c r="AH27" s="693">
        <f>'[3]int.bevételek RM I'!AJ27</f>
        <v>1228</v>
      </c>
      <c r="AI27" s="693"/>
      <c r="AJ27" s="693">
        <f t="shared" si="8"/>
        <v>1228</v>
      </c>
      <c r="AK27" s="690">
        <f>'[3]int.bevételek RM I'!AM27</f>
        <v>121141</v>
      </c>
      <c r="AL27" s="690">
        <v>700</v>
      </c>
      <c r="AM27" s="690">
        <f t="shared" si="11"/>
        <v>121841</v>
      </c>
      <c r="AN27" s="690">
        <f t="shared" si="9"/>
        <v>123969</v>
      </c>
      <c r="AO27" s="690">
        <f t="shared" si="9"/>
        <v>1105</v>
      </c>
      <c r="AP27" s="690">
        <f t="shared" si="9"/>
        <v>125074</v>
      </c>
    </row>
    <row r="28" spans="1:42" ht="57.75" customHeight="1" thickBot="1" x14ac:dyDescent="0.75">
      <c r="A28" s="696" t="s">
        <v>759</v>
      </c>
      <c r="B28" s="697">
        <f t="shared" ref="B28:P28" si="13">SUM(B10:B27)</f>
        <v>24733</v>
      </c>
      <c r="C28" s="697">
        <f t="shared" si="13"/>
        <v>2587</v>
      </c>
      <c r="D28" s="697">
        <f t="shared" si="13"/>
        <v>27320</v>
      </c>
      <c r="E28" s="697">
        <f t="shared" si="13"/>
        <v>568</v>
      </c>
      <c r="F28" s="697">
        <f t="shared" si="13"/>
        <v>0</v>
      </c>
      <c r="G28" s="697">
        <f t="shared" si="13"/>
        <v>568</v>
      </c>
      <c r="H28" s="697">
        <f t="shared" si="13"/>
        <v>0</v>
      </c>
      <c r="I28" s="697">
        <f t="shared" si="13"/>
        <v>86</v>
      </c>
      <c r="J28" s="697">
        <f t="shared" si="13"/>
        <v>86</v>
      </c>
      <c r="K28" s="697">
        <f t="shared" si="13"/>
        <v>0</v>
      </c>
      <c r="L28" s="697">
        <f t="shared" si="13"/>
        <v>0</v>
      </c>
      <c r="M28" s="697">
        <f t="shared" si="13"/>
        <v>0</v>
      </c>
      <c r="N28" s="697">
        <f t="shared" si="13"/>
        <v>25301</v>
      </c>
      <c r="O28" s="697">
        <f t="shared" si="13"/>
        <v>2673</v>
      </c>
      <c r="P28" s="697">
        <f t="shared" si="13"/>
        <v>27974</v>
      </c>
      <c r="Q28" s="696" t="s">
        <v>759</v>
      </c>
      <c r="R28" s="697">
        <f t="shared" ref="R28:AC28" si="14">SUM(R10:R27)</f>
        <v>0</v>
      </c>
      <c r="S28" s="697">
        <f t="shared" si="14"/>
        <v>0</v>
      </c>
      <c r="T28" s="697">
        <f t="shared" si="14"/>
        <v>0</v>
      </c>
      <c r="U28" s="697">
        <f t="shared" si="14"/>
        <v>0</v>
      </c>
      <c r="V28" s="697">
        <f t="shared" si="14"/>
        <v>0</v>
      </c>
      <c r="W28" s="697">
        <f t="shared" si="14"/>
        <v>0</v>
      </c>
      <c r="X28" s="697">
        <f t="shared" si="14"/>
        <v>0</v>
      </c>
      <c r="Y28" s="697">
        <f t="shared" si="14"/>
        <v>0</v>
      </c>
      <c r="Z28" s="697">
        <f t="shared" si="14"/>
        <v>0</v>
      </c>
      <c r="AA28" s="697">
        <f t="shared" si="14"/>
        <v>0</v>
      </c>
      <c r="AB28" s="697">
        <f t="shared" si="14"/>
        <v>0</v>
      </c>
      <c r="AC28" s="697">
        <f t="shared" si="14"/>
        <v>0</v>
      </c>
      <c r="AD28" s="739">
        <f t="shared" si="10"/>
        <v>25301</v>
      </c>
      <c r="AE28" s="739">
        <f t="shared" si="10"/>
        <v>2673</v>
      </c>
      <c r="AF28" s="697">
        <f t="shared" si="10"/>
        <v>27974</v>
      </c>
      <c r="AG28" s="696" t="s">
        <v>759</v>
      </c>
      <c r="AH28" s="697">
        <f>SUM(AH10:AH27)</f>
        <v>32923</v>
      </c>
      <c r="AI28" s="697">
        <f>SUM(AI10:AI27)</f>
        <v>0</v>
      </c>
      <c r="AJ28" s="697">
        <f>SUM(AJ10:AJ27)</f>
        <v>32923</v>
      </c>
      <c r="AK28" s="697">
        <f t="shared" ref="AK28:AP28" si="15">SUM(AK10:AK27)</f>
        <v>4116824</v>
      </c>
      <c r="AL28" s="697">
        <f t="shared" si="15"/>
        <v>54265</v>
      </c>
      <c r="AM28" s="697">
        <f t="shared" si="15"/>
        <v>4171089</v>
      </c>
      <c r="AN28" s="697">
        <f t="shared" si="15"/>
        <v>4175048</v>
      </c>
      <c r="AO28" s="697">
        <f t="shared" si="15"/>
        <v>56938</v>
      </c>
      <c r="AP28" s="697">
        <f t="shared" si="15"/>
        <v>4231986</v>
      </c>
    </row>
    <row r="29" spans="1:42" ht="63.75" customHeight="1" thickBot="1" x14ac:dyDescent="0.75">
      <c r="A29" s="700" t="s">
        <v>666</v>
      </c>
      <c r="B29" s="688">
        <f>'[3]int.bevételek RM I'!D29</f>
        <v>694181</v>
      </c>
      <c r="C29" s="701">
        <v>1084</v>
      </c>
      <c r="D29" s="701">
        <f>SUM(B29:C29)</f>
        <v>695265</v>
      </c>
      <c r="E29" s="688">
        <f>'[3]int.bevételek RM I'!G29</f>
        <v>1539</v>
      </c>
      <c r="F29" s="701">
        <v>2030</v>
      </c>
      <c r="G29" s="701">
        <f>SUM(E29:F29)</f>
        <v>3569</v>
      </c>
      <c r="H29" s="701">
        <f>'[3]int.bevételek RM I'!J29</f>
        <v>0</v>
      </c>
      <c r="I29" s="701"/>
      <c r="J29" s="701">
        <f>SUM(H29:I29)</f>
        <v>0</v>
      </c>
      <c r="K29" s="701">
        <f>'[3]int.bevételek RM I'!M29</f>
        <v>0</v>
      </c>
      <c r="L29" s="701"/>
      <c r="M29" s="701">
        <f>SUM(K29:L29)</f>
        <v>0</v>
      </c>
      <c r="N29" s="690">
        <f>B29+E29+H29+K29</f>
        <v>695720</v>
      </c>
      <c r="O29" s="690">
        <f>C29+F29+I29+L29</f>
        <v>3114</v>
      </c>
      <c r="P29" s="690">
        <f>D29+G29+J29+M29</f>
        <v>698834</v>
      </c>
      <c r="Q29" s="700" t="s">
        <v>666</v>
      </c>
      <c r="R29" s="701">
        <f>'[3]int.bevételek RM I'!T29</f>
        <v>0</v>
      </c>
      <c r="S29" s="701"/>
      <c r="T29" s="701">
        <f>SUM(R29:S29)</f>
        <v>0</v>
      </c>
      <c r="U29" s="701">
        <f>'[3]int.bevételek RM I'!W29</f>
        <v>0</v>
      </c>
      <c r="V29" s="701"/>
      <c r="W29" s="701">
        <f>SUM(U29:V29)</f>
        <v>0</v>
      </c>
      <c r="X29" s="701">
        <f>'[3]int.bevételek RM I'!Z29</f>
        <v>0</v>
      </c>
      <c r="Y29" s="701"/>
      <c r="Z29" s="701">
        <f>SUM(X29:Y29)</f>
        <v>0</v>
      </c>
      <c r="AA29" s="690">
        <f>R29+U29+X29</f>
        <v>0</v>
      </c>
      <c r="AB29" s="690">
        <f>S29+V29+Y29</f>
        <v>0</v>
      </c>
      <c r="AC29" s="690">
        <f>T29+W29+Z29</f>
        <v>0</v>
      </c>
      <c r="AD29" s="740">
        <f t="shared" si="10"/>
        <v>695720</v>
      </c>
      <c r="AE29" s="740">
        <f t="shared" si="10"/>
        <v>3114</v>
      </c>
      <c r="AF29" s="697">
        <f t="shared" si="10"/>
        <v>698834</v>
      </c>
      <c r="AG29" s="700" t="s">
        <v>666</v>
      </c>
      <c r="AH29" s="701">
        <f>'[3]int.bevételek RM I'!AJ29</f>
        <v>5542</v>
      </c>
      <c r="AI29" s="701"/>
      <c r="AJ29" s="701">
        <f>SUM(AH29:AI29)</f>
        <v>5542</v>
      </c>
      <c r="AK29" s="690">
        <f>'[3]int.bevételek RM I'!AM29</f>
        <v>2086397</v>
      </c>
      <c r="AL29" s="690">
        <v>12700</v>
      </c>
      <c r="AM29" s="690">
        <f>SUM(AK29:AL29)</f>
        <v>2099097</v>
      </c>
      <c r="AN29" s="690">
        <f>N29+AA29+AH29+AK29</f>
        <v>2787659</v>
      </c>
      <c r="AO29" s="690">
        <f>O29+AB29+AI29+AL29</f>
        <v>15814</v>
      </c>
      <c r="AP29" s="690">
        <f>P29+AC29+AJ29+AM29</f>
        <v>2803473</v>
      </c>
    </row>
    <row r="30" spans="1:42" ht="67.5" customHeight="1" thickBot="1" x14ac:dyDescent="0.75">
      <c r="A30" s="699" t="s">
        <v>760</v>
      </c>
      <c r="B30" s="697">
        <f t="shared" ref="B30:P30" si="16">B28+B29</f>
        <v>718914</v>
      </c>
      <c r="C30" s="697">
        <f t="shared" si="16"/>
        <v>3671</v>
      </c>
      <c r="D30" s="697">
        <f t="shared" si="16"/>
        <v>722585</v>
      </c>
      <c r="E30" s="697">
        <f t="shared" si="16"/>
        <v>2107</v>
      </c>
      <c r="F30" s="697">
        <f t="shared" si="16"/>
        <v>2030</v>
      </c>
      <c r="G30" s="697">
        <f t="shared" si="16"/>
        <v>4137</v>
      </c>
      <c r="H30" s="697">
        <f t="shared" si="16"/>
        <v>0</v>
      </c>
      <c r="I30" s="697">
        <f t="shared" si="16"/>
        <v>86</v>
      </c>
      <c r="J30" s="697">
        <f t="shared" si="16"/>
        <v>86</v>
      </c>
      <c r="K30" s="697">
        <f t="shared" si="16"/>
        <v>0</v>
      </c>
      <c r="L30" s="697">
        <f t="shared" si="16"/>
        <v>0</v>
      </c>
      <c r="M30" s="697">
        <f t="shared" si="16"/>
        <v>0</v>
      </c>
      <c r="N30" s="697">
        <f t="shared" si="16"/>
        <v>721021</v>
      </c>
      <c r="O30" s="697">
        <f t="shared" si="16"/>
        <v>5787</v>
      </c>
      <c r="P30" s="697">
        <f t="shared" si="16"/>
        <v>726808</v>
      </c>
      <c r="Q30" s="699" t="s">
        <v>760</v>
      </c>
      <c r="R30" s="697">
        <f t="shared" ref="R30:AC30" si="17">R28+R29</f>
        <v>0</v>
      </c>
      <c r="S30" s="697">
        <f t="shared" si="17"/>
        <v>0</v>
      </c>
      <c r="T30" s="697">
        <f t="shared" si="17"/>
        <v>0</v>
      </c>
      <c r="U30" s="697">
        <f t="shared" si="17"/>
        <v>0</v>
      </c>
      <c r="V30" s="697">
        <f t="shared" si="17"/>
        <v>0</v>
      </c>
      <c r="W30" s="697">
        <f t="shared" si="17"/>
        <v>0</v>
      </c>
      <c r="X30" s="697">
        <f t="shared" si="17"/>
        <v>0</v>
      </c>
      <c r="Y30" s="697">
        <f t="shared" si="17"/>
        <v>0</v>
      </c>
      <c r="Z30" s="697">
        <f t="shared" si="17"/>
        <v>0</v>
      </c>
      <c r="AA30" s="697">
        <f t="shared" si="17"/>
        <v>0</v>
      </c>
      <c r="AB30" s="697">
        <f t="shared" si="17"/>
        <v>0</v>
      </c>
      <c r="AC30" s="697">
        <f t="shared" si="17"/>
        <v>0</v>
      </c>
      <c r="AD30" s="739">
        <f t="shared" si="10"/>
        <v>721021</v>
      </c>
      <c r="AE30" s="739">
        <f t="shared" si="10"/>
        <v>5787</v>
      </c>
      <c r="AF30" s="697">
        <f t="shared" si="10"/>
        <v>726808</v>
      </c>
      <c r="AG30" s="699" t="s">
        <v>760</v>
      </c>
      <c r="AH30" s="697">
        <f>AH28+AH29</f>
        <v>38465</v>
      </c>
      <c r="AI30" s="697">
        <f>AI28+AI29</f>
        <v>0</v>
      </c>
      <c r="AJ30" s="697">
        <f>AJ28+AJ29</f>
        <v>38465</v>
      </c>
      <c r="AK30" s="697">
        <f t="shared" ref="AK30:AP30" si="18">AK28+AK29</f>
        <v>6203221</v>
      </c>
      <c r="AL30" s="697">
        <f t="shared" si="18"/>
        <v>66965</v>
      </c>
      <c r="AM30" s="697">
        <f t="shared" si="18"/>
        <v>6270186</v>
      </c>
      <c r="AN30" s="697">
        <f t="shared" si="18"/>
        <v>6962707</v>
      </c>
      <c r="AO30" s="697">
        <f t="shared" si="18"/>
        <v>72752</v>
      </c>
      <c r="AP30" s="697">
        <f t="shared" si="18"/>
        <v>7035459</v>
      </c>
    </row>
    <row r="31" spans="1:42" ht="48.75" customHeight="1" x14ac:dyDescent="0.7">
      <c r="A31" s="678" t="s">
        <v>761</v>
      </c>
      <c r="B31" s="703"/>
      <c r="C31" s="685"/>
      <c r="D31" s="685"/>
      <c r="E31" s="685"/>
      <c r="F31" s="685"/>
      <c r="G31" s="685"/>
      <c r="H31" s="703"/>
      <c r="I31" s="703"/>
      <c r="J31" s="685"/>
      <c r="K31" s="703"/>
      <c r="L31" s="703"/>
      <c r="M31" s="685"/>
      <c r="N31" s="685"/>
      <c r="O31" s="685"/>
      <c r="P31" s="703"/>
      <c r="Q31" s="678" t="s">
        <v>761</v>
      </c>
      <c r="R31" s="703"/>
      <c r="S31" s="685"/>
      <c r="T31" s="685"/>
      <c r="U31" s="685"/>
      <c r="V31" s="685"/>
      <c r="W31" s="703"/>
      <c r="X31" s="703"/>
      <c r="Y31" s="685"/>
      <c r="Z31" s="685"/>
      <c r="AA31" s="703"/>
      <c r="AB31" s="685"/>
      <c r="AC31" s="703"/>
      <c r="AD31" s="703"/>
      <c r="AE31" s="703"/>
      <c r="AF31" s="703"/>
      <c r="AG31" s="680" t="s">
        <v>761</v>
      </c>
      <c r="AH31" s="685"/>
      <c r="AI31" s="703"/>
      <c r="AJ31" s="685"/>
      <c r="AK31" s="703"/>
      <c r="AL31" s="703"/>
      <c r="AM31" s="703"/>
      <c r="AN31" s="685"/>
      <c r="AO31" s="685"/>
      <c r="AP31" s="703"/>
    </row>
    <row r="32" spans="1:42" ht="48.75" customHeight="1" x14ac:dyDescent="0.7">
      <c r="A32" s="741" t="s">
        <v>762</v>
      </c>
      <c r="B32" s="703"/>
      <c r="C32" s="703"/>
      <c r="D32" s="742"/>
      <c r="E32" s="703"/>
      <c r="F32" s="703"/>
      <c r="G32" s="703"/>
      <c r="H32" s="703"/>
      <c r="I32" s="703"/>
      <c r="J32" s="703"/>
      <c r="K32" s="703"/>
      <c r="L32" s="703"/>
      <c r="M32" s="703"/>
      <c r="N32" s="703"/>
      <c r="O32" s="703"/>
      <c r="P32" s="703"/>
      <c r="Q32" s="704" t="s">
        <v>762</v>
      </c>
      <c r="R32" s="703"/>
      <c r="S32" s="703"/>
      <c r="T32" s="703"/>
      <c r="U32" s="703"/>
      <c r="V32" s="703"/>
      <c r="W32" s="703"/>
      <c r="X32" s="703"/>
      <c r="Y32" s="703"/>
      <c r="Z32" s="703"/>
      <c r="AA32" s="703"/>
      <c r="AB32" s="703"/>
      <c r="AC32" s="703"/>
      <c r="AD32" s="703"/>
      <c r="AE32" s="703"/>
      <c r="AF32" s="703"/>
      <c r="AG32" s="704" t="s">
        <v>762</v>
      </c>
      <c r="AH32" s="703"/>
      <c r="AI32" s="703"/>
      <c r="AJ32" s="703"/>
      <c r="AK32" s="703"/>
      <c r="AL32" s="703"/>
      <c r="AM32" s="703"/>
      <c r="AN32" s="703"/>
      <c r="AO32" s="703"/>
      <c r="AP32" s="703"/>
    </row>
    <row r="33" spans="1:42" ht="48.75" customHeight="1" x14ac:dyDescent="0.7">
      <c r="A33" s="705" t="s">
        <v>96</v>
      </c>
      <c r="B33" s="688">
        <f>'[3]int.bevételek RM I'!D33</f>
        <v>38471</v>
      </c>
      <c r="C33" s="688"/>
      <c r="D33" s="688">
        <f>SUM(B33:C33)</f>
        <v>38471</v>
      </c>
      <c r="E33" s="688">
        <f>'[3]int.bevételek RM I'!G33</f>
        <v>88087</v>
      </c>
      <c r="F33" s="688"/>
      <c r="G33" s="688">
        <f>SUM(E33:F33)</f>
        <v>88087</v>
      </c>
      <c r="H33" s="688">
        <f>'[3]int.bevételek RM I'!J33</f>
        <v>0</v>
      </c>
      <c r="I33" s="688"/>
      <c r="J33" s="688">
        <f>SUM(H33:I33)</f>
        <v>0</v>
      </c>
      <c r="K33" s="693">
        <f>'[3]int.bevételek RM I'!M33</f>
        <v>0</v>
      </c>
      <c r="L33" s="693"/>
      <c r="M33" s="688">
        <f>SUM(K33:L33)</f>
        <v>0</v>
      </c>
      <c r="N33" s="690">
        <f t="shared" ref="N33:O36" si="19">B33+E33+H33+K33</f>
        <v>126558</v>
      </c>
      <c r="O33" s="690">
        <f t="shared" si="19"/>
        <v>0</v>
      </c>
      <c r="P33" s="690">
        <f>D33+G33+J33+M33</f>
        <v>126558</v>
      </c>
      <c r="Q33" s="705" t="s">
        <v>96</v>
      </c>
      <c r="R33" s="688">
        <f>'[3]int.bevételek RM I'!T33</f>
        <v>0</v>
      </c>
      <c r="S33" s="688"/>
      <c r="T33" s="688">
        <f>SUM(R33:S33)</f>
        <v>0</v>
      </c>
      <c r="U33" s="688">
        <f>'[3]int.bevételek RM I'!W33</f>
        <v>0</v>
      </c>
      <c r="V33" s="688"/>
      <c r="W33" s="688">
        <f>SUM(U33:V33)</f>
        <v>0</v>
      </c>
      <c r="X33" s="688">
        <f>'[3]int.bevételek RM I'!Z33</f>
        <v>0</v>
      </c>
      <c r="Y33" s="688"/>
      <c r="Z33" s="688">
        <f>SUM(X33:Y33)</f>
        <v>0</v>
      </c>
      <c r="AA33" s="690">
        <f t="shared" ref="AA33:AC36" si="20">R33+U33+X33</f>
        <v>0</v>
      </c>
      <c r="AB33" s="690">
        <f t="shared" si="20"/>
        <v>0</v>
      </c>
      <c r="AC33" s="690">
        <f t="shared" si="20"/>
        <v>0</v>
      </c>
      <c r="AD33" s="690">
        <f t="shared" si="10"/>
        <v>126558</v>
      </c>
      <c r="AE33" s="690">
        <f t="shared" si="10"/>
        <v>0</v>
      </c>
      <c r="AF33" s="690">
        <f t="shared" si="10"/>
        <v>126558</v>
      </c>
      <c r="AG33" s="705" t="s">
        <v>96</v>
      </c>
      <c r="AH33" s="688">
        <f>'[3]int.bevételek RM I'!AJ33</f>
        <v>53284</v>
      </c>
      <c r="AI33" s="688"/>
      <c r="AJ33" s="688">
        <f>SUM(AH33:AI33)</f>
        <v>53284</v>
      </c>
      <c r="AK33" s="690">
        <f>'[3]int.bevételek RM I'!AM33</f>
        <v>125736</v>
      </c>
      <c r="AL33" s="690"/>
      <c r="AM33" s="690">
        <f>SUM(AK33:AL33)</f>
        <v>125736</v>
      </c>
      <c r="AN33" s="690">
        <f t="shared" ref="AN33:AP36" si="21">N33+AA33+AH33+AK33</f>
        <v>305578</v>
      </c>
      <c r="AO33" s="690">
        <f t="shared" si="21"/>
        <v>0</v>
      </c>
      <c r="AP33" s="690">
        <f t="shared" si="21"/>
        <v>305578</v>
      </c>
    </row>
    <row r="34" spans="1:42" ht="48.75" customHeight="1" x14ac:dyDescent="0.7">
      <c r="A34" s="691" t="s">
        <v>763</v>
      </c>
      <c r="B34" s="688">
        <f>'[3]int.bevételek RM I'!D34</f>
        <v>133344</v>
      </c>
      <c r="C34" s="706"/>
      <c r="D34" s="706">
        <f>SUM(B34:C34)</f>
        <v>133344</v>
      </c>
      <c r="E34" s="688">
        <f>'[3]int.bevételek RM I'!G34</f>
        <v>208152</v>
      </c>
      <c r="F34" s="706"/>
      <c r="G34" s="706">
        <f>SUM(E34:F34)</f>
        <v>208152</v>
      </c>
      <c r="H34" s="706">
        <f>'[3]int.bevételek RM I'!J34</f>
        <v>0</v>
      </c>
      <c r="I34" s="706"/>
      <c r="J34" s="706">
        <f>SUM(H34:I34)</f>
        <v>0</v>
      </c>
      <c r="K34" s="706">
        <f>'[3]int.bevételek RM I'!M34</f>
        <v>0</v>
      </c>
      <c r="L34" s="706"/>
      <c r="M34" s="688">
        <f>SUM(K34:L34)</f>
        <v>0</v>
      </c>
      <c r="N34" s="690">
        <f t="shared" si="19"/>
        <v>341496</v>
      </c>
      <c r="O34" s="690">
        <f t="shared" si="19"/>
        <v>0</v>
      </c>
      <c r="P34" s="690">
        <f>D34+G34+J34+M34</f>
        <v>341496</v>
      </c>
      <c r="Q34" s="691" t="s">
        <v>763</v>
      </c>
      <c r="R34" s="706">
        <f>'[3]int.bevételek RM I'!T34</f>
        <v>0</v>
      </c>
      <c r="S34" s="706"/>
      <c r="T34" s="706">
        <f>SUM(R34:S34)</f>
        <v>0</v>
      </c>
      <c r="U34" s="706">
        <f>'[3]int.bevételek RM I'!W34</f>
        <v>12000</v>
      </c>
      <c r="V34" s="706"/>
      <c r="W34" s="706">
        <f>SUM(U34:V34)</f>
        <v>12000</v>
      </c>
      <c r="X34" s="706">
        <f>'[3]int.bevételek RM I'!Z34</f>
        <v>0</v>
      </c>
      <c r="Y34" s="706"/>
      <c r="Z34" s="706">
        <f>SUM(X34:Y34)</f>
        <v>0</v>
      </c>
      <c r="AA34" s="690">
        <f t="shared" si="20"/>
        <v>12000</v>
      </c>
      <c r="AB34" s="690">
        <f t="shared" si="20"/>
        <v>0</v>
      </c>
      <c r="AC34" s="690">
        <f t="shared" si="20"/>
        <v>12000</v>
      </c>
      <c r="AD34" s="690">
        <f t="shared" si="10"/>
        <v>353496</v>
      </c>
      <c r="AE34" s="690">
        <f t="shared" si="10"/>
        <v>0</v>
      </c>
      <c r="AF34" s="690">
        <f t="shared" si="10"/>
        <v>353496</v>
      </c>
      <c r="AG34" s="691" t="s">
        <v>763</v>
      </c>
      <c r="AH34" s="688">
        <f>'[3]int.bevételek RM I'!AJ34</f>
        <v>304325</v>
      </c>
      <c r="AI34" s="688"/>
      <c r="AJ34" s="688">
        <f>SUM(AH34:AI34)</f>
        <v>304325</v>
      </c>
      <c r="AK34" s="690">
        <f>'[3]int.bevételek RM I'!AM34</f>
        <v>644378</v>
      </c>
      <c r="AL34" s="690">
        <v>426</v>
      </c>
      <c r="AM34" s="690">
        <f>SUM(AK34:AL34)</f>
        <v>644804</v>
      </c>
      <c r="AN34" s="690">
        <f t="shared" si="21"/>
        <v>1302199</v>
      </c>
      <c r="AO34" s="690">
        <f t="shared" si="21"/>
        <v>426</v>
      </c>
      <c r="AP34" s="690">
        <f t="shared" si="21"/>
        <v>1302625</v>
      </c>
    </row>
    <row r="35" spans="1:42" ht="48.75" customHeight="1" x14ac:dyDescent="0.7">
      <c r="A35" s="691" t="s">
        <v>764</v>
      </c>
      <c r="B35" s="688">
        <f>'[3]int.bevételek RM I'!D35</f>
        <v>34400</v>
      </c>
      <c r="C35" s="706"/>
      <c r="D35" s="706">
        <f>SUM(B35:C35)</f>
        <v>34400</v>
      </c>
      <c r="E35" s="688">
        <f>'[3]int.bevételek RM I'!G35</f>
        <v>7000</v>
      </c>
      <c r="F35" s="706">
        <v>5675</v>
      </c>
      <c r="G35" s="706">
        <f>SUM(E35:F35)</f>
        <v>12675</v>
      </c>
      <c r="H35" s="706">
        <f>'[3]int.bevételek RM I'!J35</f>
        <v>0</v>
      </c>
      <c r="I35" s="706"/>
      <c r="J35" s="706">
        <f>SUM(H35:I35)</f>
        <v>0</v>
      </c>
      <c r="K35" s="706">
        <f>'[3]int.bevételek RM I'!M35</f>
        <v>0</v>
      </c>
      <c r="L35" s="706"/>
      <c r="M35" s="688">
        <f>SUM(K35:L35)</f>
        <v>0</v>
      </c>
      <c r="N35" s="690">
        <f t="shared" si="19"/>
        <v>41400</v>
      </c>
      <c r="O35" s="690">
        <f t="shared" si="19"/>
        <v>5675</v>
      </c>
      <c r="P35" s="690">
        <f>D35+G35+J35+M35</f>
        <v>47075</v>
      </c>
      <c r="Q35" s="691" t="s">
        <v>764</v>
      </c>
      <c r="R35" s="706">
        <f>'[3]int.bevételek RM I'!T35</f>
        <v>0</v>
      </c>
      <c r="S35" s="706"/>
      <c r="T35" s="706">
        <f>SUM(R35:S35)</f>
        <v>0</v>
      </c>
      <c r="U35" s="706">
        <f>'[3]int.bevételek RM I'!W35</f>
        <v>0</v>
      </c>
      <c r="V35" s="706"/>
      <c r="W35" s="706">
        <f>SUM(U35:V35)</f>
        <v>0</v>
      </c>
      <c r="X35" s="706">
        <f>'[3]int.bevételek RM I'!Z35</f>
        <v>0</v>
      </c>
      <c r="Y35" s="706"/>
      <c r="Z35" s="706">
        <f>SUM(X35:Y35)</f>
        <v>0</v>
      </c>
      <c r="AA35" s="690">
        <f t="shared" si="20"/>
        <v>0</v>
      </c>
      <c r="AB35" s="690">
        <f t="shared" si="20"/>
        <v>0</v>
      </c>
      <c r="AC35" s="690">
        <f t="shared" si="20"/>
        <v>0</v>
      </c>
      <c r="AD35" s="690">
        <f t="shared" si="10"/>
        <v>41400</v>
      </c>
      <c r="AE35" s="690">
        <f t="shared" si="10"/>
        <v>5675</v>
      </c>
      <c r="AF35" s="690">
        <f t="shared" si="10"/>
        <v>47075</v>
      </c>
      <c r="AG35" s="691" t="s">
        <v>764</v>
      </c>
      <c r="AH35" s="706">
        <f>'[3]int.bevételek RM I'!AJ35</f>
        <v>32419</v>
      </c>
      <c r="AI35" s="706"/>
      <c r="AJ35" s="706">
        <f>SUM(AH35:AI35)</f>
        <v>32419</v>
      </c>
      <c r="AK35" s="690">
        <f>'[3]int.bevételek RM I'!AM35</f>
        <v>532286</v>
      </c>
      <c r="AL35" s="690"/>
      <c r="AM35" s="690">
        <f>SUM(AK35:AL35)</f>
        <v>532286</v>
      </c>
      <c r="AN35" s="690">
        <f t="shared" si="21"/>
        <v>606105</v>
      </c>
      <c r="AO35" s="690">
        <f t="shared" si="21"/>
        <v>5675</v>
      </c>
      <c r="AP35" s="690">
        <f t="shared" si="21"/>
        <v>611780</v>
      </c>
    </row>
    <row r="36" spans="1:42" ht="48.75" customHeight="1" thickBot="1" x14ac:dyDescent="0.75">
      <c r="A36" s="707" t="s">
        <v>453</v>
      </c>
      <c r="B36" s="688">
        <f>'[3]int.bevételek RM I'!D36</f>
        <v>154078</v>
      </c>
      <c r="C36" s="706"/>
      <c r="D36" s="706">
        <f>SUM(B36:C36)</f>
        <v>154078</v>
      </c>
      <c r="E36" s="688">
        <f>'[3]int.bevételek RM I'!G36</f>
        <v>52707</v>
      </c>
      <c r="F36" s="706">
        <v>24962</v>
      </c>
      <c r="G36" s="706">
        <f>SUM(E36:F36)</f>
        <v>77669</v>
      </c>
      <c r="H36" s="706">
        <f>'[3]int.bevételek RM I'!J36</f>
        <v>0</v>
      </c>
      <c r="I36" s="706"/>
      <c r="J36" s="706">
        <f>SUM(H36:I36)</f>
        <v>0</v>
      </c>
      <c r="K36" s="743">
        <f>'[3]int.bevételek RM I'!M36</f>
        <v>0</v>
      </c>
      <c r="L36" s="743"/>
      <c r="M36" s="688">
        <f>SUM(K36:L36)</f>
        <v>0</v>
      </c>
      <c r="N36" s="690">
        <f t="shared" si="19"/>
        <v>206785</v>
      </c>
      <c r="O36" s="690">
        <f t="shared" si="19"/>
        <v>24962</v>
      </c>
      <c r="P36" s="690">
        <f>D36+G36+J36+M36</f>
        <v>231747</v>
      </c>
      <c r="Q36" s="707" t="s">
        <v>453</v>
      </c>
      <c r="R36" s="706">
        <f>'[3]int.bevételek RM I'!T36</f>
        <v>0</v>
      </c>
      <c r="S36" s="706"/>
      <c r="T36" s="706">
        <f>SUM(R36:S36)</f>
        <v>0</v>
      </c>
      <c r="U36" s="706">
        <f>'[3]int.bevételek RM I'!W36</f>
        <v>600</v>
      </c>
      <c r="V36" s="706"/>
      <c r="W36" s="706">
        <f>SUM(U36:V36)</f>
        <v>600</v>
      </c>
      <c r="X36" s="706">
        <f>'[3]int.bevételek RM I'!Z36</f>
        <v>0</v>
      </c>
      <c r="Y36" s="706"/>
      <c r="Z36" s="706">
        <f>SUM(X36:Y36)</f>
        <v>0</v>
      </c>
      <c r="AA36" s="690">
        <f t="shared" si="20"/>
        <v>600</v>
      </c>
      <c r="AB36" s="690">
        <f t="shared" si="20"/>
        <v>0</v>
      </c>
      <c r="AC36" s="690">
        <f t="shared" si="20"/>
        <v>600</v>
      </c>
      <c r="AD36" s="703">
        <f t="shared" si="10"/>
        <v>207385</v>
      </c>
      <c r="AE36" s="703">
        <f t="shared" si="10"/>
        <v>24962</v>
      </c>
      <c r="AF36" s="703">
        <f t="shared" si="10"/>
        <v>232347</v>
      </c>
      <c r="AG36" s="707" t="s">
        <v>453</v>
      </c>
      <c r="AH36" s="706">
        <f>'[3]int.bevételek RM I'!AJ36</f>
        <v>71319</v>
      </c>
      <c r="AI36" s="706"/>
      <c r="AJ36" s="706">
        <f>SUM(AH36:AI36)</f>
        <v>71319</v>
      </c>
      <c r="AK36" s="690">
        <f>'[3]int.bevételek RM I'!AM36</f>
        <v>808506</v>
      </c>
      <c r="AL36" s="690">
        <v>640</v>
      </c>
      <c r="AM36" s="690">
        <f>SUM(AK36:AL36)</f>
        <v>809146</v>
      </c>
      <c r="AN36" s="690">
        <f t="shared" si="21"/>
        <v>1087210</v>
      </c>
      <c r="AO36" s="690">
        <f t="shared" si="21"/>
        <v>25602</v>
      </c>
      <c r="AP36" s="690">
        <f t="shared" si="21"/>
        <v>1112812</v>
      </c>
    </row>
    <row r="37" spans="1:42" ht="61.5" customHeight="1" thickBot="1" x14ac:dyDescent="0.75">
      <c r="A37" s="702" t="s">
        <v>765</v>
      </c>
      <c r="B37" s="697">
        <f t="shared" ref="B37:P37" si="22">SUM(B33:B36)</f>
        <v>360293</v>
      </c>
      <c r="C37" s="697">
        <f t="shared" si="22"/>
        <v>0</v>
      </c>
      <c r="D37" s="697">
        <f t="shared" si="22"/>
        <v>360293</v>
      </c>
      <c r="E37" s="697">
        <f t="shared" si="22"/>
        <v>355946</v>
      </c>
      <c r="F37" s="697">
        <f t="shared" si="22"/>
        <v>30637</v>
      </c>
      <c r="G37" s="697">
        <f t="shared" si="22"/>
        <v>386583</v>
      </c>
      <c r="H37" s="697">
        <f t="shared" si="22"/>
        <v>0</v>
      </c>
      <c r="I37" s="697">
        <f t="shared" si="22"/>
        <v>0</v>
      </c>
      <c r="J37" s="697">
        <f t="shared" si="22"/>
        <v>0</v>
      </c>
      <c r="K37" s="697">
        <f t="shared" si="22"/>
        <v>0</v>
      </c>
      <c r="L37" s="697">
        <f t="shared" si="22"/>
        <v>0</v>
      </c>
      <c r="M37" s="697">
        <f t="shared" si="22"/>
        <v>0</v>
      </c>
      <c r="N37" s="697">
        <f t="shared" si="22"/>
        <v>716239</v>
      </c>
      <c r="O37" s="697">
        <f t="shared" si="22"/>
        <v>30637</v>
      </c>
      <c r="P37" s="697">
        <f t="shared" si="22"/>
        <v>746876</v>
      </c>
      <c r="Q37" s="702" t="s">
        <v>765</v>
      </c>
      <c r="R37" s="697">
        <f t="shared" ref="R37:AC37" si="23">SUM(R33:R36)</f>
        <v>0</v>
      </c>
      <c r="S37" s="697">
        <f t="shared" si="23"/>
        <v>0</v>
      </c>
      <c r="T37" s="697">
        <f t="shared" si="23"/>
        <v>0</v>
      </c>
      <c r="U37" s="697">
        <f t="shared" si="23"/>
        <v>12600</v>
      </c>
      <c r="V37" s="697">
        <f t="shared" si="23"/>
        <v>0</v>
      </c>
      <c r="W37" s="697">
        <f t="shared" si="23"/>
        <v>12600</v>
      </c>
      <c r="X37" s="697">
        <f t="shared" si="23"/>
        <v>0</v>
      </c>
      <c r="Y37" s="697">
        <f t="shared" si="23"/>
        <v>0</v>
      </c>
      <c r="Z37" s="697">
        <f t="shared" si="23"/>
        <v>0</v>
      </c>
      <c r="AA37" s="697">
        <f t="shared" si="23"/>
        <v>12600</v>
      </c>
      <c r="AB37" s="697">
        <f t="shared" si="23"/>
        <v>0</v>
      </c>
      <c r="AC37" s="697">
        <f t="shared" si="23"/>
        <v>12600</v>
      </c>
      <c r="AD37" s="697">
        <f t="shared" si="10"/>
        <v>728839</v>
      </c>
      <c r="AE37" s="697">
        <f t="shared" si="10"/>
        <v>30637</v>
      </c>
      <c r="AF37" s="697">
        <f t="shared" si="10"/>
        <v>759476</v>
      </c>
      <c r="AG37" s="702" t="s">
        <v>765</v>
      </c>
      <c r="AH37" s="697">
        <f t="shared" ref="AH37:AP37" si="24">SUM(AH33:AH36)</f>
        <v>461347</v>
      </c>
      <c r="AI37" s="697">
        <f t="shared" si="24"/>
        <v>0</v>
      </c>
      <c r="AJ37" s="697">
        <f t="shared" si="24"/>
        <v>461347</v>
      </c>
      <c r="AK37" s="697">
        <f t="shared" si="24"/>
        <v>2110906</v>
      </c>
      <c r="AL37" s="697">
        <f t="shared" si="24"/>
        <v>1066</v>
      </c>
      <c r="AM37" s="697">
        <f t="shared" si="24"/>
        <v>2111972</v>
      </c>
      <c r="AN37" s="697">
        <f t="shared" si="24"/>
        <v>3301092</v>
      </c>
      <c r="AO37" s="697">
        <f t="shared" si="24"/>
        <v>31703</v>
      </c>
      <c r="AP37" s="697">
        <f t="shared" si="24"/>
        <v>3332795</v>
      </c>
    </row>
    <row r="38" spans="1:42" ht="48" customHeight="1" x14ac:dyDescent="0.7">
      <c r="A38" s="708" t="s">
        <v>766</v>
      </c>
      <c r="B38" s="685"/>
      <c r="C38" s="685"/>
      <c r="D38" s="685"/>
      <c r="E38" s="685"/>
      <c r="F38" s="685"/>
      <c r="G38" s="685"/>
      <c r="H38" s="685"/>
      <c r="I38" s="685"/>
      <c r="J38" s="685"/>
      <c r="K38" s="685"/>
      <c r="L38" s="685"/>
      <c r="M38" s="685"/>
      <c r="N38" s="685"/>
      <c r="O38" s="685"/>
      <c r="P38" s="685"/>
      <c r="Q38" s="708" t="s">
        <v>766</v>
      </c>
      <c r="R38" s="685"/>
      <c r="S38" s="685"/>
      <c r="T38" s="685"/>
      <c r="U38" s="685"/>
      <c r="V38" s="685"/>
      <c r="W38" s="685"/>
      <c r="X38" s="685"/>
      <c r="Y38" s="685"/>
      <c r="Z38" s="685"/>
      <c r="AA38" s="685"/>
      <c r="AB38" s="685"/>
      <c r="AC38" s="685"/>
      <c r="AD38" s="685"/>
      <c r="AE38" s="685"/>
      <c r="AF38" s="685"/>
      <c r="AG38" s="708" t="s">
        <v>766</v>
      </c>
      <c r="AH38" s="685"/>
      <c r="AI38" s="685"/>
      <c r="AJ38" s="685"/>
      <c r="AK38" s="685"/>
      <c r="AL38" s="685"/>
      <c r="AM38" s="685"/>
      <c r="AN38" s="685"/>
      <c r="AO38" s="685"/>
      <c r="AP38" s="685"/>
    </row>
    <row r="39" spans="1:42" ht="93.75" thickBot="1" x14ac:dyDescent="0.75">
      <c r="A39" s="705" t="s">
        <v>469</v>
      </c>
      <c r="B39" s="688">
        <f>'[3]int.bevételek RM I'!D39</f>
        <v>254185</v>
      </c>
      <c r="C39" s="688">
        <v>26045</v>
      </c>
      <c r="D39" s="688">
        <f>SUM(B39:C39)</f>
        <v>280230</v>
      </c>
      <c r="E39" s="688">
        <f>'[3]int.bevételek RM I'!G39</f>
        <v>0</v>
      </c>
      <c r="F39" s="688">
        <v>6561</v>
      </c>
      <c r="G39" s="688">
        <f>SUM(E39:F39)</f>
        <v>6561</v>
      </c>
      <c r="H39" s="688">
        <f>'[3]int.bevételek RM I'!J39</f>
        <v>0</v>
      </c>
      <c r="I39" s="688">
        <v>430</v>
      </c>
      <c r="J39" s="688">
        <f>SUM(H39:I39)</f>
        <v>430</v>
      </c>
      <c r="K39" s="693">
        <f>'[3]int.bevételek RM I'!M39</f>
        <v>0</v>
      </c>
      <c r="L39" s="693"/>
      <c r="M39" s="693">
        <f>SUM(K39:L39)</f>
        <v>0</v>
      </c>
      <c r="N39" s="690">
        <f>B39+E39+H39+K39</f>
        <v>254185</v>
      </c>
      <c r="O39" s="690">
        <f>C39+F39+I39+L39</f>
        <v>33036</v>
      </c>
      <c r="P39" s="690">
        <f>D39+G39+J39+M39</f>
        <v>287221</v>
      </c>
      <c r="Q39" s="705" t="s">
        <v>469</v>
      </c>
      <c r="R39" s="688">
        <f>'[3]int.bevételek RM I'!T39</f>
        <v>0</v>
      </c>
      <c r="S39" s="688"/>
      <c r="T39" s="688">
        <f>SUM(R39:S39)</f>
        <v>0</v>
      </c>
      <c r="U39" s="688">
        <f>'[3]int.bevételek RM I'!W39</f>
        <v>0</v>
      </c>
      <c r="V39" s="688"/>
      <c r="W39" s="688">
        <f>SUM(U39:V39)</f>
        <v>0</v>
      </c>
      <c r="X39" s="688">
        <f>'[3]int.bevételek RM I'!Z39</f>
        <v>0</v>
      </c>
      <c r="Y39" s="688"/>
      <c r="Z39" s="688">
        <f>SUM(X39:Y39)</f>
        <v>0</v>
      </c>
      <c r="AA39" s="690">
        <f>R39+U39+X39</f>
        <v>0</v>
      </c>
      <c r="AB39" s="690">
        <f>S39+V39+Y39</f>
        <v>0</v>
      </c>
      <c r="AC39" s="690">
        <f>T39+W39+Z39</f>
        <v>0</v>
      </c>
      <c r="AD39" s="703">
        <f>N39+AA39</f>
        <v>254185</v>
      </c>
      <c r="AE39" s="703">
        <f>O39+AB39</f>
        <v>33036</v>
      </c>
      <c r="AF39" s="703">
        <f>P39+AC39</f>
        <v>287221</v>
      </c>
      <c r="AG39" s="705" t="s">
        <v>469</v>
      </c>
      <c r="AH39" s="709">
        <f>'[3]int.bevételek RM I'!AJ39</f>
        <v>2784</v>
      </c>
      <c r="AI39" s="709"/>
      <c r="AJ39" s="709">
        <f>SUM(AH39:AI39)</f>
        <v>2784</v>
      </c>
      <c r="AK39" s="690">
        <f>'[3]int.bevételek RM I'!AM39</f>
        <v>1754503</v>
      </c>
      <c r="AL39" s="690">
        <v>110677</v>
      </c>
      <c r="AM39" s="690">
        <f>SUM(AK39:AL39)</f>
        <v>1865180</v>
      </c>
      <c r="AN39" s="690">
        <f>N39+AA39+AH39+AK39</f>
        <v>2011472</v>
      </c>
      <c r="AO39" s="690">
        <f>O39+AB39+AI39+AL39</f>
        <v>143713</v>
      </c>
      <c r="AP39" s="690">
        <f>P39+AC39+AJ39+AM39</f>
        <v>2155185</v>
      </c>
    </row>
    <row r="40" spans="1:42" ht="61.5" customHeight="1" x14ac:dyDescent="0.7">
      <c r="A40" s="708" t="s">
        <v>768</v>
      </c>
      <c r="B40" s="685"/>
      <c r="C40" s="685"/>
      <c r="D40" s="744"/>
      <c r="E40" s="685"/>
      <c r="F40" s="745"/>
      <c r="G40" s="685"/>
      <c r="H40" s="685"/>
      <c r="I40" s="685"/>
      <c r="J40" s="685"/>
      <c r="K40" s="685"/>
      <c r="L40" s="685"/>
      <c r="M40" s="685"/>
      <c r="N40" s="685"/>
      <c r="O40" s="685"/>
      <c r="P40" s="685"/>
      <c r="Q40" s="708" t="s">
        <v>768</v>
      </c>
      <c r="R40" s="685"/>
      <c r="S40" s="685"/>
      <c r="T40" s="685"/>
      <c r="U40" s="685"/>
      <c r="V40" s="685"/>
      <c r="W40" s="685"/>
      <c r="X40" s="685"/>
      <c r="Y40" s="685"/>
      <c r="Z40" s="685"/>
      <c r="AA40" s="685"/>
      <c r="AB40" s="685"/>
      <c r="AC40" s="685"/>
      <c r="AD40" s="685"/>
      <c r="AE40" s="685"/>
      <c r="AF40" s="685"/>
      <c r="AG40" s="708" t="s">
        <v>768</v>
      </c>
      <c r="AH40" s="685"/>
      <c r="AI40" s="685"/>
      <c r="AJ40" s="685"/>
      <c r="AK40" s="685">
        <f>'[3]int.bevételek RM I'!AM40</f>
        <v>0</v>
      </c>
      <c r="AL40" s="685"/>
      <c r="AM40" s="685"/>
      <c r="AN40" s="685"/>
      <c r="AO40" s="685"/>
      <c r="AP40" s="685"/>
    </row>
    <row r="41" spans="1:42" ht="48.75" customHeight="1" thickBot="1" x14ac:dyDescent="0.75">
      <c r="A41" s="746" t="s">
        <v>769</v>
      </c>
      <c r="B41" s="709">
        <f>'[3]int.bevételek RM I'!D41</f>
        <v>70816</v>
      </c>
      <c r="C41" s="709"/>
      <c r="D41" s="747">
        <f>SUM(B41:C41)</f>
        <v>70816</v>
      </c>
      <c r="E41" s="709">
        <f>'[3]int.bevételek RM I'!G41</f>
        <v>532064</v>
      </c>
      <c r="F41" s="748"/>
      <c r="G41" s="709">
        <f>SUM(E41:F41)</f>
        <v>532064</v>
      </c>
      <c r="H41" s="709">
        <f>'[3]int.bevételek RM I'!J41</f>
        <v>0</v>
      </c>
      <c r="I41" s="709"/>
      <c r="J41" s="709">
        <f>SUM(H41:I41)</f>
        <v>0</v>
      </c>
      <c r="K41" s="709">
        <f>'[3]int.bevételek RM I'!M41</f>
        <v>0</v>
      </c>
      <c r="L41" s="709"/>
      <c r="M41" s="709">
        <f>SUM(K41:L41)</f>
        <v>0</v>
      </c>
      <c r="N41" s="698">
        <f>B41+E41+H41+K41</f>
        <v>602880</v>
      </c>
      <c r="O41" s="698">
        <f>C41+F41+I41+L41</f>
        <v>0</v>
      </c>
      <c r="P41" s="698">
        <f>D41+G41+J41+M41</f>
        <v>602880</v>
      </c>
      <c r="Q41" s="710" t="s">
        <v>769</v>
      </c>
      <c r="R41" s="709">
        <f>'[3]int.bevételek RM I'!T41</f>
        <v>0</v>
      </c>
      <c r="S41" s="709"/>
      <c r="T41" s="709">
        <f>SUM(R41:S41)</f>
        <v>0</v>
      </c>
      <c r="U41" s="709">
        <f>'[3]int.bevételek RM I'!W41</f>
        <v>0</v>
      </c>
      <c r="V41" s="709"/>
      <c r="W41" s="709">
        <f>SUM(U41:V41)</f>
        <v>0</v>
      </c>
      <c r="X41" s="709">
        <f>'[3]int.bevételek RM I'!Z41</f>
        <v>0</v>
      </c>
      <c r="Y41" s="709"/>
      <c r="Z41" s="709"/>
      <c r="AA41" s="698">
        <f>R41+U41+X41</f>
        <v>0</v>
      </c>
      <c r="AB41" s="698">
        <f>S41+V41+Y41</f>
        <v>0</v>
      </c>
      <c r="AC41" s="698">
        <f>T41+W41+Z41</f>
        <v>0</v>
      </c>
      <c r="AD41" s="698">
        <f>N41+AA41</f>
        <v>602880</v>
      </c>
      <c r="AE41" s="698">
        <f>O41+AB41</f>
        <v>0</v>
      </c>
      <c r="AF41" s="698">
        <f>P41+AC41</f>
        <v>602880</v>
      </c>
      <c r="AG41" s="710" t="s">
        <v>769</v>
      </c>
      <c r="AH41" s="709">
        <f>'[3]int.bevételek RM I'!AJ41</f>
        <v>154463</v>
      </c>
      <c r="AI41" s="709"/>
      <c r="AJ41" s="709">
        <f>SUM(AH41:AI41)</f>
        <v>154463</v>
      </c>
      <c r="AK41" s="698">
        <f>'[3]int.bevételek RM I'!AM41</f>
        <v>401909</v>
      </c>
      <c r="AL41" s="698">
        <v>2553</v>
      </c>
      <c r="AM41" s="698">
        <f>SUM(AK41:AL41)</f>
        <v>404462</v>
      </c>
      <c r="AN41" s="698">
        <f>N41+AA41+AH41+AK41</f>
        <v>1159252</v>
      </c>
      <c r="AO41" s="698">
        <f>O41+AB41+AI41+AL41</f>
        <v>2553</v>
      </c>
      <c r="AP41" s="698">
        <f>P41+AC41+AJ41+AM41</f>
        <v>1161805</v>
      </c>
    </row>
    <row r="42" spans="1:42" ht="48" customHeight="1" x14ac:dyDescent="0.7">
      <c r="A42" s="708" t="s">
        <v>770</v>
      </c>
      <c r="B42" s="703"/>
      <c r="C42" s="703"/>
      <c r="D42" s="749"/>
      <c r="E42" s="703"/>
      <c r="F42" s="742"/>
      <c r="G42" s="703"/>
      <c r="H42" s="703"/>
      <c r="I42" s="703"/>
      <c r="J42" s="703"/>
      <c r="K42" s="703"/>
      <c r="L42" s="703"/>
      <c r="M42" s="703"/>
      <c r="N42" s="703"/>
      <c r="O42" s="703"/>
      <c r="P42" s="703"/>
      <c r="Q42" s="704" t="s">
        <v>770</v>
      </c>
      <c r="R42" s="703"/>
      <c r="S42" s="703"/>
      <c r="T42" s="703"/>
      <c r="U42" s="703"/>
      <c r="V42" s="703"/>
      <c r="W42" s="703"/>
      <c r="X42" s="703"/>
      <c r="Y42" s="703"/>
      <c r="Z42" s="703"/>
      <c r="AA42" s="703"/>
      <c r="AB42" s="703"/>
      <c r="AC42" s="703"/>
      <c r="AD42" s="703"/>
      <c r="AE42" s="703"/>
      <c r="AF42" s="703"/>
      <c r="AG42" s="704" t="s">
        <v>770</v>
      </c>
      <c r="AH42" s="703"/>
      <c r="AI42" s="703"/>
      <c r="AJ42" s="703"/>
      <c r="AK42" s="703">
        <f>'[3]int.bevételek RM I'!AM42</f>
        <v>0</v>
      </c>
      <c r="AL42" s="703"/>
      <c r="AM42" s="703"/>
      <c r="AN42" s="703"/>
      <c r="AO42" s="703"/>
      <c r="AP42" s="703"/>
    </row>
    <row r="43" spans="1:42" ht="48.75" customHeight="1" thickBot="1" x14ac:dyDescent="0.75">
      <c r="A43" s="711" t="s">
        <v>515</v>
      </c>
      <c r="B43" s="688">
        <f>'[3]int.bevételek RM I'!D43</f>
        <v>86282</v>
      </c>
      <c r="C43" s="693"/>
      <c r="D43" s="693">
        <f>SUM(B43:C43)</f>
        <v>86282</v>
      </c>
      <c r="E43" s="688">
        <f>'[3]int.bevételek RM I'!G43</f>
        <v>12181</v>
      </c>
      <c r="F43" s="693">
        <v>7982</v>
      </c>
      <c r="G43" s="693">
        <f>SUM(E43:F43)</f>
        <v>20163</v>
      </c>
      <c r="H43" s="693">
        <f>'[3]int.bevételek RM I'!J43</f>
        <v>0</v>
      </c>
      <c r="I43" s="693"/>
      <c r="J43" s="688">
        <f>SUM(H43:I43)</f>
        <v>0</v>
      </c>
      <c r="K43" s="750">
        <f>'[3]int.bevételek RM I'!M43</f>
        <v>0</v>
      </c>
      <c r="L43" s="688"/>
      <c r="M43" s="688">
        <f>SUM(K43:L43)</f>
        <v>0</v>
      </c>
      <c r="N43" s="690">
        <f>B43+E43+H43+K43</f>
        <v>98463</v>
      </c>
      <c r="O43" s="690">
        <f>C43+F43+I43+L43</f>
        <v>7982</v>
      </c>
      <c r="P43" s="690">
        <f>D43+G43+J43+M43</f>
        <v>106445</v>
      </c>
      <c r="Q43" s="711" t="s">
        <v>515</v>
      </c>
      <c r="R43" s="693">
        <f>'[3]int.bevételek RM I'!T43</f>
        <v>0</v>
      </c>
      <c r="S43" s="693"/>
      <c r="T43" s="693">
        <f>SUM(R43:S43)</f>
        <v>0</v>
      </c>
      <c r="U43" s="693">
        <f>'[3]int.bevételek RM I'!W43</f>
        <v>0</v>
      </c>
      <c r="V43" s="693"/>
      <c r="W43" s="693">
        <f>SUM(U43:V43)</f>
        <v>0</v>
      </c>
      <c r="X43" s="693">
        <f>'[3]int.bevételek RM I'!Z43</f>
        <v>0</v>
      </c>
      <c r="Y43" s="693"/>
      <c r="Z43" s="709">
        <f>SUM(X43:Y43)</f>
        <v>0</v>
      </c>
      <c r="AA43" s="690">
        <f>R43+U43+X43</f>
        <v>0</v>
      </c>
      <c r="AB43" s="690">
        <f>S43+V43+Y43</f>
        <v>0</v>
      </c>
      <c r="AC43" s="690">
        <f>T43+W43+Z43</f>
        <v>0</v>
      </c>
      <c r="AD43" s="690">
        <f>N43+AA43</f>
        <v>98463</v>
      </c>
      <c r="AE43" s="690">
        <f>O43+AB43</f>
        <v>7982</v>
      </c>
      <c r="AF43" s="690">
        <f>P43+AC43</f>
        <v>106445</v>
      </c>
      <c r="AG43" s="711" t="s">
        <v>515</v>
      </c>
      <c r="AH43" s="693">
        <f>'[3]int.bevételek RM I'!AJ43</f>
        <v>3629</v>
      </c>
      <c r="AI43" s="693"/>
      <c r="AJ43" s="693">
        <f>SUM(AH43:AI43)</f>
        <v>3629</v>
      </c>
      <c r="AK43" s="690">
        <f>'[3]int.bevételek RM I'!AM43</f>
        <v>2220369</v>
      </c>
      <c r="AL43" s="690">
        <v>38266</v>
      </c>
      <c r="AM43" s="690">
        <f>SUM(AK43:AL43)</f>
        <v>2258635</v>
      </c>
      <c r="AN43" s="690">
        <f>N43+AA43+AH43+AK43</f>
        <v>2322461</v>
      </c>
      <c r="AO43" s="690">
        <f>O43+AB43+AI43+AL43</f>
        <v>46248</v>
      </c>
      <c r="AP43" s="690">
        <f>P43+AC43+AJ43+AM43</f>
        <v>2368709</v>
      </c>
    </row>
    <row r="44" spans="1:42" ht="48.75" customHeight="1" x14ac:dyDescent="0.7">
      <c r="A44" s="708" t="s">
        <v>771</v>
      </c>
      <c r="B44" s="685"/>
      <c r="C44" s="685"/>
      <c r="D44" s="685"/>
      <c r="E44" s="685"/>
      <c r="F44" s="685"/>
      <c r="G44" s="685"/>
      <c r="H44" s="685"/>
      <c r="I44" s="685"/>
      <c r="J44" s="685"/>
      <c r="K44" s="685"/>
      <c r="L44" s="685"/>
      <c r="M44" s="685"/>
      <c r="N44" s="685"/>
      <c r="O44" s="685"/>
      <c r="P44" s="685"/>
      <c r="Q44" s="708" t="s">
        <v>771</v>
      </c>
      <c r="R44" s="685"/>
      <c r="S44" s="685"/>
      <c r="T44" s="685"/>
      <c r="U44" s="685"/>
      <c r="V44" s="685"/>
      <c r="W44" s="685"/>
      <c r="X44" s="685"/>
      <c r="Y44" s="685"/>
      <c r="Z44" s="703"/>
      <c r="AA44" s="685"/>
      <c r="AB44" s="685"/>
      <c r="AC44" s="685"/>
      <c r="AD44" s="685"/>
      <c r="AE44" s="685"/>
      <c r="AF44" s="685"/>
      <c r="AG44" s="708" t="s">
        <v>771</v>
      </c>
      <c r="AH44" s="685"/>
      <c r="AI44" s="685"/>
      <c r="AJ44" s="685"/>
      <c r="AK44" s="685"/>
      <c r="AL44" s="685"/>
      <c r="AM44" s="685"/>
      <c r="AN44" s="685"/>
      <c r="AO44" s="685"/>
      <c r="AP44" s="685"/>
    </row>
    <row r="45" spans="1:42" ht="48.75" customHeight="1" x14ac:dyDescent="0.7">
      <c r="A45" s="687" t="s">
        <v>471</v>
      </c>
      <c r="B45" s="688">
        <f>'[3]int.bevételek RM I'!D45</f>
        <v>203300</v>
      </c>
      <c r="C45" s="688"/>
      <c r="D45" s="688">
        <f>SUM(B45:C45)</f>
        <v>203300</v>
      </c>
      <c r="E45" s="688">
        <f>'[3]int.bevételek RM I'!G45</f>
        <v>0</v>
      </c>
      <c r="F45" s="688"/>
      <c r="G45" s="688">
        <f>SUM(E45:F45)</f>
        <v>0</v>
      </c>
      <c r="H45" s="688">
        <f>'[3]int.bevételek RM I'!J45</f>
        <v>0</v>
      </c>
      <c r="I45" s="688"/>
      <c r="J45" s="688">
        <f>SUM(H45:I45)</f>
        <v>0</v>
      </c>
      <c r="K45" s="688">
        <f>'[3]int.bevételek RM I'!M45</f>
        <v>0</v>
      </c>
      <c r="L45" s="688"/>
      <c r="M45" s="688">
        <f>SUM(K45:L45)</f>
        <v>0</v>
      </c>
      <c r="N45" s="690">
        <f t="shared" ref="N45:P47" si="25">B45+E45+H45+K45</f>
        <v>203300</v>
      </c>
      <c r="O45" s="690">
        <f t="shared" si="25"/>
        <v>0</v>
      </c>
      <c r="P45" s="690">
        <f t="shared" si="25"/>
        <v>203300</v>
      </c>
      <c r="Q45" s="687" t="s">
        <v>471</v>
      </c>
      <c r="R45" s="688">
        <f>'[3]int.bevételek RM I'!T45</f>
        <v>0</v>
      </c>
      <c r="S45" s="688"/>
      <c r="T45" s="688">
        <f>SUM(R45:S45)</f>
        <v>0</v>
      </c>
      <c r="U45" s="688">
        <f>'[3]int.bevételek RM I'!W45</f>
        <v>0</v>
      </c>
      <c r="V45" s="688"/>
      <c r="W45" s="688">
        <f>SUM(U45:V45)</f>
        <v>0</v>
      </c>
      <c r="X45" s="688">
        <f>'[3]int.bevételek RM I'!Z45</f>
        <v>0</v>
      </c>
      <c r="Y45" s="688"/>
      <c r="Z45" s="688">
        <f>SUM(X45:Y45)</f>
        <v>0</v>
      </c>
      <c r="AA45" s="690">
        <f t="shared" ref="AA45:AC47" si="26">R45+U45+X45</f>
        <v>0</v>
      </c>
      <c r="AB45" s="690">
        <f t="shared" si="26"/>
        <v>0</v>
      </c>
      <c r="AC45" s="690">
        <f t="shared" si="26"/>
        <v>0</v>
      </c>
      <c r="AD45" s="690">
        <f t="shared" ref="AD45:AF48" si="27">N45+AA45</f>
        <v>203300</v>
      </c>
      <c r="AE45" s="690">
        <f t="shared" si="27"/>
        <v>0</v>
      </c>
      <c r="AF45" s="690">
        <f t="shared" si="27"/>
        <v>203300</v>
      </c>
      <c r="AG45" s="687" t="s">
        <v>471</v>
      </c>
      <c r="AH45" s="688">
        <f>'[3]int.bevételek RM I'!AJ45</f>
        <v>15005</v>
      </c>
      <c r="AI45" s="688"/>
      <c r="AJ45" s="688">
        <f>SUM(AH45:AI45)</f>
        <v>15005</v>
      </c>
      <c r="AK45" s="690">
        <f>'[3]int.bevételek RM I'!AM45</f>
        <v>34700</v>
      </c>
      <c r="AL45" s="690"/>
      <c r="AM45" s="690">
        <f>SUM(AK45:AL45)</f>
        <v>34700</v>
      </c>
      <c r="AN45" s="690">
        <f t="shared" ref="AN45:AP47" si="28">N45+AA45+AH45+AK45</f>
        <v>253005</v>
      </c>
      <c r="AO45" s="690">
        <f t="shared" si="28"/>
        <v>0</v>
      </c>
      <c r="AP45" s="690">
        <f t="shared" si="28"/>
        <v>253005</v>
      </c>
    </row>
    <row r="46" spans="1:42" ht="48.75" customHeight="1" x14ac:dyDescent="0.7">
      <c r="A46" s="707" t="s">
        <v>565</v>
      </c>
      <c r="B46" s="688">
        <f>'[3]int.bevételek RM I'!D46</f>
        <v>21537</v>
      </c>
      <c r="C46" s="693"/>
      <c r="D46" s="688">
        <f>SUM(B46:C46)</f>
        <v>21537</v>
      </c>
      <c r="E46" s="688">
        <f>'[3]int.bevételek RM I'!G46</f>
        <v>0</v>
      </c>
      <c r="F46" s="693"/>
      <c r="G46" s="688">
        <f>SUM(E46:F46)</f>
        <v>0</v>
      </c>
      <c r="H46" s="688">
        <f>'[3]int.bevételek RM I'!J46</f>
        <v>0</v>
      </c>
      <c r="I46" s="674"/>
      <c r="J46" s="688">
        <f>SUM(H46:I46)</f>
        <v>0</v>
      </c>
      <c r="K46" s="688">
        <f>'[3]int.bevételek RM I'!M46</f>
        <v>0</v>
      </c>
      <c r="L46" s="693"/>
      <c r="M46" s="688">
        <f>SUM(K46:L46)</f>
        <v>0</v>
      </c>
      <c r="N46" s="690">
        <f>B46+E46+H46+K46</f>
        <v>21537</v>
      </c>
      <c r="O46" s="690">
        <f>C46+F46+I46+L46</f>
        <v>0</v>
      </c>
      <c r="P46" s="690">
        <f>D46+G46+J46+M46</f>
        <v>21537</v>
      </c>
      <c r="Q46" s="707" t="s">
        <v>565</v>
      </c>
      <c r="R46" s="688">
        <f>'[3]int.bevételek RM I'!T46</f>
        <v>14416</v>
      </c>
      <c r="S46" s="674">
        <v>4134</v>
      </c>
      <c r="T46" s="688">
        <f>SUM(R46:S46)</f>
        <v>18550</v>
      </c>
      <c r="U46" s="688">
        <f>'[3]int.bevételek RM I'!W46</f>
        <v>0</v>
      </c>
      <c r="V46" s="693"/>
      <c r="W46" s="688">
        <f>SUM(U46:V46)</f>
        <v>0</v>
      </c>
      <c r="X46" s="688">
        <f>'[3]int.bevételek RM I'!Z46</f>
        <v>0</v>
      </c>
      <c r="Y46" s="674"/>
      <c r="Z46" s="688">
        <f>SUM(X46:Y46)</f>
        <v>0</v>
      </c>
      <c r="AA46" s="690">
        <f>R46+U46+X46</f>
        <v>14416</v>
      </c>
      <c r="AB46" s="690">
        <f>S46+V46+Y46</f>
        <v>4134</v>
      </c>
      <c r="AC46" s="690">
        <f>T46+W46+Z46</f>
        <v>18550</v>
      </c>
      <c r="AD46" s="690">
        <f t="shared" si="27"/>
        <v>35953</v>
      </c>
      <c r="AE46" s="690">
        <f t="shared" si="27"/>
        <v>4134</v>
      </c>
      <c r="AF46" s="690">
        <f t="shared" si="27"/>
        <v>40087</v>
      </c>
      <c r="AG46" s="707" t="s">
        <v>565</v>
      </c>
      <c r="AH46" s="688">
        <f>'[3]int.bevételek RM I'!AJ46</f>
        <v>0</v>
      </c>
      <c r="AI46" s="693"/>
      <c r="AJ46" s="688">
        <f>SUM(AH46:AI46)</f>
        <v>0</v>
      </c>
      <c r="AK46" s="690">
        <f>'[3]int.bevételek RM I'!AM46</f>
        <v>494966</v>
      </c>
      <c r="AL46" s="703"/>
      <c r="AM46" s="690">
        <f>SUM(AK46:AL46)</f>
        <v>494966</v>
      </c>
      <c r="AN46" s="690">
        <f>N46+AA46+AH46+AK46</f>
        <v>530919</v>
      </c>
      <c r="AO46" s="690">
        <f>O46+AB46+AI46+AL46</f>
        <v>4134</v>
      </c>
      <c r="AP46" s="690">
        <f>P46+AC46+AJ46+AM46</f>
        <v>535053</v>
      </c>
    </row>
    <row r="47" spans="1:42" s="751" customFormat="1" ht="49.5" customHeight="1" thickBot="1" x14ac:dyDescent="0.75">
      <c r="A47" s="713" t="s">
        <v>4</v>
      </c>
      <c r="B47" s="714">
        <f>'[3]int.bevételek RM I'!D47</f>
        <v>21655</v>
      </c>
      <c r="C47" s="714">
        <v>1406</v>
      </c>
      <c r="D47" s="714">
        <f>SUM(B47:C47)</f>
        <v>23061</v>
      </c>
      <c r="E47" s="714">
        <f>'[3]int.bevételek RM I'!G47</f>
        <v>64645</v>
      </c>
      <c r="F47" s="714">
        <v>3555</v>
      </c>
      <c r="G47" s="715">
        <f>SUM(E47:F47)</f>
        <v>68200</v>
      </c>
      <c r="H47" s="714">
        <f>'[3]int.bevételek RM I'!J47</f>
        <v>1000</v>
      </c>
      <c r="I47" s="715"/>
      <c r="J47" s="714">
        <f>SUM(H47:I47)</f>
        <v>1000</v>
      </c>
      <c r="K47" s="715">
        <f>'[3]int.bevételek RM I'!M47</f>
        <v>1350</v>
      </c>
      <c r="L47" s="714"/>
      <c r="M47" s="715">
        <f>SUM(K47:L47)</f>
        <v>1350</v>
      </c>
      <c r="N47" s="694">
        <f t="shared" si="25"/>
        <v>88650</v>
      </c>
      <c r="O47" s="717">
        <f t="shared" si="25"/>
        <v>4961</v>
      </c>
      <c r="P47" s="694">
        <f t="shared" si="25"/>
        <v>93611</v>
      </c>
      <c r="Q47" s="713" t="s">
        <v>4</v>
      </c>
      <c r="R47" s="714">
        <f>'[3]int.bevételek RM I'!T47</f>
        <v>0</v>
      </c>
      <c r="S47" s="715">
        <v>100</v>
      </c>
      <c r="T47" s="714">
        <f>SUM(R47:S47)</f>
        <v>100</v>
      </c>
      <c r="U47" s="715">
        <f>'[3]int.bevételek RM I'!W47</f>
        <v>0</v>
      </c>
      <c r="V47" s="714"/>
      <c r="W47" s="715">
        <f>SUM(U47:V47)</f>
        <v>0</v>
      </c>
      <c r="X47" s="714">
        <f>'[3]int.bevételek RM I'!Z47</f>
        <v>0</v>
      </c>
      <c r="Y47" s="715"/>
      <c r="Z47" s="714">
        <f>SUM(X47:Y47)</f>
        <v>0</v>
      </c>
      <c r="AA47" s="717">
        <f t="shared" si="26"/>
        <v>0</v>
      </c>
      <c r="AB47" s="698">
        <f t="shared" si="26"/>
        <v>100</v>
      </c>
      <c r="AC47" s="694">
        <f t="shared" si="26"/>
        <v>100</v>
      </c>
      <c r="AD47" s="694">
        <f t="shared" si="27"/>
        <v>88650</v>
      </c>
      <c r="AE47" s="694">
        <f t="shared" si="27"/>
        <v>5061</v>
      </c>
      <c r="AF47" s="694">
        <f t="shared" si="27"/>
        <v>93711</v>
      </c>
      <c r="AG47" s="713" t="s">
        <v>4</v>
      </c>
      <c r="AH47" s="715">
        <f>'[3]int.bevételek RM I'!AJ47</f>
        <v>9929</v>
      </c>
      <c r="AI47" s="714"/>
      <c r="AJ47" s="709">
        <f>SUM(AH47:AI47)</f>
        <v>9929</v>
      </c>
      <c r="AK47" s="717">
        <f>'[3]int.bevételek RM I'!AM47</f>
        <v>3600013</v>
      </c>
      <c r="AL47" s="694">
        <v>18934</v>
      </c>
      <c r="AM47" s="717">
        <f>SUM(AK47:AL47)</f>
        <v>3618947</v>
      </c>
      <c r="AN47" s="694">
        <f t="shared" si="28"/>
        <v>3698592</v>
      </c>
      <c r="AO47" s="717">
        <f t="shared" si="28"/>
        <v>23995</v>
      </c>
      <c r="AP47" s="694">
        <f t="shared" si="28"/>
        <v>3722587</v>
      </c>
    </row>
    <row r="48" spans="1:42" ht="61.5" customHeight="1" thickBot="1" x14ac:dyDescent="0.75">
      <c r="A48" s="695" t="s">
        <v>773</v>
      </c>
      <c r="B48" s="703">
        <f t="shared" ref="B48:P48" si="29">SUM(B45:B47)</f>
        <v>246492</v>
      </c>
      <c r="C48" s="703">
        <f t="shared" si="29"/>
        <v>1406</v>
      </c>
      <c r="D48" s="703">
        <f t="shared" si="29"/>
        <v>247898</v>
      </c>
      <c r="E48" s="703">
        <f t="shared" si="29"/>
        <v>64645</v>
      </c>
      <c r="F48" s="703">
        <f t="shared" si="29"/>
        <v>3555</v>
      </c>
      <c r="G48" s="703">
        <f t="shared" si="29"/>
        <v>68200</v>
      </c>
      <c r="H48" s="703">
        <f t="shared" si="29"/>
        <v>1000</v>
      </c>
      <c r="I48" s="703">
        <f t="shared" si="29"/>
        <v>0</v>
      </c>
      <c r="J48" s="703">
        <f t="shared" si="29"/>
        <v>1000</v>
      </c>
      <c r="K48" s="703">
        <f t="shared" si="29"/>
        <v>1350</v>
      </c>
      <c r="L48" s="703">
        <f t="shared" si="29"/>
        <v>0</v>
      </c>
      <c r="M48" s="703">
        <f t="shared" si="29"/>
        <v>1350</v>
      </c>
      <c r="N48" s="703">
        <f t="shared" si="29"/>
        <v>313487</v>
      </c>
      <c r="O48" s="703">
        <f t="shared" si="29"/>
        <v>4961</v>
      </c>
      <c r="P48" s="703">
        <f t="shared" si="29"/>
        <v>318448</v>
      </c>
      <c r="Q48" s="695" t="s">
        <v>773</v>
      </c>
      <c r="R48" s="703">
        <f t="shared" ref="R48:AC48" si="30">SUM(R45:R47)</f>
        <v>14416</v>
      </c>
      <c r="S48" s="703">
        <f t="shared" si="30"/>
        <v>4234</v>
      </c>
      <c r="T48" s="703">
        <f t="shared" si="30"/>
        <v>18650</v>
      </c>
      <c r="U48" s="703">
        <f t="shared" si="30"/>
        <v>0</v>
      </c>
      <c r="V48" s="703">
        <f t="shared" si="30"/>
        <v>0</v>
      </c>
      <c r="W48" s="703">
        <f t="shared" si="30"/>
        <v>0</v>
      </c>
      <c r="X48" s="703">
        <f t="shared" si="30"/>
        <v>0</v>
      </c>
      <c r="Y48" s="703">
        <f t="shared" si="30"/>
        <v>0</v>
      </c>
      <c r="Z48" s="703">
        <f t="shared" si="30"/>
        <v>0</v>
      </c>
      <c r="AA48" s="703">
        <f t="shared" si="30"/>
        <v>14416</v>
      </c>
      <c r="AB48" s="703">
        <f t="shared" si="30"/>
        <v>4234</v>
      </c>
      <c r="AC48" s="703">
        <f t="shared" si="30"/>
        <v>18650</v>
      </c>
      <c r="AD48" s="703">
        <f t="shared" si="27"/>
        <v>327903</v>
      </c>
      <c r="AE48" s="703">
        <f t="shared" si="27"/>
        <v>9195</v>
      </c>
      <c r="AF48" s="703">
        <f t="shared" si="27"/>
        <v>337098</v>
      </c>
      <c r="AG48" s="695" t="s">
        <v>773</v>
      </c>
      <c r="AH48" s="703">
        <f t="shared" ref="AH48:AP48" si="31">SUM(AH45:AH47)</f>
        <v>24934</v>
      </c>
      <c r="AI48" s="703">
        <f t="shared" si="31"/>
        <v>0</v>
      </c>
      <c r="AJ48" s="703">
        <f t="shared" si="31"/>
        <v>24934</v>
      </c>
      <c r="AK48" s="703">
        <f t="shared" si="31"/>
        <v>4129679</v>
      </c>
      <c r="AL48" s="703">
        <f t="shared" si="31"/>
        <v>18934</v>
      </c>
      <c r="AM48" s="703">
        <f t="shared" si="31"/>
        <v>4148613</v>
      </c>
      <c r="AN48" s="703">
        <f t="shared" si="31"/>
        <v>4482516</v>
      </c>
      <c r="AO48" s="703">
        <f t="shared" si="31"/>
        <v>28129</v>
      </c>
      <c r="AP48" s="703">
        <f t="shared" si="31"/>
        <v>4510645</v>
      </c>
    </row>
    <row r="49" spans="1:42" ht="61.5" customHeight="1" thickBot="1" x14ac:dyDescent="0.75">
      <c r="A49" s="720" t="s">
        <v>774</v>
      </c>
      <c r="B49" s="697">
        <f t="shared" ref="B49:P49" si="32">B37+B39+B41+B43+B48</f>
        <v>1018068</v>
      </c>
      <c r="C49" s="697">
        <f t="shared" si="32"/>
        <v>27451</v>
      </c>
      <c r="D49" s="697">
        <f t="shared" si="32"/>
        <v>1045519</v>
      </c>
      <c r="E49" s="697">
        <f t="shared" si="32"/>
        <v>964836</v>
      </c>
      <c r="F49" s="697">
        <f t="shared" si="32"/>
        <v>48735</v>
      </c>
      <c r="G49" s="697">
        <f t="shared" si="32"/>
        <v>1013571</v>
      </c>
      <c r="H49" s="697">
        <f t="shared" si="32"/>
        <v>1000</v>
      </c>
      <c r="I49" s="697">
        <f t="shared" si="32"/>
        <v>430</v>
      </c>
      <c r="J49" s="697">
        <f t="shared" si="32"/>
        <v>1430</v>
      </c>
      <c r="K49" s="697">
        <f t="shared" si="32"/>
        <v>1350</v>
      </c>
      <c r="L49" s="697">
        <f t="shared" si="32"/>
        <v>0</v>
      </c>
      <c r="M49" s="697">
        <f t="shared" si="32"/>
        <v>1350</v>
      </c>
      <c r="N49" s="697">
        <f t="shared" si="32"/>
        <v>1985254</v>
      </c>
      <c r="O49" s="697">
        <f t="shared" si="32"/>
        <v>76616</v>
      </c>
      <c r="P49" s="697">
        <f t="shared" si="32"/>
        <v>2061870</v>
      </c>
      <c r="Q49" s="720" t="s">
        <v>774</v>
      </c>
      <c r="R49" s="697">
        <f t="shared" ref="R49:AF49" si="33">R37+R39+R41+R43+R48</f>
        <v>14416</v>
      </c>
      <c r="S49" s="697">
        <f t="shared" si="33"/>
        <v>4234</v>
      </c>
      <c r="T49" s="697">
        <f t="shared" si="33"/>
        <v>18650</v>
      </c>
      <c r="U49" s="697">
        <f t="shared" si="33"/>
        <v>12600</v>
      </c>
      <c r="V49" s="697">
        <f t="shared" si="33"/>
        <v>0</v>
      </c>
      <c r="W49" s="697">
        <f t="shared" si="33"/>
        <v>12600</v>
      </c>
      <c r="X49" s="697">
        <f t="shared" si="33"/>
        <v>0</v>
      </c>
      <c r="Y49" s="697">
        <f t="shared" si="33"/>
        <v>0</v>
      </c>
      <c r="Z49" s="697">
        <f t="shared" si="33"/>
        <v>0</v>
      </c>
      <c r="AA49" s="697">
        <f t="shared" si="33"/>
        <v>27016</v>
      </c>
      <c r="AB49" s="697">
        <f t="shared" si="33"/>
        <v>4234</v>
      </c>
      <c r="AC49" s="697">
        <f t="shared" si="33"/>
        <v>31250</v>
      </c>
      <c r="AD49" s="697">
        <f t="shared" si="33"/>
        <v>2012270</v>
      </c>
      <c r="AE49" s="697">
        <f t="shared" si="33"/>
        <v>80850</v>
      </c>
      <c r="AF49" s="697">
        <f t="shared" si="33"/>
        <v>2093120</v>
      </c>
      <c r="AG49" s="720" t="s">
        <v>774</v>
      </c>
      <c r="AH49" s="697">
        <f t="shared" ref="AH49:AP49" si="34">AH37+AH39+AH41+AH43+AH48</f>
        <v>647157</v>
      </c>
      <c r="AI49" s="697">
        <f t="shared" si="34"/>
        <v>0</v>
      </c>
      <c r="AJ49" s="697">
        <f t="shared" si="34"/>
        <v>647157</v>
      </c>
      <c r="AK49" s="697">
        <f t="shared" si="34"/>
        <v>10617366</v>
      </c>
      <c r="AL49" s="697">
        <f t="shared" si="34"/>
        <v>171496</v>
      </c>
      <c r="AM49" s="697">
        <f t="shared" si="34"/>
        <v>10788862</v>
      </c>
      <c r="AN49" s="697">
        <f t="shared" si="34"/>
        <v>13276793</v>
      </c>
      <c r="AO49" s="697">
        <f t="shared" si="34"/>
        <v>252346</v>
      </c>
      <c r="AP49" s="697">
        <f t="shared" si="34"/>
        <v>13529139</v>
      </c>
    </row>
    <row r="50" spans="1:42" ht="61.5" customHeight="1" thickBot="1" x14ac:dyDescent="0.75">
      <c r="A50" s="752" t="s">
        <v>775</v>
      </c>
      <c r="B50" s="698">
        <f t="shared" ref="B50:P50" si="35">B30+B49</f>
        <v>1736982</v>
      </c>
      <c r="C50" s="698">
        <f t="shared" si="35"/>
        <v>31122</v>
      </c>
      <c r="D50" s="698">
        <f t="shared" si="35"/>
        <v>1768104</v>
      </c>
      <c r="E50" s="698">
        <f t="shared" si="35"/>
        <v>966943</v>
      </c>
      <c r="F50" s="698">
        <f t="shared" si="35"/>
        <v>50765</v>
      </c>
      <c r="G50" s="698">
        <f t="shared" si="35"/>
        <v>1017708</v>
      </c>
      <c r="H50" s="698">
        <f t="shared" si="35"/>
        <v>1000</v>
      </c>
      <c r="I50" s="698">
        <f t="shared" si="35"/>
        <v>516</v>
      </c>
      <c r="J50" s="698">
        <f t="shared" si="35"/>
        <v>1516</v>
      </c>
      <c r="K50" s="698">
        <f t="shared" si="35"/>
        <v>1350</v>
      </c>
      <c r="L50" s="698">
        <f t="shared" si="35"/>
        <v>0</v>
      </c>
      <c r="M50" s="698">
        <f t="shared" si="35"/>
        <v>1350</v>
      </c>
      <c r="N50" s="698">
        <f t="shared" si="35"/>
        <v>2706275</v>
      </c>
      <c r="O50" s="698">
        <f t="shared" si="35"/>
        <v>82403</v>
      </c>
      <c r="P50" s="698">
        <f t="shared" si="35"/>
        <v>2788678</v>
      </c>
      <c r="Q50" s="752" t="s">
        <v>775</v>
      </c>
      <c r="R50" s="753">
        <f t="shared" ref="R50:AF50" si="36">R30+R49</f>
        <v>14416</v>
      </c>
      <c r="S50" s="698">
        <f t="shared" si="36"/>
        <v>4234</v>
      </c>
      <c r="T50" s="753">
        <f t="shared" si="36"/>
        <v>18650</v>
      </c>
      <c r="U50" s="698">
        <f t="shared" si="36"/>
        <v>12600</v>
      </c>
      <c r="V50" s="753">
        <f t="shared" si="36"/>
        <v>0</v>
      </c>
      <c r="W50" s="698">
        <f t="shared" si="36"/>
        <v>12600</v>
      </c>
      <c r="X50" s="753">
        <f t="shared" si="36"/>
        <v>0</v>
      </c>
      <c r="Y50" s="698">
        <f t="shared" si="36"/>
        <v>0</v>
      </c>
      <c r="Z50" s="753">
        <f t="shared" si="36"/>
        <v>0</v>
      </c>
      <c r="AA50" s="698">
        <f t="shared" si="36"/>
        <v>27016</v>
      </c>
      <c r="AB50" s="753">
        <f t="shared" si="36"/>
        <v>4234</v>
      </c>
      <c r="AC50" s="698">
        <f t="shared" si="36"/>
        <v>31250</v>
      </c>
      <c r="AD50" s="698">
        <f t="shared" si="36"/>
        <v>2733291</v>
      </c>
      <c r="AE50" s="753">
        <f t="shared" si="36"/>
        <v>86637</v>
      </c>
      <c r="AF50" s="698">
        <f t="shared" si="36"/>
        <v>2819928</v>
      </c>
      <c r="AG50" s="752" t="s">
        <v>775</v>
      </c>
      <c r="AH50" s="698">
        <f t="shared" ref="AH50:AP50" si="37">AH30+AH49</f>
        <v>685622</v>
      </c>
      <c r="AI50" s="753">
        <f t="shared" si="37"/>
        <v>0</v>
      </c>
      <c r="AJ50" s="698">
        <f t="shared" si="37"/>
        <v>685622</v>
      </c>
      <c r="AK50" s="698">
        <f t="shared" si="37"/>
        <v>16820587</v>
      </c>
      <c r="AL50" s="753">
        <f t="shared" si="37"/>
        <v>238461</v>
      </c>
      <c r="AM50" s="698">
        <f t="shared" si="37"/>
        <v>17059048</v>
      </c>
      <c r="AN50" s="753">
        <f t="shared" si="37"/>
        <v>20239500</v>
      </c>
      <c r="AO50" s="698">
        <f t="shared" si="37"/>
        <v>325098</v>
      </c>
      <c r="AP50" s="698">
        <f t="shared" si="37"/>
        <v>20564598</v>
      </c>
    </row>
    <row r="51" spans="1:42" s="722" customFormat="1" ht="26.45" customHeight="1" x14ac:dyDescent="0.55000000000000004">
      <c r="A51" s="965"/>
      <c r="B51" s="966"/>
      <c r="C51" s="966"/>
      <c r="D51" s="966"/>
      <c r="E51" s="967"/>
      <c r="F51" s="966"/>
      <c r="G51" s="966"/>
      <c r="H51" s="966"/>
      <c r="I51" s="966"/>
      <c r="J51" s="966"/>
      <c r="K51" s="966"/>
      <c r="L51" s="966"/>
      <c r="M51" s="966"/>
      <c r="N51" s="966"/>
      <c r="O51" s="966"/>
      <c r="P51" s="966"/>
      <c r="Q51" s="965"/>
      <c r="R51" s="966"/>
      <c r="S51" s="966"/>
      <c r="T51" s="966"/>
      <c r="U51" s="966"/>
      <c r="V51" s="966"/>
      <c r="W51" s="966"/>
      <c r="X51" s="966"/>
      <c r="Y51" s="966"/>
      <c r="Z51" s="966"/>
      <c r="AA51" s="966"/>
      <c r="AB51" s="966"/>
      <c r="AC51" s="966"/>
      <c r="AD51" s="966"/>
      <c r="AE51" s="966"/>
      <c r="AF51" s="966"/>
      <c r="AG51" s="965"/>
      <c r="AH51" s="965"/>
      <c r="AI51" s="965"/>
      <c r="AJ51" s="965"/>
      <c r="AK51" s="965"/>
      <c r="AL51" s="965"/>
      <c r="AM51" s="968"/>
      <c r="AN51" s="968"/>
      <c r="AO51" s="968"/>
      <c r="AP51" s="966"/>
    </row>
    <row r="52" spans="1:42" s="722" customFormat="1" ht="26.45" customHeight="1" x14ac:dyDescent="0.55000000000000004">
      <c r="A52" s="965"/>
      <c r="B52" s="966"/>
      <c r="C52" s="966"/>
      <c r="D52" s="966"/>
      <c r="E52" s="966"/>
      <c r="F52" s="966"/>
      <c r="G52" s="966"/>
      <c r="H52" s="966"/>
      <c r="I52" s="966"/>
      <c r="J52" s="966"/>
      <c r="K52" s="966"/>
      <c r="L52" s="966"/>
      <c r="M52" s="966"/>
      <c r="N52" s="966"/>
      <c r="O52" s="966"/>
      <c r="P52" s="966"/>
      <c r="Q52" s="965"/>
      <c r="R52" s="966"/>
      <c r="S52" s="966"/>
      <c r="T52" s="966"/>
      <c r="U52" s="966"/>
      <c r="V52" s="966"/>
      <c r="W52" s="966"/>
      <c r="X52" s="966"/>
      <c r="Y52" s="966"/>
      <c r="Z52" s="966"/>
      <c r="AA52" s="966"/>
      <c r="AB52" s="966"/>
      <c r="AC52" s="966"/>
      <c r="AD52" s="966"/>
      <c r="AE52" s="966"/>
      <c r="AF52" s="966"/>
      <c r="AG52" s="965"/>
      <c r="AH52" s="965"/>
      <c r="AI52" s="965"/>
      <c r="AJ52" s="965"/>
      <c r="AK52" s="965"/>
      <c r="AL52" s="965"/>
      <c r="AM52" s="968"/>
      <c r="AN52" s="968"/>
      <c r="AO52" s="968"/>
      <c r="AP52" s="966"/>
    </row>
    <row r="53" spans="1:42" s="722" customFormat="1" ht="26.45" customHeight="1" x14ac:dyDescent="0.55000000000000004">
      <c r="A53" s="965"/>
      <c r="B53" s="966"/>
      <c r="C53" s="966"/>
      <c r="D53" s="966"/>
      <c r="E53" s="966"/>
      <c r="F53" s="966"/>
      <c r="G53" s="966"/>
      <c r="H53" s="966"/>
      <c r="I53" s="966"/>
      <c r="J53" s="966"/>
      <c r="K53" s="966"/>
      <c r="L53" s="966"/>
      <c r="M53" s="966"/>
      <c r="N53" s="966"/>
      <c r="O53" s="966"/>
      <c r="P53" s="966"/>
      <c r="Q53" s="965"/>
      <c r="R53" s="966"/>
      <c r="S53" s="966"/>
      <c r="T53" s="966"/>
      <c r="U53" s="966"/>
      <c r="V53" s="966"/>
      <c r="W53" s="966"/>
      <c r="X53" s="966"/>
      <c r="Y53" s="966"/>
      <c r="Z53" s="966"/>
      <c r="AA53" s="966"/>
      <c r="AB53" s="966"/>
      <c r="AC53" s="966"/>
      <c r="AD53" s="966"/>
      <c r="AE53" s="966"/>
      <c r="AF53" s="966"/>
      <c r="AG53" s="965"/>
      <c r="AH53" s="965"/>
      <c r="AI53" s="965"/>
      <c r="AJ53" s="965"/>
      <c r="AK53" s="965"/>
      <c r="AL53" s="965"/>
      <c r="AM53" s="968"/>
      <c r="AN53" s="968"/>
      <c r="AO53" s="968"/>
      <c r="AP53" s="966"/>
    </row>
  </sheetData>
  <mergeCells count="27">
    <mergeCell ref="AN6:AP6"/>
    <mergeCell ref="B7:D7"/>
    <mergeCell ref="N7:P7"/>
    <mergeCell ref="R7:T7"/>
    <mergeCell ref="X7:Z7"/>
    <mergeCell ref="AA7:AC7"/>
    <mergeCell ref="AD7:AF7"/>
    <mergeCell ref="AK7:AM7"/>
    <mergeCell ref="AN7:AP7"/>
    <mergeCell ref="U6:W6"/>
    <mergeCell ref="X6:Z6"/>
    <mergeCell ref="AA6:AC6"/>
    <mergeCell ref="AD6:AF6"/>
    <mergeCell ref="AH6:AJ6"/>
    <mergeCell ref="AK6:AM6"/>
    <mergeCell ref="B6:D6"/>
    <mergeCell ref="E6:G6"/>
    <mergeCell ref="H6:J6"/>
    <mergeCell ref="K6:M6"/>
    <mergeCell ref="N6:P6"/>
    <mergeCell ref="R6:T6"/>
    <mergeCell ref="B3:P3"/>
    <mergeCell ref="R3:AF3"/>
    <mergeCell ref="AH3:AP3"/>
    <mergeCell ref="B4:P4"/>
    <mergeCell ref="R4:AF4"/>
    <mergeCell ref="AH4:AP4"/>
  </mergeCells>
  <printOptions horizontalCentered="1" verticalCentered="1"/>
  <pageMargins left="0" right="0" top="0" bottom="0" header="0" footer="0"/>
  <pageSetup paperSize="9" scale="17" orientation="landscape" r:id="rId1"/>
  <headerFooter alignWithMargins="0">
    <oddHeader>&amp;L&amp;14
&amp;F &amp;A&amp;R&amp;"Arial CE,Félkövér"&amp;36
4. melléklet a     14/2026.(IX.25.) önkormányzati rendelethez
"4. melléklet a 3/2026.(II.27.) önkormányzati rendelethez"</oddHeader>
    <oddFooter xml:space="preserve">&amp;C &amp;R
&amp;36 &amp;10
</oddFooter>
  </headerFooter>
  <colBreaks count="2" manualBreakCount="2">
    <brk id="16" max="48" man="1"/>
    <brk id="32" max="48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62310-7CCC-43D9-A004-8D2418D5332B}">
  <dimension ref="A1:F89"/>
  <sheetViews>
    <sheetView zoomScale="59" zoomScaleNormal="59" zoomScaleSheetLayoutView="44" workbookViewId="0">
      <selection activeCell="E92" sqref="E92"/>
    </sheetView>
  </sheetViews>
  <sheetFormatPr defaultColWidth="10.33203125" defaultRowHeight="72" customHeight="1" x14ac:dyDescent="0.3"/>
  <cols>
    <col min="1" max="1" width="162.6640625" style="872" bestFit="1" customWidth="1"/>
    <col min="2" max="2" width="42.83203125" style="872" customWidth="1"/>
    <col min="3" max="4" width="39.33203125" style="964" bestFit="1" customWidth="1"/>
    <col min="5" max="5" width="42.1640625" style="964" customWidth="1"/>
    <col min="6" max="6" width="39.33203125" style="964" bestFit="1" customWidth="1"/>
    <col min="7" max="16384" width="10.33203125" style="871"/>
  </cols>
  <sheetData>
    <row r="1" spans="1:6" s="870" customFormat="1" ht="43.5" customHeight="1" x14ac:dyDescent="0.4">
      <c r="A1" s="985" t="s">
        <v>806</v>
      </c>
      <c r="B1" s="985"/>
      <c r="C1" s="985"/>
      <c r="D1" s="985"/>
      <c r="E1" s="985"/>
      <c r="F1" s="985"/>
    </row>
    <row r="2" spans="1:6" ht="33" customHeight="1" x14ac:dyDescent="0.4">
      <c r="A2" s="986" t="s">
        <v>807</v>
      </c>
      <c r="B2" s="986"/>
      <c r="C2" s="986"/>
      <c r="D2" s="986"/>
      <c r="E2" s="986"/>
      <c r="F2" s="986"/>
    </row>
    <row r="3" spans="1:6" ht="42" customHeight="1" thickBot="1" x14ac:dyDescent="0.4">
      <c r="C3" s="873"/>
      <c r="D3" s="873"/>
      <c r="E3" s="873"/>
      <c r="F3" s="874" t="s">
        <v>808</v>
      </c>
    </row>
    <row r="4" spans="1:6" s="877" customFormat="1" ht="129.75" customHeight="1" x14ac:dyDescent="0.4">
      <c r="A4" s="875" t="s">
        <v>809</v>
      </c>
      <c r="B4" s="876" t="s">
        <v>810</v>
      </c>
      <c r="C4" s="876" t="s">
        <v>811</v>
      </c>
      <c r="D4" s="876" t="s">
        <v>812</v>
      </c>
      <c r="E4" s="876" t="s">
        <v>813</v>
      </c>
      <c r="F4" s="876" t="s">
        <v>814</v>
      </c>
    </row>
    <row r="5" spans="1:6" s="880" customFormat="1" ht="77.25" customHeight="1" x14ac:dyDescent="0.4">
      <c r="A5" s="878" t="s">
        <v>815</v>
      </c>
      <c r="B5" s="879"/>
      <c r="C5" s="879"/>
      <c r="D5" s="879"/>
      <c r="E5" s="879"/>
      <c r="F5" s="879"/>
    </row>
    <row r="6" spans="1:6" s="880" customFormat="1" ht="51" customHeight="1" x14ac:dyDescent="0.5">
      <c r="A6" s="881" t="s">
        <v>816</v>
      </c>
      <c r="B6" s="882">
        <v>1118971</v>
      </c>
      <c r="C6" s="882">
        <v>1191814</v>
      </c>
      <c r="D6" s="882">
        <v>1191814</v>
      </c>
      <c r="E6" s="882"/>
      <c r="F6" s="882">
        <f>SUM(D6:E6)</f>
        <v>1191814</v>
      </c>
    </row>
    <row r="7" spans="1:6" s="880" customFormat="1" ht="54.75" customHeight="1" x14ac:dyDescent="0.5">
      <c r="A7" s="883" t="s">
        <v>817</v>
      </c>
      <c r="B7" s="884">
        <v>83153</v>
      </c>
      <c r="C7" s="884">
        <v>83156</v>
      </c>
      <c r="D7" s="884">
        <v>83156</v>
      </c>
      <c r="E7" s="884"/>
      <c r="F7" s="884">
        <f t="shared" ref="F7:F13" si="0">SUM(D7:E7)</f>
        <v>83156</v>
      </c>
    </row>
    <row r="8" spans="1:6" s="880" customFormat="1" ht="54.75" customHeight="1" x14ac:dyDescent="0.5">
      <c r="A8" s="883" t="s">
        <v>818</v>
      </c>
      <c r="B8" s="884">
        <v>218067</v>
      </c>
      <c r="C8" s="884">
        <v>203786</v>
      </c>
      <c r="D8" s="884">
        <v>203786</v>
      </c>
      <c r="E8" s="884"/>
      <c r="F8" s="884">
        <f t="shared" si="0"/>
        <v>203786</v>
      </c>
    </row>
    <row r="9" spans="1:6" s="880" customFormat="1" ht="77.25" customHeight="1" x14ac:dyDescent="0.5">
      <c r="A9" s="883" t="s">
        <v>819</v>
      </c>
      <c r="B9" s="885">
        <v>100</v>
      </c>
      <c r="C9" s="885">
        <v>30744</v>
      </c>
      <c r="D9" s="885">
        <v>30744</v>
      </c>
      <c r="E9" s="885"/>
      <c r="F9" s="885">
        <f t="shared" si="0"/>
        <v>30744</v>
      </c>
    </row>
    <row r="10" spans="1:6" s="880" customFormat="1" ht="77.25" customHeight="1" x14ac:dyDescent="0.5">
      <c r="A10" s="883" t="s">
        <v>820</v>
      </c>
      <c r="B10" s="884">
        <v>131036</v>
      </c>
      <c r="C10" s="884">
        <v>131036</v>
      </c>
      <c r="D10" s="884">
        <v>131036</v>
      </c>
      <c r="E10" s="884"/>
      <c r="F10" s="884">
        <f t="shared" si="0"/>
        <v>131036</v>
      </c>
    </row>
    <row r="11" spans="1:6" s="880" customFormat="1" ht="77.25" customHeight="1" x14ac:dyDescent="0.5">
      <c r="A11" s="883" t="s">
        <v>821</v>
      </c>
      <c r="B11" s="884">
        <v>207617</v>
      </c>
      <c r="C11" s="884">
        <v>206662</v>
      </c>
      <c r="D11" s="884">
        <v>206662</v>
      </c>
      <c r="E11" s="884"/>
      <c r="F11" s="884">
        <f t="shared" si="0"/>
        <v>206662</v>
      </c>
    </row>
    <row r="12" spans="1:6" s="880" customFormat="1" ht="77.25" customHeight="1" x14ac:dyDescent="0.5">
      <c r="A12" s="883" t="s">
        <v>822</v>
      </c>
      <c r="B12" s="884">
        <v>224</v>
      </c>
      <c r="C12" s="884">
        <v>230</v>
      </c>
      <c r="D12" s="884">
        <v>230</v>
      </c>
      <c r="E12" s="884"/>
      <c r="F12" s="884">
        <f t="shared" si="0"/>
        <v>230</v>
      </c>
    </row>
    <row r="13" spans="1:6" s="880" customFormat="1" ht="77.25" customHeight="1" thickBot="1" x14ac:dyDescent="0.55000000000000004">
      <c r="A13" s="886" t="s">
        <v>823</v>
      </c>
      <c r="B13" s="884">
        <v>676</v>
      </c>
      <c r="C13" s="884">
        <v>675</v>
      </c>
      <c r="D13" s="884">
        <v>675</v>
      </c>
      <c r="E13" s="884"/>
      <c r="F13" s="884">
        <f t="shared" si="0"/>
        <v>675</v>
      </c>
    </row>
    <row r="14" spans="1:6" s="889" customFormat="1" ht="77.25" customHeight="1" thickTop="1" thickBot="1" x14ac:dyDescent="0.55000000000000004">
      <c r="A14" s="887" t="s">
        <v>824</v>
      </c>
      <c r="B14" s="888">
        <f>SUM(B5:B13)</f>
        <v>1759844</v>
      </c>
      <c r="C14" s="888">
        <f>SUM(C5:C13)</f>
        <v>1848103</v>
      </c>
      <c r="D14" s="888">
        <f>SUM(D5:D13)</f>
        <v>1848103</v>
      </c>
      <c r="E14" s="888">
        <f>SUM(E5:E13)</f>
        <v>0</v>
      </c>
      <c r="F14" s="888">
        <f>SUM(F5:F13)</f>
        <v>1848103</v>
      </c>
    </row>
    <row r="15" spans="1:6" s="889" customFormat="1" ht="77.25" customHeight="1" thickTop="1" x14ac:dyDescent="0.5">
      <c r="A15" s="890" t="s">
        <v>825</v>
      </c>
      <c r="B15" s="891"/>
      <c r="C15" s="891"/>
      <c r="D15" s="891"/>
      <c r="E15" s="891"/>
      <c r="F15" s="891"/>
    </row>
    <row r="16" spans="1:6" s="880" customFormat="1" ht="77.25" customHeight="1" x14ac:dyDescent="0.5">
      <c r="A16" s="892" t="s">
        <v>826</v>
      </c>
      <c r="B16" s="893"/>
      <c r="C16" s="893"/>
      <c r="D16" s="893"/>
      <c r="E16" s="893"/>
      <c r="F16" s="893"/>
    </row>
    <row r="17" spans="1:6" s="880" customFormat="1" ht="77.25" customHeight="1" x14ac:dyDescent="0.5">
      <c r="A17" s="894" t="s">
        <v>827</v>
      </c>
      <c r="B17" s="882">
        <v>372845</v>
      </c>
      <c r="C17" s="882">
        <v>370380</v>
      </c>
      <c r="D17" s="882">
        <v>370380</v>
      </c>
      <c r="E17" s="882">
        <f>'[4]2026.májusi-mutatószám '!E17+'[4]2026.májusi fajlagosem-ped.bér'!E17</f>
        <v>1896</v>
      </c>
      <c r="F17" s="882">
        <f>SUM(D17:E17)</f>
        <v>372276</v>
      </c>
    </row>
    <row r="18" spans="1:6" s="880" customFormat="1" ht="77.25" customHeight="1" x14ac:dyDescent="0.5">
      <c r="A18" s="895" t="s">
        <v>828</v>
      </c>
      <c r="B18" s="896"/>
      <c r="C18" s="896"/>
      <c r="D18" s="896"/>
      <c r="E18" s="896"/>
      <c r="F18" s="896"/>
    </row>
    <row r="19" spans="1:6" s="880" customFormat="1" ht="77.25" customHeight="1" x14ac:dyDescent="0.5">
      <c r="A19" s="897" t="s">
        <v>829</v>
      </c>
      <c r="B19" s="882">
        <v>2057637</v>
      </c>
      <c r="C19" s="882">
        <v>2292000</v>
      </c>
      <c r="D19" s="882">
        <v>2326440</v>
      </c>
      <c r="E19" s="882">
        <f>'[4]2026.májusi-mutatószám '!E19+'[4]2026.májusi fajlagosem-ped.bér'!E19</f>
        <v>21800</v>
      </c>
      <c r="F19" s="882">
        <f t="shared" ref="F19:F39" si="1">SUM(D19:E19)</f>
        <v>2348240</v>
      </c>
    </row>
    <row r="20" spans="1:6" s="880" customFormat="1" ht="96" customHeight="1" x14ac:dyDescent="0.5">
      <c r="A20" s="898" t="s">
        <v>830</v>
      </c>
      <c r="B20" s="893"/>
      <c r="C20" s="893"/>
      <c r="D20" s="893"/>
      <c r="E20" s="893"/>
      <c r="F20" s="893"/>
    </row>
    <row r="21" spans="1:6" s="880" customFormat="1" ht="61.5" x14ac:dyDescent="0.5">
      <c r="A21" s="899" t="s">
        <v>831</v>
      </c>
      <c r="B21" s="893"/>
      <c r="C21" s="893"/>
      <c r="D21" s="893"/>
      <c r="E21" s="893"/>
      <c r="F21" s="893"/>
    </row>
    <row r="22" spans="1:6" s="880" customFormat="1" ht="33.75" x14ac:dyDescent="0.5">
      <c r="A22" s="900" t="s">
        <v>832</v>
      </c>
      <c r="B22" s="893"/>
      <c r="C22" s="893"/>
      <c r="D22" s="893"/>
      <c r="E22" s="893"/>
      <c r="F22" s="893"/>
    </row>
    <row r="23" spans="1:6" s="880" customFormat="1" ht="96" customHeight="1" x14ac:dyDescent="0.5">
      <c r="A23" s="901" t="s">
        <v>833</v>
      </c>
      <c r="B23" s="882">
        <v>51619</v>
      </c>
      <c r="C23" s="882">
        <v>55448</v>
      </c>
      <c r="D23" s="882">
        <v>55448</v>
      </c>
      <c r="E23" s="882">
        <f>'[4]2026.májusi-mutatószám '!E23+'[4]2026.májusi fajlagosem-ped.bér'!E23</f>
        <v>1804</v>
      </c>
      <c r="F23" s="882">
        <f t="shared" si="1"/>
        <v>57252</v>
      </c>
    </row>
    <row r="24" spans="1:6" s="880" customFormat="1" ht="47.25" customHeight="1" x14ac:dyDescent="0.5">
      <c r="A24" s="902" t="s">
        <v>834</v>
      </c>
      <c r="B24" s="882">
        <v>49707</v>
      </c>
      <c r="C24" s="882">
        <v>52580</v>
      </c>
      <c r="D24" s="882">
        <v>52580</v>
      </c>
      <c r="E24" s="882">
        <f>'[4]2026.májusi-mutatószám '!E24+'[4]2026.májusi fajlagosem-ped.bér'!E24</f>
        <v>1412</v>
      </c>
      <c r="F24" s="882">
        <f t="shared" si="1"/>
        <v>53992</v>
      </c>
    </row>
    <row r="25" spans="1:6" s="880" customFormat="1" ht="47.25" customHeight="1" x14ac:dyDescent="0.5">
      <c r="A25" s="881" t="s">
        <v>835</v>
      </c>
      <c r="B25" s="882">
        <v>1912</v>
      </c>
      <c r="C25" s="882">
        <v>2868</v>
      </c>
      <c r="D25" s="882">
        <v>2868</v>
      </c>
      <c r="E25" s="882">
        <f>'[4]2026.májusi-mutatószám '!E25+'[4]2026.májusi fajlagosem-ped.bér'!E25</f>
        <v>392</v>
      </c>
      <c r="F25" s="882">
        <f t="shared" si="1"/>
        <v>3260</v>
      </c>
    </row>
    <row r="26" spans="1:6" s="880" customFormat="1" ht="77.25" customHeight="1" x14ac:dyDescent="0.5">
      <c r="A26" s="881" t="s">
        <v>836</v>
      </c>
      <c r="B26" s="884">
        <v>51856</v>
      </c>
      <c r="C26" s="884">
        <v>57040</v>
      </c>
      <c r="D26" s="884">
        <v>57040</v>
      </c>
      <c r="E26" s="882">
        <f>'[4]2026.májusi-mutatószám '!E26+'[4]2026.májusi fajlagosem-ped.bér'!E26</f>
        <v>-4086</v>
      </c>
      <c r="F26" s="884">
        <f t="shared" si="1"/>
        <v>52954</v>
      </c>
    </row>
    <row r="27" spans="1:6" s="880" customFormat="1" ht="77.25" customHeight="1" x14ac:dyDescent="0.5">
      <c r="A27" s="898" t="s">
        <v>837</v>
      </c>
      <c r="B27" s="896"/>
      <c r="C27" s="896"/>
      <c r="D27" s="896"/>
      <c r="E27" s="896"/>
      <c r="F27" s="896"/>
    </row>
    <row r="28" spans="1:6" s="880" customFormat="1" ht="90.75" customHeight="1" x14ac:dyDescent="0.5">
      <c r="A28" s="903" t="s">
        <v>838</v>
      </c>
      <c r="B28" s="882">
        <v>3141</v>
      </c>
      <c r="C28" s="882">
        <v>3456</v>
      </c>
      <c r="D28" s="882">
        <v>3456</v>
      </c>
      <c r="E28" s="882">
        <f>'[4]2026.májusi-mutatószám '!E28+'[4]2026.májusi fajlagosem-ped.bér'!E28</f>
        <v>12</v>
      </c>
      <c r="F28" s="882">
        <f t="shared" si="1"/>
        <v>3468</v>
      </c>
    </row>
    <row r="29" spans="1:6" s="880" customFormat="1" ht="51.75" customHeight="1" x14ac:dyDescent="0.5">
      <c r="A29" s="881" t="s">
        <v>834</v>
      </c>
      <c r="B29" s="882">
        <v>1047</v>
      </c>
      <c r="C29" s="882">
        <v>1152</v>
      </c>
      <c r="D29" s="882">
        <v>1152</v>
      </c>
      <c r="E29" s="882">
        <f>'[4]2026.májusi-mutatószám '!E29+'[4]2026.májusi fajlagosem-ped.bér'!E29</f>
        <v>4</v>
      </c>
      <c r="F29" s="882">
        <f t="shared" si="1"/>
        <v>1156</v>
      </c>
    </row>
    <row r="30" spans="1:6" s="880" customFormat="1" ht="58.5" customHeight="1" x14ac:dyDescent="0.5">
      <c r="A30" s="881" t="s">
        <v>835</v>
      </c>
      <c r="B30" s="882">
        <v>2094</v>
      </c>
      <c r="C30" s="882">
        <v>2304</v>
      </c>
      <c r="D30" s="882">
        <v>2304</v>
      </c>
      <c r="E30" s="882">
        <f>'[4]2026.májusi-mutatószám '!E30+'[4]2026.májusi fajlagosem-ped.bér'!E30</f>
        <v>8</v>
      </c>
      <c r="F30" s="882">
        <f t="shared" si="1"/>
        <v>2312</v>
      </c>
    </row>
    <row r="31" spans="1:6" s="880" customFormat="1" ht="77.25" customHeight="1" x14ac:dyDescent="0.5">
      <c r="A31" s="881" t="s">
        <v>839</v>
      </c>
      <c r="B31" s="884">
        <v>3660</v>
      </c>
      <c r="C31" s="884">
        <v>8052</v>
      </c>
      <c r="D31" s="884">
        <v>8052</v>
      </c>
      <c r="E31" s="882">
        <f>'[4]2026.májusi-mutatószám '!E31+'[4]2026.májusi fajlagosem-ped.bér'!E31</f>
        <v>30</v>
      </c>
      <c r="F31" s="884">
        <f t="shared" si="1"/>
        <v>8082</v>
      </c>
    </row>
    <row r="32" spans="1:6" s="880" customFormat="1" ht="77.25" customHeight="1" x14ac:dyDescent="0.5">
      <c r="A32" s="904" t="s">
        <v>840</v>
      </c>
      <c r="B32" s="896"/>
      <c r="C32" s="896"/>
      <c r="D32" s="896"/>
      <c r="E32" s="896"/>
      <c r="F32" s="896"/>
    </row>
    <row r="33" spans="1:6" s="880" customFormat="1" ht="77.25" customHeight="1" x14ac:dyDescent="0.5">
      <c r="A33" s="899" t="s">
        <v>841</v>
      </c>
      <c r="B33" s="893"/>
      <c r="C33" s="893"/>
      <c r="D33" s="893"/>
      <c r="E33" s="893"/>
      <c r="F33" s="893"/>
    </row>
    <row r="34" spans="1:6" s="880" customFormat="1" ht="87.75" customHeight="1" x14ac:dyDescent="0.5">
      <c r="A34" s="905" t="s">
        <v>842</v>
      </c>
      <c r="B34" s="882">
        <v>13904</v>
      </c>
      <c r="C34" s="882">
        <v>15296</v>
      </c>
      <c r="D34" s="882">
        <v>15296</v>
      </c>
      <c r="E34" s="882">
        <f>'[4]2026.májusi-mutatószám '!E34+'[4]2026.májusi fajlagosem-ped.bér'!E34</f>
        <v>56</v>
      </c>
      <c r="F34" s="882">
        <f t="shared" si="1"/>
        <v>15352</v>
      </c>
    </row>
    <row r="35" spans="1:6" s="880" customFormat="1" ht="99.75" customHeight="1" x14ac:dyDescent="0.5">
      <c r="A35" s="892" t="s">
        <v>843</v>
      </c>
      <c r="B35" s="893"/>
      <c r="C35" s="893"/>
      <c r="D35" s="893"/>
      <c r="E35" s="893"/>
      <c r="F35" s="893"/>
    </row>
    <row r="36" spans="1:6" s="880" customFormat="1" ht="77.25" customHeight="1" x14ac:dyDescent="0.5">
      <c r="A36" s="899" t="s">
        <v>844</v>
      </c>
      <c r="B36" s="893"/>
      <c r="C36" s="893"/>
      <c r="D36" s="893"/>
      <c r="E36" s="893"/>
      <c r="F36" s="893"/>
    </row>
    <row r="37" spans="1:6" s="880" customFormat="1" ht="77.25" customHeight="1" x14ac:dyDescent="0.5">
      <c r="A37" s="881" t="s">
        <v>845</v>
      </c>
      <c r="B37" s="882">
        <v>723296</v>
      </c>
      <c r="C37" s="882">
        <v>773813</v>
      </c>
      <c r="D37" s="882">
        <v>773813</v>
      </c>
      <c r="E37" s="882">
        <f>'[4]2026.májusi-mutatószám '!E37+'[4]2026.májusi fajlagosem-ped.bér'!E37</f>
        <v>-8350</v>
      </c>
      <c r="F37" s="882">
        <f t="shared" si="1"/>
        <v>765463</v>
      </c>
    </row>
    <row r="38" spans="1:6" s="880" customFormat="1" ht="77.25" customHeight="1" thickBot="1" x14ac:dyDescent="0.55000000000000004">
      <c r="A38" s="906" t="s">
        <v>846</v>
      </c>
      <c r="B38" s="907">
        <v>87014</v>
      </c>
      <c r="C38" s="907">
        <v>80220</v>
      </c>
      <c r="D38" s="907">
        <v>81425</v>
      </c>
      <c r="E38" s="907">
        <f>'[4]2026.májusi-mutatószám '!E38+'[4]2026.májusi fajlagosem-ped.bér'!E38</f>
        <v>17530</v>
      </c>
      <c r="F38" s="907">
        <f t="shared" si="1"/>
        <v>98955</v>
      </c>
    </row>
    <row r="39" spans="1:6" s="880" customFormat="1" ht="77.25" customHeight="1" thickTop="1" thickBot="1" x14ac:dyDescent="0.55000000000000004">
      <c r="A39" s="883" t="s">
        <v>847</v>
      </c>
      <c r="B39" s="884">
        <v>1738</v>
      </c>
      <c r="C39" s="884">
        <v>1912</v>
      </c>
      <c r="D39" s="884">
        <v>1912</v>
      </c>
      <c r="E39" s="884">
        <f>'[4]2026.májusi-mutatószám '!E39+'[4]2026.májusi fajlagosem-ped.bér'!E39</f>
        <v>6</v>
      </c>
      <c r="F39" s="884">
        <f t="shared" si="1"/>
        <v>1918</v>
      </c>
    </row>
    <row r="40" spans="1:6" s="880" customFormat="1" ht="62.25" customHeight="1" thickTop="1" thickBot="1" x14ac:dyDescent="0.55000000000000004">
      <c r="A40" s="887" t="s">
        <v>848</v>
      </c>
      <c r="B40" s="908">
        <f>SUM(B15:B39)-B24-B25-B29-B30</f>
        <v>3366710</v>
      </c>
      <c r="C40" s="908">
        <f>SUM(C15:C39)-C24-C25-C29-C30</f>
        <v>3657617</v>
      </c>
      <c r="D40" s="908">
        <f>SUM(D15:D39)-D24-D25-D29-D30</f>
        <v>3693262</v>
      </c>
      <c r="E40" s="908">
        <f>SUM(E15:E39)-E24-E25-E29-E30</f>
        <v>30698</v>
      </c>
      <c r="F40" s="908">
        <f>SUM(F15:F39)-F24-F25-F29-F30</f>
        <v>3723960</v>
      </c>
    </row>
    <row r="41" spans="1:6" s="909" customFormat="1" ht="77.25" customHeight="1" thickTop="1" x14ac:dyDescent="0.5">
      <c r="A41" s="890" t="s">
        <v>849</v>
      </c>
      <c r="B41" s="891"/>
      <c r="C41" s="891"/>
      <c r="D41" s="891"/>
      <c r="E41" s="891"/>
      <c r="F41" s="891"/>
    </row>
    <row r="42" spans="1:6" s="880" customFormat="1" ht="77.25" customHeight="1" x14ac:dyDescent="0.5">
      <c r="A42" s="910" t="s">
        <v>850</v>
      </c>
      <c r="B42" s="882"/>
      <c r="C42" s="882"/>
      <c r="D42" s="882"/>
      <c r="E42" s="882"/>
      <c r="F42" s="882"/>
    </row>
    <row r="43" spans="1:6" s="880" customFormat="1" ht="77.25" customHeight="1" x14ac:dyDescent="0.5">
      <c r="A43" s="883" t="s">
        <v>851</v>
      </c>
      <c r="B43" s="911">
        <v>121380</v>
      </c>
      <c r="C43" s="911">
        <v>120967</v>
      </c>
      <c r="D43" s="911">
        <v>120967</v>
      </c>
      <c r="E43" s="882">
        <f>'[4]2026.májusi-mutatószám '!E43+'[4]2026.májusi fajlagosem-ped.bér'!E43</f>
        <v>0</v>
      </c>
      <c r="F43" s="911">
        <f t="shared" ref="F43:F50" si="2">SUM(D43:E43)</f>
        <v>120967</v>
      </c>
    </row>
    <row r="44" spans="1:6" s="880" customFormat="1" ht="77.25" customHeight="1" x14ac:dyDescent="0.5">
      <c r="A44" s="883" t="s">
        <v>852</v>
      </c>
      <c r="B44" s="911">
        <v>142276</v>
      </c>
      <c r="C44" s="911">
        <v>152149</v>
      </c>
      <c r="D44" s="911">
        <v>152149</v>
      </c>
      <c r="E44" s="882">
        <f>'[4]2026.májusi-mutatószám '!E44+'[4]2026.májusi fajlagosem-ped.bér'!E44</f>
        <v>0</v>
      </c>
      <c r="F44" s="911">
        <f t="shared" si="2"/>
        <v>152149</v>
      </c>
    </row>
    <row r="45" spans="1:6" s="880" customFormat="1" ht="77.25" customHeight="1" x14ac:dyDescent="0.5">
      <c r="A45" s="912" t="s">
        <v>853</v>
      </c>
      <c r="B45" s="911">
        <v>96166</v>
      </c>
      <c r="C45" s="911">
        <v>103212</v>
      </c>
      <c r="D45" s="911">
        <v>103212</v>
      </c>
      <c r="E45" s="882">
        <f>'[4]2026.májusi-mutatószám '!E45+'[4]2026.májusi fajlagosem-ped.bér'!E45</f>
        <v>0</v>
      </c>
      <c r="F45" s="911">
        <f t="shared" si="2"/>
        <v>103212</v>
      </c>
    </row>
    <row r="46" spans="1:6" s="880" customFormat="1" ht="77.25" customHeight="1" x14ac:dyDescent="0.5">
      <c r="A46" s="883" t="s">
        <v>854</v>
      </c>
      <c r="B46" s="911">
        <v>87458</v>
      </c>
      <c r="C46" s="911">
        <v>93366</v>
      </c>
      <c r="D46" s="911">
        <v>93366</v>
      </c>
      <c r="E46" s="882">
        <f>'[4]2026.májusi-mutatószám '!E46+'[4]2026.májusi fajlagosem-ped.bér'!E46</f>
        <v>-2835</v>
      </c>
      <c r="F46" s="911">
        <f t="shared" si="2"/>
        <v>90531</v>
      </c>
    </row>
    <row r="47" spans="1:6" s="880" customFormat="1" ht="77.25" customHeight="1" x14ac:dyDescent="0.5">
      <c r="A47" s="913" t="s">
        <v>855</v>
      </c>
      <c r="B47" s="911">
        <v>75</v>
      </c>
      <c r="C47" s="911">
        <v>75</v>
      </c>
      <c r="D47" s="911">
        <v>75</v>
      </c>
      <c r="E47" s="882">
        <f>'[4]2026.májusi-mutatószám '!E47+'[4]2026.májusi fajlagosem-ped.bér'!E47</f>
        <v>25</v>
      </c>
      <c r="F47" s="911">
        <f t="shared" si="2"/>
        <v>100</v>
      </c>
    </row>
    <row r="48" spans="1:6" s="880" customFormat="1" ht="77.25" customHeight="1" x14ac:dyDescent="0.5">
      <c r="A48" s="883" t="s">
        <v>856</v>
      </c>
      <c r="B48" s="911">
        <v>68699</v>
      </c>
      <c r="C48" s="911">
        <v>77881</v>
      </c>
      <c r="D48" s="911">
        <v>77881</v>
      </c>
      <c r="E48" s="882">
        <f>'[4]2026.májusi-mutatószám '!E48+'[4]2026.májusi fajlagosem-ped.bér'!E48</f>
        <v>-5001</v>
      </c>
      <c r="F48" s="911">
        <f t="shared" si="2"/>
        <v>72880</v>
      </c>
    </row>
    <row r="49" spans="1:6" s="909" customFormat="1" ht="77.25" customHeight="1" x14ac:dyDescent="0.5">
      <c r="A49" s="914" t="s">
        <v>857</v>
      </c>
      <c r="B49" s="911">
        <v>58126</v>
      </c>
      <c r="C49" s="911">
        <v>63071</v>
      </c>
      <c r="D49" s="911">
        <v>63071</v>
      </c>
      <c r="E49" s="882">
        <f>'[4]2026.májusi-mutatószám '!E49+'[4]2026.májusi fajlagosem-ped.bér'!E49</f>
        <v>-1213</v>
      </c>
      <c r="F49" s="911">
        <f t="shared" si="2"/>
        <v>61858</v>
      </c>
    </row>
    <row r="50" spans="1:6" s="880" customFormat="1" ht="77.25" customHeight="1" thickBot="1" x14ac:dyDescent="0.55000000000000004">
      <c r="A50" s="883" t="s">
        <v>858</v>
      </c>
      <c r="B50" s="885">
        <v>7127</v>
      </c>
      <c r="C50" s="885">
        <v>7560</v>
      </c>
      <c r="D50" s="885">
        <v>7560</v>
      </c>
      <c r="E50" s="882">
        <f>'[4]2026.májusi-mutatószám '!E50+'[4]2026.májusi fajlagosem-ped.bér'!E50</f>
        <v>2160</v>
      </c>
      <c r="F50" s="885">
        <f t="shared" si="2"/>
        <v>9720</v>
      </c>
    </row>
    <row r="51" spans="1:6" s="880" customFormat="1" ht="60" customHeight="1" thickTop="1" thickBot="1" x14ac:dyDescent="0.55000000000000004">
      <c r="A51" s="915" t="s">
        <v>850</v>
      </c>
      <c r="B51" s="916">
        <f>SUM(B43:B50)</f>
        <v>581307</v>
      </c>
      <c r="C51" s="916">
        <f>SUM(C43:C50)</f>
        <v>618281</v>
      </c>
      <c r="D51" s="916">
        <f>SUM(D43:D50)</f>
        <v>618281</v>
      </c>
      <c r="E51" s="916">
        <f>SUM(E43:E50)</f>
        <v>-6864</v>
      </c>
      <c r="F51" s="916">
        <f>SUM(F43:F50)</f>
        <v>611417</v>
      </c>
    </row>
    <row r="52" spans="1:6" s="880" customFormat="1" ht="77.25" customHeight="1" thickTop="1" x14ac:dyDescent="0.5">
      <c r="A52" s="892" t="s">
        <v>859</v>
      </c>
      <c r="B52" s="893"/>
      <c r="C52" s="893"/>
      <c r="D52" s="893"/>
      <c r="E52" s="893"/>
      <c r="F52" s="893"/>
    </row>
    <row r="53" spans="1:6" s="880" customFormat="1" ht="77.25" customHeight="1" x14ac:dyDescent="0.5">
      <c r="A53" s="892" t="s">
        <v>860</v>
      </c>
      <c r="B53" s="893"/>
      <c r="C53" s="893"/>
      <c r="D53" s="893"/>
      <c r="E53" s="893"/>
      <c r="F53" s="893"/>
    </row>
    <row r="54" spans="1:6" s="880" customFormat="1" ht="77.25" customHeight="1" x14ac:dyDescent="0.5">
      <c r="A54" s="881" t="s">
        <v>861</v>
      </c>
      <c r="B54" s="882">
        <v>607523</v>
      </c>
      <c r="C54" s="882">
        <v>712656</v>
      </c>
      <c r="D54" s="882">
        <v>723505</v>
      </c>
      <c r="E54" s="882">
        <f>'[4]2026.májusi-mutatószám '!E54+'[4]2026.májusi fajlagosem-ped.bér'!E54</f>
        <v>44522</v>
      </c>
      <c r="F54" s="882">
        <f t="shared" ref="F54:F56" si="3">SUM(D54:E54)</f>
        <v>768027</v>
      </c>
    </row>
    <row r="55" spans="1:6" s="880" customFormat="1" ht="77.25" customHeight="1" x14ac:dyDescent="0.5">
      <c r="A55" s="883" t="s">
        <v>862</v>
      </c>
      <c r="B55" s="882">
        <v>625198</v>
      </c>
      <c r="C55" s="882">
        <v>647180</v>
      </c>
      <c r="D55" s="882">
        <v>647180</v>
      </c>
      <c r="E55" s="882">
        <f>'[4]2026.májusi-mutatószám '!E55+'[4]2026.májusi fajlagosem-ped.bér'!E55</f>
        <v>-31591</v>
      </c>
      <c r="F55" s="882">
        <f t="shared" si="3"/>
        <v>615589</v>
      </c>
    </row>
    <row r="56" spans="1:6" s="880" customFormat="1" ht="58.5" customHeight="1" thickBot="1" x14ac:dyDescent="0.55000000000000004">
      <c r="A56" s="917" t="s">
        <v>863</v>
      </c>
      <c r="B56" s="882">
        <v>258889</v>
      </c>
      <c r="C56" s="882">
        <v>266816</v>
      </c>
      <c r="D56" s="882">
        <v>266816</v>
      </c>
      <c r="E56" s="882">
        <f>'[4]2026.májusi-mutatószám '!E56+'[4]2026.májusi fajlagosem-ped.bér'!E56</f>
        <v>-15238</v>
      </c>
      <c r="F56" s="882">
        <f t="shared" si="3"/>
        <v>251578</v>
      </c>
    </row>
    <row r="57" spans="1:6" s="880" customFormat="1" ht="60.75" customHeight="1" thickTop="1" thickBot="1" x14ac:dyDescent="0.55000000000000004">
      <c r="A57" s="915" t="s">
        <v>864</v>
      </c>
      <c r="B57" s="916">
        <f>SUM(B54:B56)</f>
        <v>1491610</v>
      </c>
      <c r="C57" s="916">
        <f>SUM(C54:C56)</f>
        <v>1626652</v>
      </c>
      <c r="D57" s="916">
        <f>SUM(D54:D56)</f>
        <v>1637501</v>
      </c>
      <c r="E57" s="916">
        <f>SUM(E54:E56)</f>
        <v>-2307</v>
      </c>
      <c r="F57" s="916">
        <f>SUM(F54:F56)</f>
        <v>1635194</v>
      </c>
    </row>
    <row r="58" spans="1:6" s="880" customFormat="1" ht="92.25" thickTop="1" x14ac:dyDescent="0.5">
      <c r="A58" s="918" t="s">
        <v>865</v>
      </c>
      <c r="B58" s="919"/>
      <c r="C58" s="919"/>
      <c r="D58" s="919"/>
      <c r="E58" s="919"/>
      <c r="F58" s="919"/>
    </row>
    <row r="59" spans="1:6" s="880" customFormat="1" ht="48.75" customHeight="1" x14ac:dyDescent="0.5">
      <c r="A59" s="881" t="s">
        <v>866</v>
      </c>
      <c r="B59" s="882">
        <v>38956</v>
      </c>
      <c r="C59" s="882">
        <v>60725</v>
      </c>
      <c r="D59" s="882">
        <v>60725</v>
      </c>
      <c r="E59" s="882">
        <f>'[4]2026.májusi-mutatószám '!E59+'[4]2026.májusi fajlagosem-ped.bér'!E59</f>
        <v>-8675</v>
      </c>
      <c r="F59" s="882">
        <f t="shared" ref="F59:F60" si="4">SUM(D59:E59)</f>
        <v>52050</v>
      </c>
    </row>
    <row r="60" spans="1:6" s="880" customFormat="1" ht="77.25" customHeight="1" thickBot="1" x14ac:dyDescent="0.55000000000000004">
      <c r="A60" s="883" t="s">
        <v>867</v>
      </c>
      <c r="B60" s="882">
        <v>16171</v>
      </c>
      <c r="C60" s="882">
        <v>16218</v>
      </c>
      <c r="D60" s="882">
        <v>16218</v>
      </c>
      <c r="E60" s="882">
        <f>'[4]2026.májusi-mutatószám '!E60+'[4]2026.májusi fajlagosem-ped.bér'!E60</f>
        <v>0</v>
      </c>
      <c r="F60" s="882">
        <f t="shared" si="4"/>
        <v>16218</v>
      </c>
    </row>
    <row r="61" spans="1:6" s="880" customFormat="1" ht="92.25" customHeight="1" thickTop="1" thickBot="1" x14ac:dyDescent="0.55000000000000004">
      <c r="A61" s="918" t="s">
        <v>868</v>
      </c>
      <c r="B61" s="916">
        <f>SUM(B59:B60)</f>
        <v>55127</v>
      </c>
      <c r="C61" s="916">
        <f>SUM(C59:C60)</f>
        <v>76943</v>
      </c>
      <c r="D61" s="916">
        <f>SUM(D59:D60)</f>
        <v>76943</v>
      </c>
      <c r="E61" s="916">
        <f>SUM(E59:E60)</f>
        <v>-8675</v>
      </c>
      <c r="F61" s="916">
        <f>SUM(F59:F60)</f>
        <v>68268</v>
      </c>
    </row>
    <row r="62" spans="1:6" s="880" customFormat="1" ht="77.25" customHeight="1" thickTop="1" thickBot="1" x14ac:dyDescent="0.55000000000000004">
      <c r="A62" s="887" t="s">
        <v>869</v>
      </c>
      <c r="B62" s="908">
        <f>B51+B57+B61</f>
        <v>2128044</v>
      </c>
      <c r="C62" s="908">
        <f>C51+C57+C61</f>
        <v>2321876</v>
      </c>
      <c r="D62" s="908">
        <f>D51+D57+D61</f>
        <v>2332725</v>
      </c>
      <c r="E62" s="908">
        <f>E51+E57+E61</f>
        <v>-17846</v>
      </c>
      <c r="F62" s="908">
        <f>F51+F57+F61</f>
        <v>2314879</v>
      </c>
    </row>
    <row r="63" spans="1:6" s="880" customFormat="1" ht="54.75" customHeight="1" thickTop="1" x14ac:dyDescent="0.5">
      <c r="A63" s="920" t="s">
        <v>870</v>
      </c>
      <c r="B63" s="893"/>
      <c r="C63" s="893"/>
      <c r="D63" s="893"/>
      <c r="E63" s="893"/>
      <c r="F63" s="893"/>
    </row>
    <row r="64" spans="1:6" s="909" customFormat="1" ht="69" customHeight="1" x14ac:dyDescent="0.5">
      <c r="A64" s="921" t="s">
        <v>871</v>
      </c>
      <c r="B64" s="891"/>
      <c r="C64" s="891"/>
      <c r="D64" s="891"/>
      <c r="E64" s="891"/>
      <c r="F64" s="891"/>
    </row>
    <row r="65" spans="1:6" s="880" customFormat="1" ht="42" customHeight="1" x14ac:dyDescent="0.5">
      <c r="A65" s="922" t="s">
        <v>872</v>
      </c>
      <c r="B65" s="882">
        <v>369523</v>
      </c>
      <c r="C65" s="882">
        <v>417076</v>
      </c>
      <c r="D65" s="882">
        <v>417076</v>
      </c>
      <c r="E65" s="882">
        <f>'[4]2026.májusi-mutatószám '!E65+'[4]2026.májusi fajlagosem-ped.bér'!E65</f>
        <v>9064</v>
      </c>
      <c r="F65" s="882">
        <f t="shared" ref="F65:F67" si="5">SUM(D65:E65)</f>
        <v>426140</v>
      </c>
    </row>
    <row r="66" spans="1:6" s="880" customFormat="1" ht="45" customHeight="1" x14ac:dyDescent="0.5">
      <c r="A66" s="923" t="s">
        <v>873</v>
      </c>
      <c r="B66" s="882">
        <v>574968</v>
      </c>
      <c r="C66" s="882">
        <v>596710</v>
      </c>
      <c r="D66" s="882">
        <v>596710</v>
      </c>
      <c r="E66" s="882">
        <f>'[4]2026.májusi-mutatószám '!E66+'[4]2026.májusi fajlagosem-ped.bér'!E66</f>
        <v>15505</v>
      </c>
      <c r="F66" s="882">
        <f t="shared" si="5"/>
        <v>612215</v>
      </c>
    </row>
    <row r="67" spans="1:6" s="880" customFormat="1" ht="38.25" customHeight="1" thickBot="1" x14ac:dyDescent="0.55000000000000004">
      <c r="A67" s="921" t="s">
        <v>874</v>
      </c>
      <c r="B67" s="882">
        <v>1145</v>
      </c>
      <c r="C67" s="882">
        <v>1634</v>
      </c>
      <c r="D67" s="882">
        <v>1634</v>
      </c>
      <c r="E67" s="882">
        <f>'[4]2026.májusi-mutatószám '!E67+'[4]2026.májusi fajlagosem-ped.bér'!E67</f>
        <v>-122</v>
      </c>
      <c r="F67" s="882">
        <f t="shared" si="5"/>
        <v>1512</v>
      </c>
    </row>
    <row r="68" spans="1:6" s="880" customFormat="1" ht="60" customHeight="1" thickTop="1" thickBot="1" x14ac:dyDescent="0.55000000000000004">
      <c r="A68" s="924" t="s">
        <v>875</v>
      </c>
      <c r="B68" s="908">
        <f>SUM(B65:B67)</f>
        <v>945636</v>
      </c>
      <c r="C68" s="908">
        <f>SUM(C65:C67)</f>
        <v>1015420</v>
      </c>
      <c r="D68" s="908">
        <f>SUM(D65:D67)</f>
        <v>1015420</v>
      </c>
      <c r="E68" s="908">
        <f>SUM(E65:E67)</f>
        <v>24447</v>
      </c>
      <c r="F68" s="908">
        <f>SUM(F65:F67)</f>
        <v>1039867</v>
      </c>
    </row>
    <row r="69" spans="1:6" s="880" customFormat="1" ht="56.25" customHeight="1" thickTop="1" x14ac:dyDescent="0.5">
      <c r="A69" s="925" t="s">
        <v>876</v>
      </c>
      <c r="B69" s="919"/>
      <c r="C69" s="919"/>
      <c r="D69" s="919"/>
      <c r="E69" s="919"/>
      <c r="F69" s="919"/>
    </row>
    <row r="70" spans="1:6" s="880" customFormat="1" ht="64.5" customHeight="1" x14ac:dyDescent="0.5">
      <c r="A70" s="926" t="s">
        <v>877</v>
      </c>
      <c r="B70" s="882">
        <v>71480</v>
      </c>
      <c r="C70" s="882">
        <v>71151</v>
      </c>
      <c r="D70" s="882">
        <v>71151</v>
      </c>
      <c r="E70" s="882">
        <f>'[4]2026.májusi-mutatószám '!E70+'[4]2026.májusi fajlagosem-ped.bér'!E70</f>
        <v>0</v>
      </c>
      <c r="F70" s="882">
        <f t="shared" ref="F70:F71" si="6">SUM(D70:E70)</f>
        <v>71151</v>
      </c>
    </row>
    <row r="71" spans="1:6" s="880" customFormat="1" ht="63.75" customHeight="1" thickBot="1" x14ac:dyDescent="0.55000000000000004">
      <c r="A71" s="927" t="s">
        <v>878</v>
      </c>
      <c r="B71" s="882">
        <v>142714</v>
      </c>
      <c r="C71" s="882">
        <v>142321</v>
      </c>
      <c r="D71" s="882">
        <v>142321</v>
      </c>
      <c r="E71" s="882">
        <f>'[4]2026.májusi-mutatószám '!E71+'[4]2026.májusi fajlagosem-ped.bér'!E71</f>
        <v>0</v>
      </c>
      <c r="F71" s="882">
        <f t="shared" si="6"/>
        <v>142321</v>
      </c>
    </row>
    <row r="72" spans="1:6" s="880" customFormat="1" ht="63.75" customHeight="1" thickTop="1" thickBot="1" x14ac:dyDescent="0.55000000000000004">
      <c r="A72" s="924" t="s">
        <v>879</v>
      </c>
      <c r="B72" s="908">
        <f>SUM(B70:B71)</f>
        <v>214194</v>
      </c>
      <c r="C72" s="908">
        <f>SUM(C70:C71)</f>
        <v>213472</v>
      </c>
      <c r="D72" s="908">
        <f>SUM(D70:D71)</f>
        <v>213472</v>
      </c>
      <c r="E72" s="908">
        <f>SUM(E70:E71)</f>
        <v>0</v>
      </c>
      <c r="F72" s="908">
        <f>SUM(F70:F71)</f>
        <v>213472</v>
      </c>
    </row>
    <row r="73" spans="1:6" s="880" customFormat="1" ht="72" customHeight="1" thickTop="1" thickBot="1" x14ac:dyDescent="0.55000000000000004">
      <c r="A73" s="928" t="s">
        <v>880</v>
      </c>
      <c r="B73" s="929">
        <f>B14+B40+B62+B68+B72</f>
        <v>8414428</v>
      </c>
      <c r="C73" s="929">
        <f>C14+C40+C62+C68+C72</f>
        <v>9056488</v>
      </c>
      <c r="D73" s="929">
        <f>D14+D40+D62+D68+D72</f>
        <v>9102982</v>
      </c>
      <c r="E73" s="929">
        <f>E14+E40+E62+E68+E72</f>
        <v>37299</v>
      </c>
      <c r="F73" s="929">
        <f>F14+F40+F62+F68+F72</f>
        <v>9140281</v>
      </c>
    </row>
    <row r="74" spans="1:6" s="877" customFormat="1" ht="77.25" customHeight="1" x14ac:dyDescent="0.5">
      <c r="A74" s="930" t="s">
        <v>881</v>
      </c>
      <c r="B74" s="931"/>
      <c r="C74" s="931"/>
      <c r="D74" s="931"/>
      <c r="E74" s="931"/>
      <c r="F74" s="931"/>
    </row>
    <row r="75" spans="1:6" s="877" customFormat="1" ht="46.5" customHeight="1" x14ac:dyDescent="0.5">
      <c r="A75" s="932" t="s">
        <v>882</v>
      </c>
      <c r="B75" s="933">
        <v>251154</v>
      </c>
      <c r="C75" s="934"/>
      <c r="D75" s="935">
        <v>104947</v>
      </c>
      <c r="E75" s="935">
        <v>85331</v>
      </c>
      <c r="F75" s="882">
        <f t="shared" ref="F75:F76" si="7">SUM(D75:E75)</f>
        <v>190278</v>
      </c>
    </row>
    <row r="76" spans="1:6" s="877" customFormat="1" ht="51.75" customHeight="1" x14ac:dyDescent="0.5">
      <c r="A76" s="936" t="s">
        <v>883</v>
      </c>
      <c r="B76" s="937"/>
      <c r="C76" s="938"/>
      <c r="D76" s="939">
        <v>37713</v>
      </c>
      <c r="E76" s="939">
        <v>38186</v>
      </c>
      <c r="F76" s="882">
        <f t="shared" si="7"/>
        <v>75899</v>
      </c>
    </row>
    <row r="77" spans="1:6" s="877" customFormat="1" ht="48" customHeight="1" x14ac:dyDescent="0.45">
      <c r="A77" s="940" t="s">
        <v>884</v>
      </c>
      <c r="B77" s="941">
        <f>SUM(B75:B76)</f>
        <v>251154</v>
      </c>
      <c r="C77" s="941">
        <f t="shared" ref="C77:F77" si="8">SUM(C75:C76)</f>
        <v>0</v>
      </c>
      <c r="D77" s="941">
        <f t="shared" si="8"/>
        <v>142660</v>
      </c>
      <c r="E77" s="941">
        <f t="shared" si="8"/>
        <v>123517</v>
      </c>
      <c r="F77" s="941">
        <f t="shared" si="8"/>
        <v>266177</v>
      </c>
    </row>
    <row r="78" spans="1:6" s="880" customFormat="1" ht="2.25" customHeight="1" x14ac:dyDescent="0.5">
      <c r="A78" s="942" t="s">
        <v>885</v>
      </c>
      <c r="B78" s="943">
        <v>230670</v>
      </c>
      <c r="C78" s="943">
        <v>230670</v>
      </c>
      <c r="D78" s="943">
        <v>230670</v>
      </c>
      <c r="E78" s="943">
        <f>'[4]2026.májusi-mutatószám '!E75+'[4]2026.májusi fajlagosem-ped.bér'!E75</f>
        <v>0</v>
      </c>
      <c r="F78" s="943">
        <f t="shared" ref="F78:F85" si="9">SUM(D78:E78)</f>
        <v>230670</v>
      </c>
    </row>
    <row r="79" spans="1:6" s="880" customFormat="1" ht="48.75" customHeight="1" x14ac:dyDescent="0.5">
      <c r="A79" s="942" t="s">
        <v>886</v>
      </c>
      <c r="B79" s="944">
        <v>188000</v>
      </c>
      <c r="C79" s="944">
        <v>188000</v>
      </c>
      <c r="D79" s="944">
        <v>188000</v>
      </c>
      <c r="E79" s="944">
        <f>'[4]2026.májusi-mutatószám '!E76+'[4]2026.májusi fajlagosem-ped.bér'!E76</f>
        <v>0</v>
      </c>
      <c r="F79" s="944">
        <f t="shared" si="9"/>
        <v>188000</v>
      </c>
    </row>
    <row r="80" spans="1:6" s="909" customFormat="1" ht="52.5" customHeight="1" x14ac:dyDescent="0.5">
      <c r="A80" s="945" t="s">
        <v>887</v>
      </c>
      <c r="B80" s="944">
        <v>5539</v>
      </c>
      <c r="C80" s="944">
        <v>318266</v>
      </c>
      <c r="D80" s="944">
        <v>318266</v>
      </c>
      <c r="E80" s="882">
        <f>'[4]2026.májusi-mutatószám '!E77+'[4]2026.májusi fajlagosem-ped.bér'!E77</f>
        <v>0</v>
      </c>
      <c r="F80" s="944">
        <f t="shared" si="9"/>
        <v>318266</v>
      </c>
    </row>
    <row r="81" spans="1:6" s="909" customFormat="1" ht="61.5" x14ac:dyDescent="0.5">
      <c r="A81" s="946" t="s">
        <v>888</v>
      </c>
      <c r="B81" s="944">
        <v>157338</v>
      </c>
      <c r="C81" s="944">
        <v>157338</v>
      </c>
      <c r="D81" s="944">
        <v>157338</v>
      </c>
      <c r="E81" s="882">
        <f>'[4]2026.májusi-mutatószám '!E78+'[4]2026.májusi fajlagosem-ped.bér'!E78</f>
        <v>0</v>
      </c>
      <c r="F81" s="944">
        <f t="shared" si="9"/>
        <v>157338</v>
      </c>
    </row>
    <row r="82" spans="1:6" s="909" customFormat="1" ht="91.5" x14ac:dyDescent="0.5">
      <c r="A82" s="947" t="s">
        <v>889</v>
      </c>
      <c r="B82" s="948">
        <v>318266</v>
      </c>
      <c r="C82" s="948">
        <v>375845</v>
      </c>
      <c r="D82" s="948">
        <v>375845</v>
      </c>
      <c r="E82" s="882">
        <f>'[4]2026.májusi-mutatószám '!E79+'[4]2026.májusi fajlagosem-ped.bér'!E79</f>
        <v>0</v>
      </c>
      <c r="F82" s="948">
        <f t="shared" si="9"/>
        <v>375845</v>
      </c>
    </row>
    <row r="83" spans="1:6" s="950" customFormat="1" ht="47.25" customHeight="1" x14ac:dyDescent="0.45">
      <c r="A83" s="949" t="s">
        <v>890</v>
      </c>
      <c r="B83" s="941">
        <f>SUM(B78:B82)</f>
        <v>899813</v>
      </c>
      <c r="C83" s="941">
        <f>SUM(C78:C82)</f>
        <v>1270119</v>
      </c>
      <c r="D83" s="941">
        <f>SUM(D78:D82)</f>
        <v>1270119</v>
      </c>
      <c r="E83" s="941">
        <f>SUM(E78:E82)</f>
        <v>0</v>
      </c>
      <c r="F83" s="941">
        <f>SUM(F78:F82)</f>
        <v>1270119</v>
      </c>
    </row>
    <row r="84" spans="1:6" s="950" customFormat="1" ht="96.75" customHeight="1" x14ac:dyDescent="0.5">
      <c r="A84" s="951" t="s">
        <v>420</v>
      </c>
      <c r="B84" s="952">
        <v>7300</v>
      </c>
      <c r="C84" s="953"/>
      <c r="D84" s="953">
        <v>2420</v>
      </c>
      <c r="E84" s="953">
        <v>1820</v>
      </c>
      <c r="F84" s="954">
        <f t="shared" si="9"/>
        <v>4240</v>
      </c>
    </row>
    <row r="85" spans="1:6" s="950" customFormat="1" ht="86.25" customHeight="1" x14ac:dyDescent="0.5">
      <c r="A85" s="955" t="s">
        <v>891</v>
      </c>
      <c r="B85" s="956">
        <v>3137</v>
      </c>
      <c r="C85" s="957"/>
      <c r="D85" s="957"/>
      <c r="E85" s="957"/>
      <c r="F85" s="944">
        <f t="shared" si="9"/>
        <v>0</v>
      </c>
    </row>
    <row r="86" spans="1:6" s="909" customFormat="1" ht="60.75" customHeight="1" x14ac:dyDescent="0.45">
      <c r="A86" s="958" t="s">
        <v>892</v>
      </c>
      <c r="B86" s="959">
        <f>SUM(B84:B85)</f>
        <v>10437</v>
      </c>
      <c r="C86" s="959">
        <f t="shared" ref="C86:F86" si="10">SUM(C84:C85)</f>
        <v>0</v>
      </c>
      <c r="D86" s="959">
        <f t="shared" si="10"/>
        <v>2420</v>
      </c>
      <c r="E86" s="959">
        <f t="shared" si="10"/>
        <v>1820</v>
      </c>
      <c r="F86" s="959">
        <f t="shared" si="10"/>
        <v>4240</v>
      </c>
    </row>
    <row r="87" spans="1:6" s="889" customFormat="1" ht="49.5" customHeight="1" x14ac:dyDescent="0.5">
      <c r="A87" s="960" t="s">
        <v>893</v>
      </c>
      <c r="B87" s="961">
        <f>B77+B83+B86</f>
        <v>1161404</v>
      </c>
      <c r="C87" s="961">
        <f t="shared" ref="C87:F87" si="11">C77+C83+C86</f>
        <v>1270119</v>
      </c>
      <c r="D87" s="961">
        <f t="shared" si="11"/>
        <v>1415199</v>
      </c>
      <c r="E87" s="961">
        <f t="shared" si="11"/>
        <v>125337</v>
      </c>
      <c r="F87" s="961">
        <f t="shared" si="11"/>
        <v>1540536</v>
      </c>
    </row>
    <row r="88" spans="1:6" s="889" customFormat="1" ht="48.75" customHeight="1" thickBot="1" x14ac:dyDescent="0.55000000000000004">
      <c r="A88" s="962" t="s">
        <v>894</v>
      </c>
      <c r="B88" s="963">
        <f>B73+B87</f>
        <v>9575832</v>
      </c>
      <c r="C88" s="963">
        <f>C73+C87</f>
        <v>10326607</v>
      </c>
      <c r="D88" s="963">
        <f>D73+D87</f>
        <v>10518181</v>
      </c>
      <c r="E88" s="963">
        <f>E73+E87</f>
        <v>162636</v>
      </c>
      <c r="F88" s="963">
        <f>F73+F87</f>
        <v>10680817</v>
      </c>
    </row>
    <row r="89" spans="1:6" ht="72" customHeight="1" thickTop="1" x14ac:dyDescent="0.3"/>
  </sheetData>
  <mergeCells count="2">
    <mergeCell ref="A1:F1"/>
    <mergeCell ref="A2:F2"/>
  </mergeCells>
  <printOptions horizontalCentered="1" verticalCentered="1"/>
  <pageMargins left="0" right="0" top="0" bottom="0" header="0.31496062992125984" footer="0.31496062992125984"/>
  <pageSetup paperSize="9" scale="24" orientation="portrait" r:id="rId1"/>
  <headerFooter>
    <oddHeader>&amp;R&amp;22 5. melléklet a 14/2026.(IX.25.) önkormányzati rendelethez
"5. melléklet a 3/2026.(II.27.) önkormányzati rendelethez"</oddHeader>
  </headerFooter>
  <rowBreaks count="1" manualBreakCount="1">
    <brk id="40" max="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8FCBF-660B-4DFB-87AF-7097A8D174B9}">
  <dimension ref="A1:FB52"/>
  <sheetViews>
    <sheetView zoomScale="50" zoomScaleNormal="50" zoomScaleSheetLayoutView="50" workbookViewId="0">
      <selection activeCell="A2" sqref="A2"/>
    </sheetView>
  </sheetViews>
  <sheetFormatPr defaultRowHeight="26.45" customHeight="1" x14ac:dyDescent="0.6"/>
  <cols>
    <col min="1" max="1" width="186.33203125" style="723" customWidth="1"/>
    <col min="2" max="10" width="50" style="721" customWidth="1"/>
    <col min="11" max="11" width="186.33203125" style="723" customWidth="1"/>
    <col min="12" max="20" width="50" style="721" customWidth="1"/>
    <col min="21" max="21" width="186.33203125" style="723" customWidth="1"/>
    <col min="22" max="22" width="49.83203125" style="686" customWidth="1"/>
    <col min="23" max="23" width="44.83203125" style="686" customWidth="1"/>
    <col min="24" max="24" width="49.83203125" style="686" customWidth="1"/>
    <col min="25" max="25" width="50" style="686" customWidth="1"/>
    <col min="26" max="26" width="45" style="686" customWidth="1"/>
    <col min="27" max="28" width="50" style="686" customWidth="1"/>
    <col min="29" max="29" width="45" style="686" customWidth="1"/>
    <col min="30" max="30" width="50" style="686" customWidth="1"/>
    <col min="31" max="36" width="49.83203125" style="686" customWidth="1"/>
    <col min="37" max="174" width="9.33203125" style="675"/>
    <col min="175" max="175" width="186.33203125" style="675" customWidth="1"/>
    <col min="176" max="184" width="50" style="675" customWidth="1"/>
    <col min="185" max="185" width="186.33203125" style="675" customWidth="1"/>
    <col min="186" max="194" width="50" style="675" customWidth="1"/>
    <col min="195" max="195" width="186.33203125" style="675" customWidth="1"/>
    <col min="196" max="196" width="49.83203125" style="675" customWidth="1"/>
    <col min="197" max="197" width="44.83203125" style="675" customWidth="1"/>
    <col min="198" max="198" width="49.83203125" style="675" customWidth="1"/>
    <col min="199" max="199" width="50" style="675" customWidth="1"/>
    <col min="200" max="200" width="45" style="675" customWidth="1"/>
    <col min="201" max="202" width="50" style="675" customWidth="1"/>
    <col min="203" max="203" width="45" style="675" customWidth="1"/>
    <col min="204" max="204" width="50" style="675" customWidth="1"/>
    <col min="205" max="210" width="49.83203125" style="675" customWidth="1"/>
    <col min="211" max="211" width="34.1640625" style="675" customWidth="1"/>
    <col min="212" max="212" width="32.83203125" style="675" customWidth="1"/>
    <col min="213" max="213" width="40.83203125" style="675" customWidth="1"/>
    <col min="214" max="214" width="186.33203125" style="675" customWidth="1"/>
    <col min="215" max="430" width="9.33203125" style="675"/>
    <col min="431" max="431" width="186.33203125" style="675" customWidth="1"/>
    <col min="432" max="440" width="50" style="675" customWidth="1"/>
    <col min="441" max="441" width="186.33203125" style="675" customWidth="1"/>
    <col min="442" max="450" width="50" style="675" customWidth="1"/>
    <col min="451" max="451" width="186.33203125" style="675" customWidth="1"/>
    <col min="452" max="452" width="49.83203125" style="675" customWidth="1"/>
    <col min="453" max="453" width="44.83203125" style="675" customWidth="1"/>
    <col min="454" max="454" width="49.83203125" style="675" customWidth="1"/>
    <col min="455" max="455" width="50" style="675" customWidth="1"/>
    <col min="456" max="456" width="45" style="675" customWidth="1"/>
    <col min="457" max="458" width="50" style="675" customWidth="1"/>
    <col min="459" max="459" width="45" style="675" customWidth="1"/>
    <col min="460" max="460" width="50" style="675" customWidth="1"/>
    <col min="461" max="466" width="49.83203125" style="675" customWidth="1"/>
    <col min="467" max="467" width="34.1640625" style="675" customWidth="1"/>
    <col min="468" max="468" width="32.83203125" style="675" customWidth="1"/>
    <col min="469" max="469" width="40.83203125" style="675" customWidth="1"/>
    <col min="470" max="470" width="186.33203125" style="675" customWidth="1"/>
    <col min="471" max="686" width="9.33203125" style="675"/>
    <col min="687" max="687" width="186.33203125" style="675" customWidth="1"/>
    <col min="688" max="696" width="50" style="675" customWidth="1"/>
    <col min="697" max="697" width="186.33203125" style="675" customWidth="1"/>
    <col min="698" max="706" width="50" style="675" customWidth="1"/>
    <col min="707" max="707" width="186.33203125" style="675" customWidth="1"/>
    <col min="708" max="708" width="49.83203125" style="675" customWidth="1"/>
    <col min="709" max="709" width="44.83203125" style="675" customWidth="1"/>
    <col min="710" max="710" width="49.83203125" style="675" customWidth="1"/>
    <col min="711" max="711" width="50" style="675" customWidth="1"/>
    <col min="712" max="712" width="45" style="675" customWidth="1"/>
    <col min="713" max="714" width="50" style="675" customWidth="1"/>
    <col min="715" max="715" width="45" style="675" customWidth="1"/>
    <col min="716" max="716" width="50" style="675" customWidth="1"/>
    <col min="717" max="722" width="49.83203125" style="675" customWidth="1"/>
    <col min="723" max="723" width="34.1640625" style="675" customWidth="1"/>
    <col min="724" max="724" width="32.83203125" style="675" customWidth="1"/>
    <col min="725" max="725" width="40.83203125" style="675" customWidth="1"/>
    <col min="726" max="726" width="186.33203125" style="675" customWidth="1"/>
    <col min="727" max="942" width="9.33203125" style="675"/>
    <col min="943" max="943" width="186.33203125" style="675" customWidth="1"/>
    <col min="944" max="952" width="50" style="675" customWidth="1"/>
    <col min="953" max="953" width="186.33203125" style="675" customWidth="1"/>
    <col min="954" max="962" width="50" style="675" customWidth="1"/>
    <col min="963" max="963" width="186.33203125" style="675" customWidth="1"/>
    <col min="964" max="964" width="49.83203125" style="675" customWidth="1"/>
    <col min="965" max="965" width="44.83203125" style="675" customWidth="1"/>
    <col min="966" max="966" width="49.83203125" style="675" customWidth="1"/>
    <col min="967" max="967" width="50" style="675" customWidth="1"/>
    <col min="968" max="968" width="45" style="675" customWidth="1"/>
    <col min="969" max="970" width="50" style="675" customWidth="1"/>
    <col min="971" max="971" width="45" style="675" customWidth="1"/>
    <col min="972" max="972" width="50" style="675" customWidth="1"/>
    <col min="973" max="978" width="49.83203125" style="675" customWidth="1"/>
    <col min="979" max="979" width="34.1640625" style="675" customWidth="1"/>
    <col min="980" max="980" width="32.83203125" style="675" customWidth="1"/>
    <col min="981" max="981" width="40.83203125" style="675" customWidth="1"/>
    <col min="982" max="982" width="186.33203125" style="675" customWidth="1"/>
    <col min="983" max="1198" width="9.33203125" style="675"/>
    <col min="1199" max="1199" width="186.33203125" style="675" customWidth="1"/>
    <col min="1200" max="1208" width="50" style="675" customWidth="1"/>
    <col min="1209" max="1209" width="186.33203125" style="675" customWidth="1"/>
    <col min="1210" max="1218" width="50" style="675" customWidth="1"/>
    <col min="1219" max="1219" width="186.33203125" style="675" customWidth="1"/>
    <col min="1220" max="1220" width="49.83203125" style="675" customWidth="1"/>
    <col min="1221" max="1221" width="44.83203125" style="675" customWidth="1"/>
    <col min="1222" max="1222" width="49.83203125" style="675" customWidth="1"/>
    <col min="1223" max="1223" width="50" style="675" customWidth="1"/>
    <col min="1224" max="1224" width="45" style="675" customWidth="1"/>
    <col min="1225" max="1226" width="50" style="675" customWidth="1"/>
    <col min="1227" max="1227" width="45" style="675" customWidth="1"/>
    <col min="1228" max="1228" width="50" style="675" customWidth="1"/>
    <col min="1229" max="1234" width="49.83203125" style="675" customWidth="1"/>
    <col min="1235" max="1235" width="34.1640625" style="675" customWidth="1"/>
    <col min="1236" max="1236" width="32.83203125" style="675" customWidth="1"/>
    <col min="1237" max="1237" width="40.83203125" style="675" customWidth="1"/>
    <col min="1238" max="1238" width="186.33203125" style="675" customWidth="1"/>
    <col min="1239" max="1454" width="9.33203125" style="675"/>
    <col min="1455" max="1455" width="186.33203125" style="675" customWidth="1"/>
    <col min="1456" max="1464" width="50" style="675" customWidth="1"/>
    <col min="1465" max="1465" width="186.33203125" style="675" customWidth="1"/>
    <col min="1466" max="1474" width="50" style="675" customWidth="1"/>
    <col min="1475" max="1475" width="186.33203125" style="675" customWidth="1"/>
    <col min="1476" max="1476" width="49.83203125" style="675" customWidth="1"/>
    <col min="1477" max="1477" width="44.83203125" style="675" customWidth="1"/>
    <col min="1478" max="1478" width="49.83203125" style="675" customWidth="1"/>
    <col min="1479" max="1479" width="50" style="675" customWidth="1"/>
    <col min="1480" max="1480" width="45" style="675" customWidth="1"/>
    <col min="1481" max="1482" width="50" style="675" customWidth="1"/>
    <col min="1483" max="1483" width="45" style="675" customWidth="1"/>
    <col min="1484" max="1484" width="50" style="675" customWidth="1"/>
    <col min="1485" max="1490" width="49.83203125" style="675" customWidth="1"/>
    <col min="1491" max="1491" width="34.1640625" style="675" customWidth="1"/>
    <col min="1492" max="1492" width="32.83203125" style="675" customWidth="1"/>
    <col min="1493" max="1493" width="40.83203125" style="675" customWidth="1"/>
    <col min="1494" max="1494" width="186.33203125" style="675" customWidth="1"/>
    <col min="1495" max="1710" width="9.33203125" style="675"/>
    <col min="1711" max="1711" width="186.33203125" style="675" customWidth="1"/>
    <col min="1712" max="1720" width="50" style="675" customWidth="1"/>
    <col min="1721" max="1721" width="186.33203125" style="675" customWidth="1"/>
    <col min="1722" max="1730" width="50" style="675" customWidth="1"/>
    <col min="1731" max="1731" width="186.33203125" style="675" customWidth="1"/>
    <col min="1732" max="1732" width="49.83203125" style="675" customWidth="1"/>
    <col min="1733" max="1733" width="44.83203125" style="675" customWidth="1"/>
    <col min="1734" max="1734" width="49.83203125" style="675" customWidth="1"/>
    <col min="1735" max="1735" width="50" style="675" customWidth="1"/>
    <col min="1736" max="1736" width="45" style="675" customWidth="1"/>
    <col min="1737" max="1738" width="50" style="675" customWidth="1"/>
    <col min="1739" max="1739" width="45" style="675" customWidth="1"/>
    <col min="1740" max="1740" width="50" style="675" customWidth="1"/>
    <col min="1741" max="1746" width="49.83203125" style="675" customWidth="1"/>
    <col min="1747" max="1747" width="34.1640625" style="675" customWidth="1"/>
    <col min="1748" max="1748" width="32.83203125" style="675" customWidth="1"/>
    <col min="1749" max="1749" width="40.83203125" style="675" customWidth="1"/>
    <col min="1750" max="1750" width="186.33203125" style="675" customWidth="1"/>
    <col min="1751" max="1966" width="9.33203125" style="675"/>
    <col min="1967" max="1967" width="186.33203125" style="675" customWidth="1"/>
    <col min="1968" max="1976" width="50" style="675" customWidth="1"/>
    <col min="1977" max="1977" width="186.33203125" style="675" customWidth="1"/>
    <col min="1978" max="1986" width="50" style="675" customWidth="1"/>
    <col min="1987" max="1987" width="186.33203125" style="675" customWidth="1"/>
    <col min="1988" max="1988" width="49.83203125" style="675" customWidth="1"/>
    <col min="1989" max="1989" width="44.83203125" style="675" customWidth="1"/>
    <col min="1990" max="1990" width="49.83203125" style="675" customWidth="1"/>
    <col min="1991" max="1991" width="50" style="675" customWidth="1"/>
    <col min="1992" max="1992" width="45" style="675" customWidth="1"/>
    <col min="1993" max="1994" width="50" style="675" customWidth="1"/>
    <col min="1995" max="1995" width="45" style="675" customWidth="1"/>
    <col min="1996" max="1996" width="50" style="675" customWidth="1"/>
    <col min="1997" max="2002" width="49.83203125" style="675" customWidth="1"/>
    <col min="2003" max="2003" width="34.1640625" style="675" customWidth="1"/>
    <col min="2004" max="2004" width="32.83203125" style="675" customWidth="1"/>
    <col min="2005" max="2005" width="40.83203125" style="675" customWidth="1"/>
    <col min="2006" max="2006" width="186.33203125" style="675" customWidth="1"/>
    <col min="2007" max="2222" width="9.33203125" style="675"/>
    <col min="2223" max="2223" width="186.33203125" style="675" customWidth="1"/>
    <col min="2224" max="2232" width="50" style="675" customWidth="1"/>
    <col min="2233" max="2233" width="186.33203125" style="675" customWidth="1"/>
    <col min="2234" max="2242" width="50" style="675" customWidth="1"/>
    <col min="2243" max="2243" width="186.33203125" style="675" customWidth="1"/>
    <col min="2244" max="2244" width="49.83203125" style="675" customWidth="1"/>
    <col min="2245" max="2245" width="44.83203125" style="675" customWidth="1"/>
    <col min="2246" max="2246" width="49.83203125" style="675" customWidth="1"/>
    <col min="2247" max="2247" width="50" style="675" customWidth="1"/>
    <col min="2248" max="2248" width="45" style="675" customWidth="1"/>
    <col min="2249" max="2250" width="50" style="675" customWidth="1"/>
    <col min="2251" max="2251" width="45" style="675" customWidth="1"/>
    <col min="2252" max="2252" width="50" style="675" customWidth="1"/>
    <col min="2253" max="2258" width="49.83203125" style="675" customWidth="1"/>
    <col min="2259" max="2259" width="34.1640625" style="675" customWidth="1"/>
    <col min="2260" max="2260" width="32.83203125" style="675" customWidth="1"/>
    <col min="2261" max="2261" width="40.83203125" style="675" customWidth="1"/>
    <col min="2262" max="2262" width="186.33203125" style="675" customWidth="1"/>
    <col min="2263" max="2478" width="9.33203125" style="675"/>
    <col min="2479" max="2479" width="186.33203125" style="675" customWidth="1"/>
    <col min="2480" max="2488" width="50" style="675" customWidth="1"/>
    <col min="2489" max="2489" width="186.33203125" style="675" customWidth="1"/>
    <col min="2490" max="2498" width="50" style="675" customWidth="1"/>
    <col min="2499" max="2499" width="186.33203125" style="675" customWidth="1"/>
    <col min="2500" max="2500" width="49.83203125" style="675" customWidth="1"/>
    <col min="2501" max="2501" width="44.83203125" style="675" customWidth="1"/>
    <col min="2502" max="2502" width="49.83203125" style="675" customWidth="1"/>
    <col min="2503" max="2503" width="50" style="675" customWidth="1"/>
    <col min="2504" max="2504" width="45" style="675" customWidth="1"/>
    <col min="2505" max="2506" width="50" style="675" customWidth="1"/>
    <col min="2507" max="2507" width="45" style="675" customWidth="1"/>
    <col min="2508" max="2508" width="50" style="675" customWidth="1"/>
    <col min="2509" max="2514" width="49.83203125" style="675" customWidth="1"/>
    <col min="2515" max="2515" width="34.1640625" style="675" customWidth="1"/>
    <col min="2516" max="2516" width="32.83203125" style="675" customWidth="1"/>
    <col min="2517" max="2517" width="40.83203125" style="675" customWidth="1"/>
    <col min="2518" max="2518" width="186.33203125" style="675" customWidth="1"/>
    <col min="2519" max="2734" width="9.33203125" style="675"/>
    <col min="2735" max="2735" width="186.33203125" style="675" customWidth="1"/>
    <col min="2736" max="2744" width="50" style="675" customWidth="1"/>
    <col min="2745" max="2745" width="186.33203125" style="675" customWidth="1"/>
    <col min="2746" max="2754" width="50" style="675" customWidth="1"/>
    <col min="2755" max="2755" width="186.33203125" style="675" customWidth="1"/>
    <col min="2756" max="2756" width="49.83203125" style="675" customWidth="1"/>
    <col min="2757" max="2757" width="44.83203125" style="675" customWidth="1"/>
    <col min="2758" max="2758" width="49.83203125" style="675" customWidth="1"/>
    <col min="2759" max="2759" width="50" style="675" customWidth="1"/>
    <col min="2760" max="2760" width="45" style="675" customWidth="1"/>
    <col min="2761" max="2762" width="50" style="675" customWidth="1"/>
    <col min="2763" max="2763" width="45" style="675" customWidth="1"/>
    <col min="2764" max="2764" width="50" style="675" customWidth="1"/>
    <col min="2765" max="2770" width="49.83203125" style="675" customWidth="1"/>
    <col min="2771" max="2771" width="34.1640625" style="675" customWidth="1"/>
    <col min="2772" max="2772" width="32.83203125" style="675" customWidth="1"/>
    <col min="2773" max="2773" width="40.83203125" style="675" customWidth="1"/>
    <col min="2774" max="2774" width="186.33203125" style="675" customWidth="1"/>
    <col min="2775" max="2990" width="9.33203125" style="675"/>
    <col min="2991" max="2991" width="186.33203125" style="675" customWidth="1"/>
    <col min="2992" max="3000" width="50" style="675" customWidth="1"/>
    <col min="3001" max="3001" width="186.33203125" style="675" customWidth="1"/>
    <col min="3002" max="3010" width="50" style="675" customWidth="1"/>
    <col min="3011" max="3011" width="186.33203125" style="675" customWidth="1"/>
    <col min="3012" max="3012" width="49.83203125" style="675" customWidth="1"/>
    <col min="3013" max="3013" width="44.83203125" style="675" customWidth="1"/>
    <col min="3014" max="3014" width="49.83203125" style="675" customWidth="1"/>
    <col min="3015" max="3015" width="50" style="675" customWidth="1"/>
    <col min="3016" max="3016" width="45" style="675" customWidth="1"/>
    <col min="3017" max="3018" width="50" style="675" customWidth="1"/>
    <col min="3019" max="3019" width="45" style="675" customWidth="1"/>
    <col min="3020" max="3020" width="50" style="675" customWidth="1"/>
    <col min="3021" max="3026" width="49.83203125" style="675" customWidth="1"/>
    <col min="3027" max="3027" width="34.1640625" style="675" customWidth="1"/>
    <col min="3028" max="3028" width="32.83203125" style="675" customWidth="1"/>
    <col min="3029" max="3029" width="40.83203125" style="675" customWidth="1"/>
    <col min="3030" max="3030" width="186.33203125" style="675" customWidth="1"/>
    <col min="3031" max="3246" width="9.33203125" style="675"/>
    <col min="3247" max="3247" width="186.33203125" style="675" customWidth="1"/>
    <col min="3248" max="3256" width="50" style="675" customWidth="1"/>
    <col min="3257" max="3257" width="186.33203125" style="675" customWidth="1"/>
    <col min="3258" max="3266" width="50" style="675" customWidth="1"/>
    <col min="3267" max="3267" width="186.33203125" style="675" customWidth="1"/>
    <col min="3268" max="3268" width="49.83203125" style="675" customWidth="1"/>
    <col min="3269" max="3269" width="44.83203125" style="675" customWidth="1"/>
    <col min="3270" max="3270" width="49.83203125" style="675" customWidth="1"/>
    <col min="3271" max="3271" width="50" style="675" customWidth="1"/>
    <col min="3272" max="3272" width="45" style="675" customWidth="1"/>
    <col min="3273" max="3274" width="50" style="675" customWidth="1"/>
    <col min="3275" max="3275" width="45" style="675" customWidth="1"/>
    <col min="3276" max="3276" width="50" style="675" customWidth="1"/>
    <col min="3277" max="3282" width="49.83203125" style="675" customWidth="1"/>
    <col min="3283" max="3283" width="34.1640625" style="675" customWidth="1"/>
    <col min="3284" max="3284" width="32.83203125" style="675" customWidth="1"/>
    <col min="3285" max="3285" width="40.83203125" style="675" customWidth="1"/>
    <col min="3286" max="3286" width="186.33203125" style="675" customWidth="1"/>
    <col min="3287" max="3502" width="9.33203125" style="675"/>
    <col min="3503" max="3503" width="186.33203125" style="675" customWidth="1"/>
    <col min="3504" max="3512" width="50" style="675" customWidth="1"/>
    <col min="3513" max="3513" width="186.33203125" style="675" customWidth="1"/>
    <col min="3514" max="3522" width="50" style="675" customWidth="1"/>
    <col min="3523" max="3523" width="186.33203125" style="675" customWidth="1"/>
    <col min="3524" max="3524" width="49.83203125" style="675" customWidth="1"/>
    <col min="3525" max="3525" width="44.83203125" style="675" customWidth="1"/>
    <col min="3526" max="3526" width="49.83203125" style="675" customWidth="1"/>
    <col min="3527" max="3527" width="50" style="675" customWidth="1"/>
    <col min="3528" max="3528" width="45" style="675" customWidth="1"/>
    <col min="3529" max="3530" width="50" style="675" customWidth="1"/>
    <col min="3531" max="3531" width="45" style="675" customWidth="1"/>
    <col min="3532" max="3532" width="50" style="675" customWidth="1"/>
    <col min="3533" max="3538" width="49.83203125" style="675" customWidth="1"/>
    <col min="3539" max="3539" width="34.1640625" style="675" customWidth="1"/>
    <col min="3540" max="3540" width="32.83203125" style="675" customWidth="1"/>
    <col min="3541" max="3541" width="40.83203125" style="675" customWidth="1"/>
    <col min="3542" max="3542" width="186.33203125" style="675" customWidth="1"/>
    <col min="3543" max="3758" width="9.33203125" style="675"/>
    <col min="3759" max="3759" width="186.33203125" style="675" customWidth="1"/>
    <col min="3760" max="3768" width="50" style="675" customWidth="1"/>
    <col min="3769" max="3769" width="186.33203125" style="675" customWidth="1"/>
    <col min="3770" max="3778" width="50" style="675" customWidth="1"/>
    <col min="3779" max="3779" width="186.33203125" style="675" customWidth="1"/>
    <col min="3780" max="3780" width="49.83203125" style="675" customWidth="1"/>
    <col min="3781" max="3781" width="44.83203125" style="675" customWidth="1"/>
    <col min="3782" max="3782" width="49.83203125" style="675" customWidth="1"/>
    <col min="3783" max="3783" width="50" style="675" customWidth="1"/>
    <col min="3784" max="3784" width="45" style="675" customWidth="1"/>
    <col min="3785" max="3786" width="50" style="675" customWidth="1"/>
    <col min="3787" max="3787" width="45" style="675" customWidth="1"/>
    <col min="3788" max="3788" width="50" style="675" customWidth="1"/>
    <col min="3789" max="3794" width="49.83203125" style="675" customWidth="1"/>
    <col min="3795" max="3795" width="34.1640625" style="675" customWidth="1"/>
    <col min="3796" max="3796" width="32.83203125" style="675" customWidth="1"/>
    <col min="3797" max="3797" width="40.83203125" style="675" customWidth="1"/>
    <col min="3798" max="3798" width="186.33203125" style="675" customWidth="1"/>
    <col min="3799" max="4014" width="9.33203125" style="675"/>
    <col min="4015" max="4015" width="186.33203125" style="675" customWidth="1"/>
    <col min="4016" max="4024" width="50" style="675" customWidth="1"/>
    <col min="4025" max="4025" width="186.33203125" style="675" customWidth="1"/>
    <col min="4026" max="4034" width="50" style="675" customWidth="1"/>
    <col min="4035" max="4035" width="186.33203125" style="675" customWidth="1"/>
    <col min="4036" max="4036" width="49.83203125" style="675" customWidth="1"/>
    <col min="4037" max="4037" width="44.83203125" style="675" customWidth="1"/>
    <col min="4038" max="4038" width="49.83203125" style="675" customWidth="1"/>
    <col min="4039" max="4039" width="50" style="675" customWidth="1"/>
    <col min="4040" max="4040" width="45" style="675" customWidth="1"/>
    <col min="4041" max="4042" width="50" style="675" customWidth="1"/>
    <col min="4043" max="4043" width="45" style="675" customWidth="1"/>
    <col min="4044" max="4044" width="50" style="675" customWidth="1"/>
    <col min="4045" max="4050" width="49.83203125" style="675" customWidth="1"/>
    <col min="4051" max="4051" width="34.1640625" style="675" customWidth="1"/>
    <col min="4052" max="4052" width="32.83203125" style="675" customWidth="1"/>
    <col min="4053" max="4053" width="40.83203125" style="675" customWidth="1"/>
    <col min="4054" max="4054" width="186.33203125" style="675" customWidth="1"/>
    <col min="4055" max="4270" width="9.33203125" style="675"/>
    <col min="4271" max="4271" width="186.33203125" style="675" customWidth="1"/>
    <col min="4272" max="4280" width="50" style="675" customWidth="1"/>
    <col min="4281" max="4281" width="186.33203125" style="675" customWidth="1"/>
    <col min="4282" max="4290" width="50" style="675" customWidth="1"/>
    <col min="4291" max="4291" width="186.33203125" style="675" customWidth="1"/>
    <col min="4292" max="4292" width="49.83203125" style="675" customWidth="1"/>
    <col min="4293" max="4293" width="44.83203125" style="675" customWidth="1"/>
    <col min="4294" max="4294" width="49.83203125" style="675" customWidth="1"/>
    <col min="4295" max="4295" width="50" style="675" customWidth="1"/>
    <col min="4296" max="4296" width="45" style="675" customWidth="1"/>
    <col min="4297" max="4298" width="50" style="675" customWidth="1"/>
    <col min="4299" max="4299" width="45" style="675" customWidth="1"/>
    <col min="4300" max="4300" width="50" style="675" customWidth="1"/>
    <col min="4301" max="4306" width="49.83203125" style="675" customWidth="1"/>
    <col min="4307" max="4307" width="34.1640625" style="675" customWidth="1"/>
    <col min="4308" max="4308" width="32.83203125" style="675" customWidth="1"/>
    <col min="4309" max="4309" width="40.83203125" style="675" customWidth="1"/>
    <col min="4310" max="4310" width="186.33203125" style="675" customWidth="1"/>
    <col min="4311" max="4526" width="9.33203125" style="675"/>
    <col min="4527" max="4527" width="186.33203125" style="675" customWidth="1"/>
    <col min="4528" max="4536" width="50" style="675" customWidth="1"/>
    <col min="4537" max="4537" width="186.33203125" style="675" customWidth="1"/>
    <col min="4538" max="4546" width="50" style="675" customWidth="1"/>
    <col min="4547" max="4547" width="186.33203125" style="675" customWidth="1"/>
    <col min="4548" max="4548" width="49.83203125" style="675" customWidth="1"/>
    <col min="4549" max="4549" width="44.83203125" style="675" customWidth="1"/>
    <col min="4550" max="4550" width="49.83203125" style="675" customWidth="1"/>
    <col min="4551" max="4551" width="50" style="675" customWidth="1"/>
    <col min="4552" max="4552" width="45" style="675" customWidth="1"/>
    <col min="4553" max="4554" width="50" style="675" customWidth="1"/>
    <col min="4555" max="4555" width="45" style="675" customWidth="1"/>
    <col min="4556" max="4556" width="50" style="675" customWidth="1"/>
    <col min="4557" max="4562" width="49.83203125" style="675" customWidth="1"/>
    <col min="4563" max="4563" width="34.1640625" style="675" customWidth="1"/>
    <col min="4564" max="4564" width="32.83203125" style="675" customWidth="1"/>
    <col min="4565" max="4565" width="40.83203125" style="675" customWidth="1"/>
    <col min="4566" max="4566" width="186.33203125" style="675" customWidth="1"/>
    <col min="4567" max="4782" width="9.33203125" style="675"/>
    <col min="4783" max="4783" width="186.33203125" style="675" customWidth="1"/>
    <col min="4784" max="4792" width="50" style="675" customWidth="1"/>
    <col min="4793" max="4793" width="186.33203125" style="675" customWidth="1"/>
    <col min="4794" max="4802" width="50" style="675" customWidth="1"/>
    <col min="4803" max="4803" width="186.33203125" style="675" customWidth="1"/>
    <col min="4804" max="4804" width="49.83203125" style="675" customWidth="1"/>
    <col min="4805" max="4805" width="44.83203125" style="675" customWidth="1"/>
    <col min="4806" max="4806" width="49.83203125" style="675" customWidth="1"/>
    <col min="4807" max="4807" width="50" style="675" customWidth="1"/>
    <col min="4808" max="4808" width="45" style="675" customWidth="1"/>
    <col min="4809" max="4810" width="50" style="675" customWidth="1"/>
    <col min="4811" max="4811" width="45" style="675" customWidth="1"/>
    <col min="4812" max="4812" width="50" style="675" customWidth="1"/>
    <col min="4813" max="4818" width="49.83203125" style="675" customWidth="1"/>
    <col min="4819" max="4819" width="34.1640625" style="675" customWidth="1"/>
    <col min="4820" max="4820" width="32.83203125" style="675" customWidth="1"/>
    <col min="4821" max="4821" width="40.83203125" style="675" customWidth="1"/>
    <col min="4822" max="4822" width="186.33203125" style="675" customWidth="1"/>
    <col min="4823" max="5038" width="9.33203125" style="675"/>
    <col min="5039" max="5039" width="186.33203125" style="675" customWidth="1"/>
    <col min="5040" max="5048" width="50" style="675" customWidth="1"/>
    <col min="5049" max="5049" width="186.33203125" style="675" customWidth="1"/>
    <col min="5050" max="5058" width="50" style="675" customWidth="1"/>
    <col min="5059" max="5059" width="186.33203125" style="675" customWidth="1"/>
    <col min="5060" max="5060" width="49.83203125" style="675" customWidth="1"/>
    <col min="5061" max="5061" width="44.83203125" style="675" customWidth="1"/>
    <col min="5062" max="5062" width="49.83203125" style="675" customWidth="1"/>
    <col min="5063" max="5063" width="50" style="675" customWidth="1"/>
    <col min="5064" max="5064" width="45" style="675" customWidth="1"/>
    <col min="5065" max="5066" width="50" style="675" customWidth="1"/>
    <col min="5067" max="5067" width="45" style="675" customWidth="1"/>
    <col min="5068" max="5068" width="50" style="675" customWidth="1"/>
    <col min="5069" max="5074" width="49.83203125" style="675" customWidth="1"/>
    <col min="5075" max="5075" width="34.1640625" style="675" customWidth="1"/>
    <col min="5076" max="5076" width="32.83203125" style="675" customWidth="1"/>
    <col min="5077" max="5077" width="40.83203125" style="675" customWidth="1"/>
    <col min="5078" max="5078" width="186.33203125" style="675" customWidth="1"/>
    <col min="5079" max="5294" width="9.33203125" style="675"/>
    <col min="5295" max="5295" width="186.33203125" style="675" customWidth="1"/>
    <col min="5296" max="5304" width="50" style="675" customWidth="1"/>
    <col min="5305" max="5305" width="186.33203125" style="675" customWidth="1"/>
    <col min="5306" max="5314" width="50" style="675" customWidth="1"/>
    <col min="5315" max="5315" width="186.33203125" style="675" customWidth="1"/>
    <col min="5316" max="5316" width="49.83203125" style="675" customWidth="1"/>
    <col min="5317" max="5317" width="44.83203125" style="675" customWidth="1"/>
    <col min="5318" max="5318" width="49.83203125" style="675" customWidth="1"/>
    <col min="5319" max="5319" width="50" style="675" customWidth="1"/>
    <col min="5320" max="5320" width="45" style="675" customWidth="1"/>
    <col min="5321" max="5322" width="50" style="675" customWidth="1"/>
    <col min="5323" max="5323" width="45" style="675" customWidth="1"/>
    <col min="5324" max="5324" width="50" style="675" customWidth="1"/>
    <col min="5325" max="5330" width="49.83203125" style="675" customWidth="1"/>
    <col min="5331" max="5331" width="34.1640625" style="675" customWidth="1"/>
    <col min="5332" max="5332" width="32.83203125" style="675" customWidth="1"/>
    <col min="5333" max="5333" width="40.83203125" style="675" customWidth="1"/>
    <col min="5334" max="5334" width="186.33203125" style="675" customWidth="1"/>
    <col min="5335" max="5550" width="9.33203125" style="675"/>
    <col min="5551" max="5551" width="186.33203125" style="675" customWidth="1"/>
    <col min="5552" max="5560" width="50" style="675" customWidth="1"/>
    <col min="5561" max="5561" width="186.33203125" style="675" customWidth="1"/>
    <col min="5562" max="5570" width="50" style="675" customWidth="1"/>
    <col min="5571" max="5571" width="186.33203125" style="675" customWidth="1"/>
    <col min="5572" max="5572" width="49.83203125" style="675" customWidth="1"/>
    <col min="5573" max="5573" width="44.83203125" style="675" customWidth="1"/>
    <col min="5574" max="5574" width="49.83203125" style="675" customWidth="1"/>
    <col min="5575" max="5575" width="50" style="675" customWidth="1"/>
    <col min="5576" max="5576" width="45" style="675" customWidth="1"/>
    <col min="5577" max="5578" width="50" style="675" customWidth="1"/>
    <col min="5579" max="5579" width="45" style="675" customWidth="1"/>
    <col min="5580" max="5580" width="50" style="675" customWidth="1"/>
    <col min="5581" max="5586" width="49.83203125" style="675" customWidth="1"/>
    <col min="5587" max="5587" width="34.1640625" style="675" customWidth="1"/>
    <col min="5588" max="5588" width="32.83203125" style="675" customWidth="1"/>
    <col min="5589" max="5589" width="40.83203125" style="675" customWidth="1"/>
    <col min="5590" max="5590" width="186.33203125" style="675" customWidth="1"/>
    <col min="5591" max="5806" width="9.33203125" style="675"/>
    <col min="5807" max="5807" width="186.33203125" style="675" customWidth="1"/>
    <col min="5808" max="5816" width="50" style="675" customWidth="1"/>
    <col min="5817" max="5817" width="186.33203125" style="675" customWidth="1"/>
    <col min="5818" max="5826" width="50" style="675" customWidth="1"/>
    <col min="5827" max="5827" width="186.33203125" style="675" customWidth="1"/>
    <col min="5828" max="5828" width="49.83203125" style="675" customWidth="1"/>
    <col min="5829" max="5829" width="44.83203125" style="675" customWidth="1"/>
    <col min="5830" max="5830" width="49.83203125" style="675" customWidth="1"/>
    <col min="5831" max="5831" width="50" style="675" customWidth="1"/>
    <col min="5832" max="5832" width="45" style="675" customWidth="1"/>
    <col min="5833" max="5834" width="50" style="675" customWidth="1"/>
    <col min="5835" max="5835" width="45" style="675" customWidth="1"/>
    <col min="5836" max="5836" width="50" style="675" customWidth="1"/>
    <col min="5837" max="5842" width="49.83203125" style="675" customWidth="1"/>
    <col min="5843" max="5843" width="34.1640625" style="675" customWidth="1"/>
    <col min="5844" max="5844" width="32.83203125" style="675" customWidth="1"/>
    <col min="5845" max="5845" width="40.83203125" style="675" customWidth="1"/>
    <col min="5846" max="5846" width="186.33203125" style="675" customWidth="1"/>
    <col min="5847" max="6062" width="9.33203125" style="675"/>
    <col min="6063" max="6063" width="186.33203125" style="675" customWidth="1"/>
    <col min="6064" max="6072" width="50" style="675" customWidth="1"/>
    <col min="6073" max="6073" width="186.33203125" style="675" customWidth="1"/>
    <col min="6074" max="6082" width="50" style="675" customWidth="1"/>
    <col min="6083" max="6083" width="186.33203125" style="675" customWidth="1"/>
    <col min="6084" max="6084" width="49.83203125" style="675" customWidth="1"/>
    <col min="6085" max="6085" width="44.83203125" style="675" customWidth="1"/>
    <col min="6086" max="6086" width="49.83203125" style="675" customWidth="1"/>
    <col min="6087" max="6087" width="50" style="675" customWidth="1"/>
    <col min="6088" max="6088" width="45" style="675" customWidth="1"/>
    <col min="6089" max="6090" width="50" style="675" customWidth="1"/>
    <col min="6091" max="6091" width="45" style="675" customWidth="1"/>
    <col min="6092" max="6092" width="50" style="675" customWidth="1"/>
    <col min="6093" max="6098" width="49.83203125" style="675" customWidth="1"/>
    <col min="6099" max="6099" width="34.1640625" style="675" customWidth="1"/>
    <col min="6100" max="6100" width="32.83203125" style="675" customWidth="1"/>
    <col min="6101" max="6101" width="40.83203125" style="675" customWidth="1"/>
    <col min="6102" max="6102" width="186.33203125" style="675" customWidth="1"/>
    <col min="6103" max="6318" width="9.33203125" style="675"/>
    <col min="6319" max="6319" width="186.33203125" style="675" customWidth="1"/>
    <col min="6320" max="6328" width="50" style="675" customWidth="1"/>
    <col min="6329" max="6329" width="186.33203125" style="675" customWidth="1"/>
    <col min="6330" max="6338" width="50" style="675" customWidth="1"/>
    <col min="6339" max="6339" width="186.33203125" style="675" customWidth="1"/>
    <col min="6340" max="6340" width="49.83203125" style="675" customWidth="1"/>
    <col min="6341" max="6341" width="44.83203125" style="675" customWidth="1"/>
    <col min="6342" max="6342" width="49.83203125" style="675" customWidth="1"/>
    <col min="6343" max="6343" width="50" style="675" customWidth="1"/>
    <col min="6344" max="6344" width="45" style="675" customWidth="1"/>
    <col min="6345" max="6346" width="50" style="675" customWidth="1"/>
    <col min="6347" max="6347" width="45" style="675" customWidth="1"/>
    <col min="6348" max="6348" width="50" style="675" customWidth="1"/>
    <col min="6349" max="6354" width="49.83203125" style="675" customWidth="1"/>
    <col min="6355" max="6355" width="34.1640625" style="675" customWidth="1"/>
    <col min="6356" max="6356" width="32.83203125" style="675" customWidth="1"/>
    <col min="6357" max="6357" width="40.83203125" style="675" customWidth="1"/>
    <col min="6358" max="6358" width="186.33203125" style="675" customWidth="1"/>
    <col min="6359" max="6574" width="9.33203125" style="675"/>
    <col min="6575" max="6575" width="186.33203125" style="675" customWidth="1"/>
    <col min="6576" max="6584" width="50" style="675" customWidth="1"/>
    <col min="6585" max="6585" width="186.33203125" style="675" customWidth="1"/>
    <col min="6586" max="6594" width="50" style="675" customWidth="1"/>
    <col min="6595" max="6595" width="186.33203125" style="675" customWidth="1"/>
    <col min="6596" max="6596" width="49.83203125" style="675" customWidth="1"/>
    <col min="6597" max="6597" width="44.83203125" style="675" customWidth="1"/>
    <col min="6598" max="6598" width="49.83203125" style="675" customWidth="1"/>
    <col min="6599" max="6599" width="50" style="675" customWidth="1"/>
    <col min="6600" max="6600" width="45" style="675" customWidth="1"/>
    <col min="6601" max="6602" width="50" style="675" customWidth="1"/>
    <col min="6603" max="6603" width="45" style="675" customWidth="1"/>
    <col min="6604" max="6604" width="50" style="675" customWidth="1"/>
    <col min="6605" max="6610" width="49.83203125" style="675" customWidth="1"/>
    <col min="6611" max="6611" width="34.1640625" style="675" customWidth="1"/>
    <col min="6612" max="6612" width="32.83203125" style="675" customWidth="1"/>
    <col min="6613" max="6613" width="40.83203125" style="675" customWidth="1"/>
    <col min="6614" max="6614" width="186.33203125" style="675" customWidth="1"/>
    <col min="6615" max="6830" width="9.33203125" style="675"/>
    <col min="6831" max="6831" width="186.33203125" style="675" customWidth="1"/>
    <col min="6832" max="6840" width="50" style="675" customWidth="1"/>
    <col min="6841" max="6841" width="186.33203125" style="675" customWidth="1"/>
    <col min="6842" max="6850" width="50" style="675" customWidth="1"/>
    <col min="6851" max="6851" width="186.33203125" style="675" customWidth="1"/>
    <col min="6852" max="6852" width="49.83203125" style="675" customWidth="1"/>
    <col min="6853" max="6853" width="44.83203125" style="675" customWidth="1"/>
    <col min="6854" max="6854" width="49.83203125" style="675" customWidth="1"/>
    <col min="6855" max="6855" width="50" style="675" customWidth="1"/>
    <col min="6856" max="6856" width="45" style="675" customWidth="1"/>
    <col min="6857" max="6858" width="50" style="675" customWidth="1"/>
    <col min="6859" max="6859" width="45" style="675" customWidth="1"/>
    <col min="6860" max="6860" width="50" style="675" customWidth="1"/>
    <col min="6861" max="6866" width="49.83203125" style="675" customWidth="1"/>
    <col min="6867" max="6867" width="34.1640625" style="675" customWidth="1"/>
    <col min="6868" max="6868" width="32.83203125" style="675" customWidth="1"/>
    <col min="6869" max="6869" width="40.83203125" style="675" customWidth="1"/>
    <col min="6870" max="6870" width="186.33203125" style="675" customWidth="1"/>
    <col min="6871" max="7086" width="9.33203125" style="675"/>
    <col min="7087" max="7087" width="186.33203125" style="675" customWidth="1"/>
    <col min="7088" max="7096" width="50" style="675" customWidth="1"/>
    <col min="7097" max="7097" width="186.33203125" style="675" customWidth="1"/>
    <col min="7098" max="7106" width="50" style="675" customWidth="1"/>
    <col min="7107" max="7107" width="186.33203125" style="675" customWidth="1"/>
    <col min="7108" max="7108" width="49.83203125" style="675" customWidth="1"/>
    <col min="7109" max="7109" width="44.83203125" style="675" customWidth="1"/>
    <col min="7110" max="7110" width="49.83203125" style="675" customWidth="1"/>
    <col min="7111" max="7111" width="50" style="675" customWidth="1"/>
    <col min="7112" max="7112" width="45" style="675" customWidth="1"/>
    <col min="7113" max="7114" width="50" style="675" customWidth="1"/>
    <col min="7115" max="7115" width="45" style="675" customWidth="1"/>
    <col min="7116" max="7116" width="50" style="675" customWidth="1"/>
    <col min="7117" max="7122" width="49.83203125" style="675" customWidth="1"/>
    <col min="7123" max="7123" width="34.1640625" style="675" customWidth="1"/>
    <col min="7124" max="7124" width="32.83203125" style="675" customWidth="1"/>
    <col min="7125" max="7125" width="40.83203125" style="675" customWidth="1"/>
    <col min="7126" max="7126" width="186.33203125" style="675" customWidth="1"/>
    <col min="7127" max="7342" width="9.33203125" style="675"/>
    <col min="7343" max="7343" width="186.33203125" style="675" customWidth="1"/>
    <col min="7344" max="7352" width="50" style="675" customWidth="1"/>
    <col min="7353" max="7353" width="186.33203125" style="675" customWidth="1"/>
    <col min="7354" max="7362" width="50" style="675" customWidth="1"/>
    <col min="7363" max="7363" width="186.33203125" style="675" customWidth="1"/>
    <col min="7364" max="7364" width="49.83203125" style="675" customWidth="1"/>
    <col min="7365" max="7365" width="44.83203125" style="675" customWidth="1"/>
    <col min="7366" max="7366" width="49.83203125" style="675" customWidth="1"/>
    <col min="7367" max="7367" width="50" style="675" customWidth="1"/>
    <col min="7368" max="7368" width="45" style="675" customWidth="1"/>
    <col min="7369" max="7370" width="50" style="675" customWidth="1"/>
    <col min="7371" max="7371" width="45" style="675" customWidth="1"/>
    <col min="7372" max="7372" width="50" style="675" customWidth="1"/>
    <col min="7373" max="7378" width="49.83203125" style="675" customWidth="1"/>
    <col min="7379" max="7379" width="34.1640625" style="675" customWidth="1"/>
    <col min="7380" max="7380" width="32.83203125" style="675" customWidth="1"/>
    <col min="7381" max="7381" width="40.83203125" style="675" customWidth="1"/>
    <col min="7382" max="7382" width="186.33203125" style="675" customWidth="1"/>
    <col min="7383" max="7598" width="9.33203125" style="675"/>
    <col min="7599" max="7599" width="186.33203125" style="675" customWidth="1"/>
    <col min="7600" max="7608" width="50" style="675" customWidth="1"/>
    <col min="7609" max="7609" width="186.33203125" style="675" customWidth="1"/>
    <col min="7610" max="7618" width="50" style="675" customWidth="1"/>
    <col min="7619" max="7619" width="186.33203125" style="675" customWidth="1"/>
    <col min="7620" max="7620" width="49.83203125" style="675" customWidth="1"/>
    <col min="7621" max="7621" width="44.83203125" style="675" customWidth="1"/>
    <col min="7622" max="7622" width="49.83203125" style="675" customWidth="1"/>
    <col min="7623" max="7623" width="50" style="675" customWidth="1"/>
    <col min="7624" max="7624" width="45" style="675" customWidth="1"/>
    <col min="7625" max="7626" width="50" style="675" customWidth="1"/>
    <col min="7627" max="7627" width="45" style="675" customWidth="1"/>
    <col min="7628" max="7628" width="50" style="675" customWidth="1"/>
    <col min="7629" max="7634" width="49.83203125" style="675" customWidth="1"/>
    <col min="7635" max="7635" width="34.1640625" style="675" customWidth="1"/>
    <col min="7636" max="7636" width="32.83203125" style="675" customWidth="1"/>
    <col min="7637" max="7637" width="40.83203125" style="675" customWidth="1"/>
    <col min="7638" max="7638" width="186.33203125" style="675" customWidth="1"/>
    <col min="7639" max="7854" width="9.33203125" style="675"/>
    <col min="7855" max="7855" width="186.33203125" style="675" customWidth="1"/>
    <col min="7856" max="7864" width="50" style="675" customWidth="1"/>
    <col min="7865" max="7865" width="186.33203125" style="675" customWidth="1"/>
    <col min="7866" max="7874" width="50" style="675" customWidth="1"/>
    <col min="7875" max="7875" width="186.33203125" style="675" customWidth="1"/>
    <col min="7876" max="7876" width="49.83203125" style="675" customWidth="1"/>
    <col min="7877" max="7877" width="44.83203125" style="675" customWidth="1"/>
    <col min="7878" max="7878" width="49.83203125" style="675" customWidth="1"/>
    <col min="7879" max="7879" width="50" style="675" customWidth="1"/>
    <col min="7880" max="7880" width="45" style="675" customWidth="1"/>
    <col min="7881" max="7882" width="50" style="675" customWidth="1"/>
    <col min="7883" max="7883" width="45" style="675" customWidth="1"/>
    <col min="7884" max="7884" width="50" style="675" customWidth="1"/>
    <col min="7885" max="7890" width="49.83203125" style="675" customWidth="1"/>
    <col min="7891" max="7891" width="34.1640625" style="675" customWidth="1"/>
    <col min="7892" max="7892" width="32.83203125" style="675" customWidth="1"/>
    <col min="7893" max="7893" width="40.83203125" style="675" customWidth="1"/>
    <col min="7894" max="7894" width="186.33203125" style="675" customWidth="1"/>
    <col min="7895" max="8110" width="9.33203125" style="675"/>
    <col min="8111" max="8111" width="186.33203125" style="675" customWidth="1"/>
    <col min="8112" max="8120" width="50" style="675" customWidth="1"/>
    <col min="8121" max="8121" width="186.33203125" style="675" customWidth="1"/>
    <col min="8122" max="8130" width="50" style="675" customWidth="1"/>
    <col min="8131" max="8131" width="186.33203125" style="675" customWidth="1"/>
    <col min="8132" max="8132" width="49.83203125" style="675" customWidth="1"/>
    <col min="8133" max="8133" width="44.83203125" style="675" customWidth="1"/>
    <col min="8134" max="8134" width="49.83203125" style="675" customWidth="1"/>
    <col min="8135" max="8135" width="50" style="675" customWidth="1"/>
    <col min="8136" max="8136" width="45" style="675" customWidth="1"/>
    <col min="8137" max="8138" width="50" style="675" customWidth="1"/>
    <col min="8139" max="8139" width="45" style="675" customWidth="1"/>
    <col min="8140" max="8140" width="50" style="675" customWidth="1"/>
    <col min="8141" max="8146" width="49.83203125" style="675" customWidth="1"/>
    <col min="8147" max="8147" width="34.1640625" style="675" customWidth="1"/>
    <col min="8148" max="8148" width="32.83203125" style="675" customWidth="1"/>
    <col min="8149" max="8149" width="40.83203125" style="675" customWidth="1"/>
    <col min="8150" max="8150" width="186.33203125" style="675" customWidth="1"/>
    <col min="8151" max="8366" width="9.33203125" style="675"/>
    <col min="8367" max="8367" width="186.33203125" style="675" customWidth="1"/>
    <col min="8368" max="8376" width="50" style="675" customWidth="1"/>
    <col min="8377" max="8377" width="186.33203125" style="675" customWidth="1"/>
    <col min="8378" max="8386" width="50" style="675" customWidth="1"/>
    <col min="8387" max="8387" width="186.33203125" style="675" customWidth="1"/>
    <col min="8388" max="8388" width="49.83203125" style="675" customWidth="1"/>
    <col min="8389" max="8389" width="44.83203125" style="675" customWidth="1"/>
    <col min="8390" max="8390" width="49.83203125" style="675" customWidth="1"/>
    <col min="8391" max="8391" width="50" style="675" customWidth="1"/>
    <col min="8392" max="8392" width="45" style="675" customWidth="1"/>
    <col min="8393" max="8394" width="50" style="675" customWidth="1"/>
    <col min="8395" max="8395" width="45" style="675" customWidth="1"/>
    <col min="8396" max="8396" width="50" style="675" customWidth="1"/>
    <col min="8397" max="8402" width="49.83203125" style="675" customWidth="1"/>
    <col min="8403" max="8403" width="34.1640625" style="675" customWidth="1"/>
    <col min="8404" max="8404" width="32.83203125" style="675" customWidth="1"/>
    <col min="8405" max="8405" width="40.83203125" style="675" customWidth="1"/>
    <col min="8406" max="8406" width="186.33203125" style="675" customWidth="1"/>
    <col min="8407" max="8622" width="9.33203125" style="675"/>
    <col min="8623" max="8623" width="186.33203125" style="675" customWidth="1"/>
    <col min="8624" max="8632" width="50" style="675" customWidth="1"/>
    <col min="8633" max="8633" width="186.33203125" style="675" customWidth="1"/>
    <col min="8634" max="8642" width="50" style="675" customWidth="1"/>
    <col min="8643" max="8643" width="186.33203125" style="675" customWidth="1"/>
    <col min="8644" max="8644" width="49.83203125" style="675" customWidth="1"/>
    <col min="8645" max="8645" width="44.83203125" style="675" customWidth="1"/>
    <col min="8646" max="8646" width="49.83203125" style="675" customWidth="1"/>
    <col min="8647" max="8647" width="50" style="675" customWidth="1"/>
    <col min="8648" max="8648" width="45" style="675" customWidth="1"/>
    <col min="8649" max="8650" width="50" style="675" customWidth="1"/>
    <col min="8651" max="8651" width="45" style="675" customWidth="1"/>
    <col min="8652" max="8652" width="50" style="675" customWidth="1"/>
    <col min="8653" max="8658" width="49.83203125" style="675" customWidth="1"/>
    <col min="8659" max="8659" width="34.1640625" style="675" customWidth="1"/>
    <col min="8660" max="8660" width="32.83203125" style="675" customWidth="1"/>
    <col min="8661" max="8661" width="40.83203125" style="675" customWidth="1"/>
    <col min="8662" max="8662" width="186.33203125" style="675" customWidth="1"/>
    <col min="8663" max="8878" width="9.33203125" style="675"/>
    <col min="8879" max="8879" width="186.33203125" style="675" customWidth="1"/>
    <col min="8880" max="8888" width="50" style="675" customWidth="1"/>
    <col min="8889" max="8889" width="186.33203125" style="675" customWidth="1"/>
    <col min="8890" max="8898" width="50" style="675" customWidth="1"/>
    <col min="8899" max="8899" width="186.33203125" style="675" customWidth="1"/>
    <col min="8900" max="8900" width="49.83203125" style="675" customWidth="1"/>
    <col min="8901" max="8901" width="44.83203125" style="675" customWidth="1"/>
    <col min="8902" max="8902" width="49.83203125" style="675" customWidth="1"/>
    <col min="8903" max="8903" width="50" style="675" customWidth="1"/>
    <col min="8904" max="8904" width="45" style="675" customWidth="1"/>
    <col min="8905" max="8906" width="50" style="675" customWidth="1"/>
    <col min="8907" max="8907" width="45" style="675" customWidth="1"/>
    <col min="8908" max="8908" width="50" style="675" customWidth="1"/>
    <col min="8909" max="8914" width="49.83203125" style="675" customWidth="1"/>
    <col min="8915" max="8915" width="34.1640625" style="675" customWidth="1"/>
    <col min="8916" max="8916" width="32.83203125" style="675" customWidth="1"/>
    <col min="8917" max="8917" width="40.83203125" style="675" customWidth="1"/>
    <col min="8918" max="8918" width="186.33203125" style="675" customWidth="1"/>
    <col min="8919" max="9134" width="9.33203125" style="675"/>
    <col min="9135" max="9135" width="186.33203125" style="675" customWidth="1"/>
    <col min="9136" max="9144" width="50" style="675" customWidth="1"/>
    <col min="9145" max="9145" width="186.33203125" style="675" customWidth="1"/>
    <col min="9146" max="9154" width="50" style="675" customWidth="1"/>
    <col min="9155" max="9155" width="186.33203125" style="675" customWidth="1"/>
    <col min="9156" max="9156" width="49.83203125" style="675" customWidth="1"/>
    <col min="9157" max="9157" width="44.83203125" style="675" customWidth="1"/>
    <col min="9158" max="9158" width="49.83203125" style="675" customWidth="1"/>
    <col min="9159" max="9159" width="50" style="675" customWidth="1"/>
    <col min="9160" max="9160" width="45" style="675" customWidth="1"/>
    <col min="9161" max="9162" width="50" style="675" customWidth="1"/>
    <col min="9163" max="9163" width="45" style="675" customWidth="1"/>
    <col min="9164" max="9164" width="50" style="675" customWidth="1"/>
    <col min="9165" max="9170" width="49.83203125" style="675" customWidth="1"/>
    <col min="9171" max="9171" width="34.1640625" style="675" customWidth="1"/>
    <col min="9172" max="9172" width="32.83203125" style="675" customWidth="1"/>
    <col min="9173" max="9173" width="40.83203125" style="675" customWidth="1"/>
    <col min="9174" max="9174" width="186.33203125" style="675" customWidth="1"/>
    <col min="9175" max="9390" width="9.33203125" style="675"/>
    <col min="9391" max="9391" width="186.33203125" style="675" customWidth="1"/>
    <col min="9392" max="9400" width="50" style="675" customWidth="1"/>
    <col min="9401" max="9401" width="186.33203125" style="675" customWidth="1"/>
    <col min="9402" max="9410" width="50" style="675" customWidth="1"/>
    <col min="9411" max="9411" width="186.33203125" style="675" customWidth="1"/>
    <col min="9412" max="9412" width="49.83203125" style="675" customWidth="1"/>
    <col min="9413" max="9413" width="44.83203125" style="675" customWidth="1"/>
    <col min="9414" max="9414" width="49.83203125" style="675" customWidth="1"/>
    <col min="9415" max="9415" width="50" style="675" customWidth="1"/>
    <col min="9416" max="9416" width="45" style="675" customWidth="1"/>
    <col min="9417" max="9418" width="50" style="675" customWidth="1"/>
    <col min="9419" max="9419" width="45" style="675" customWidth="1"/>
    <col min="9420" max="9420" width="50" style="675" customWidth="1"/>
    <col min="9421" max="9426" width="49.83203125" style="675" customWidth="1"/>
    <col min="9427" max="9427" width="34.1640625" style="675" customWidth="1"/>
    <col min="9428" max="9428" width="32.83203125" style="675" customWidth="1"/>
    <col min="9429" max="9429" width="40.83203125" style="675" customWidth="1"/>
    <col min="9430" max="9430" width="186.33203125" style="675" customWidth="1"/>
    <col min="9431" max="9646" width="9.33203125" style="675"/>
    <col min="9647" max="9647" width="186.33203125" style="675" customWidth="1"/>
    <col min="9648" max="9656" width="50" style="675" customWidth="1"/>
    <col min="9657" max="9657" width="186.33203125" style="675" customWidth="1"/>
    <col min="9658" max="9666" width="50" style="675" customWidth="1"/>
    <col min="9667" max="9667" width="186.33203125" style="675" customWidth="1"/>
    <col min="9668" max="9668" width="49.83203125" style="675" customWidth="1"/>
    <col min="9669" max="9669" width="44.83203125" style="675" customWidth="1"/>
    <col min="9670" max="9670" width="49.83203125" style="675" customWidth="1"/>
    <col min="9671" max="9671" width="50" style="675" customWidth="1"/>
    <col min="9672" max="9672" width="45" style="675" customWidth="1"/>
    <col min="9673" max="9674" width="50" style="675" customWidth="1"/>
    <col min="9675" max="9675" width="45" style="675" customWidth="1"/>
    <col min="9676" max="9676" width="50" style="675" customWidth="1"/>
    <col min="9677" max="9682" width="49.83203125" style="675" customWidth="1"/>
    <col min="9683" max="9683" width="34.1640625" style="675" customWidth="1"/>
    <col min="9684" max="9684" width="32.83203125" style="675" customWidth="1"/>
    <col min="9685" max="9685" width="40.83203125" style="675" customWidth="1"/>
    <col min="9686" max="9686" width="186.33203125" style="675" customWidth="1"/>
    <col min="9687" max="9902" width="9.33203125" style="675"/>
    <col min="9903" max="9903" width="186.33203125" style="675" customWidth="1"/>
    <col min="9904" max="9912" width="50" style="675" customWidth="1"/>
    <col min="9913" max="9913" width="186.33203125" style="675" customWidth="1"/>
    <col min="9914" max="9922" width="50" style="675" customWidth="1"/>
    <col min="9923" max="9923" width="186.33203125" style="675" customWidth="1"/>
    <col min="9924" max="9924" width="49.83203125" style="675" customWidth="1"/>
    <col min="9925" max="9925" width="44.83203125" style="675" customWidth="1"/>
    <col min="9926" max="9926" width="49.83203125" style="675" customWidth="1"/>
    <col min="9927" max="9927" width="50" style="675" customWidth="1"/>
    <col min="9928" max="9928" width="45" style="675" customWidth="1"/>
    <col min="9929" max="9930" width="50" style="675" customWidth="1"/>
    <col min="9931" max="9931" width="45" style="675" customWidth="1"/>
    <col min="9932" max="9932" width="50" style="675" customWidth="1"/>
    <col min="9933" max="9938" width="49.83203125" style="675" customWidth="1"/>
    <col min="9939" max="9939" width="34.1640625" style="675" customWidth="1"/>
    <col min="9940" max="9940" width="32.83203125" style="675" customWidth="1"/>
    <col min="9941" max="9941" width="40.83203125" style="675" customWidth="1"/>
    <col min="9942" max="9942" width="186.33203125" style="675" customWidth="1"/>
    <col min="9943" max="10158" width="9.33203125" style="675"/>
    <col min="10159" max="10159" width="186.33203125" style="675" customWidth="1"/>
    <col min="10160" max="10168" width="50" style="675" customWidth="1"/>
    <col min="10169" max="10169" width="186.33203125" style="675" customWidth="1"/>
    <col min="10170" max="10178" width="50" style="675" customWidth="1"/>
    <col min="10179" max="10179" width="186.33203125" style="675" customWidth="1"/>
    <col min="10180" max="10180" width="49.83203125" style="675" customWidth="1"/>
    <col min="10181" max="10181" width="44.83203125" style="675" customWidth="1"/>
    <col min="10182" max="10182" width="49.83203125" style="675" customWidth="1"/>
    <col min="10183" max="10183" width="50" style="675" customWidth="1"/>
    <col min="10184" max="10184" width="45" style="675" customWidth="1"/>
    <col min="10185" max="10186" width="50" style="675" customWidth="1"/>
    <col min="10187" max="10187" width="45" style="675" customWidth="1"/>
    <col min="10188" max="10188" width="50" style="675" customWidth="1"/>
    <col min="10189" max="10194" width="49.83203125" style="675" customWidth="1"/>
    <col min="10195" max="10195" width="34.1640625" style="675" customWidth="1"/>
    <col min="10196" max="10196" width="32.83203125" style="675" customWidth="1"/>
    <col min="10197" max="10197" width="40.83203125" style="675" customWidth="1"/>
    <col min="10198" max="10198" width="186.33203125" style="675" customWidth="1"/>
    <col min="10199" max="10414" width="9.33203125" style="675"/>
    <col min="10415" max="10415" width="186.33203125" style="675" customWidth="1"/>
    <col min="10416" max="10424" width="50" style="675" customWidth="1"/>
    <col min="10425" max="10425" width="186.33203125" style="675" customWidth="1"/>
    <col min="10426" max="10434" width="50" style="675" customWidth="1"/>
    <col min="10435" max="10435" width="186.33203125" style="675" customWidth="1"/>
    <col min="10436" max="10436" width="49.83203125" style="675" customWidth="1"/>
    <col min="10437" max="10437" width="44.83203125" style="675" customWidth="1"/>
    <col min="10438" max="10438" width="49.83203125" style="675" customWidth="1"/>
    <col min="10439" max="10439" width="50" style="675" customWidth="1"/>
    <col min="10440" max="10440" width="45" style="675" customWidth="1"/>
    <col min="10441" max="10442" width="50" style="675" customWidth="1"/>
    <col min="10443" max="10443" width="45" style="675" customWidth="1"/>
    <col min="10444" max="10444" width="50" style="675" customWidth="1"/>
    <col min="10445" max="10450" width="49.83203125" style="675" customWidth="1"/>
    <col min="10451" max="10451" width="34.1640625" style="675" customWidth="1"/>
    <col min="10452" max="10452" width="32.83203125" style="675" customWidth="1"/>
    <col min="10453" max="10453" width="40.83203125" style="675" customWidth="1"/>
    <col min="10454" max="10454" width="186.33203125" style="675" customWidth="1"/>
    <col min="10455" max="10670" width="9.33203125" style="675"/>
    <col min="10671" max="10671" width="186.33203125" style="675" customWidth="1"/>
    <col min="10672" max="10680" width="50" style="675" customWidth="1"/>
    <col min="10681" max="10681" width="186.33203125" style="675" customWidth="1"/>
    <col min="10682" max="10690" width="50" style="675" customWidth="1"/>
    <col min="10691" max="10691" width="186.33203125" style="675" customWidth="1"/>
    <col min="10692" max="10692" width="49.83203125" style="675" customWidth="1"/>
    <col min="10693" max="10693" width="44.83203125" style="675" customWidth="1"/>
    <col min="10694" max="10694" width="49.83203125" style="675" customWidth="1"/>
    <col min="10695" max="10695" width="50" style="675" customWidth="1"/>
    <col min="10696" max="10696" width="45" style="675" customWidth="1"/>
    <col min="10697" max="10698" width="50" style="675" customWidth="1"/>
    <col min="10699" max="10699" width="45" style="675" customWidth="1"/>
    <col min="10700" max="10700" width="50" style="675" customWidth="1"/>
    <col min="10701" max="10706" width="49.83203125" style="675" customWidth="1"/>
    <col min="10707" max="10707" width="34.1640625" style="675" customWidth="1"/>
    <col min="10708" max="10708" width="32.83203125" style="675" customWidth="1"/>
    <col min="10709" max="10709" width="40.83203125" style="675" customWidth="1"/>
    <col min="10710" max="10710" width="186.33203125" style="675" customWidth="1"/>
    <col min="10711" max="10926" width="9.33203125" style="675"/>
    <col min="10927" max="10927" width="186.33203125" style="675" customWidth="1"/>
    <col min="10928" max="10936" width="50" style="675" customWidth="1"/>
    <col min="10937" max="10937" width="186.33203125" style="675" customWidth="1"/>
    <col min="10938" max="10946" width="50" style="675" customWidth="1"/>
    <col min="10947" max="10947" width="186.33203125" style="675" customWidth="1"/>
    <col min="10948" max="10948" width="49.83203125" style="675" customWidth="1"/>
    <col min="10949" max="10949" width="44.83203125" style="675" customWidth="1"/>
    <col min="10950" max="10950" width="49.83203125" style="675" customWidth="1"/>
    <col min="10951" max="10951" width="50" style="675" customWidth="1"/>
    <col min="10952" max="10952" width="45" style="675" customWidth="1"/>
    <col min="10953" max="10954" width="50" style="675" customWidth="1"/>
    <col min="10955" max="10955" width="45" style="675" customWidth="1"/>
    <col min="10956" max="10956" width="50" style="675" customWidth="1"/>
    <col min="10957" max="10962" width="49.83203125" style="675" customWidth="1"/>
    <col min="10963" max="10963" width="34.1640625" style="675" customWidth="1"/>
    <col min="10964" max="10964" width="32.83203125" style="675" customWidth="1"/>
    <col min="10965" max="10965" width="40.83203125" style="675" customWidth="1"/>
    <col min="10966" max="10966" width="186.33203125" style="675" customWidth="1"/>
    <col min="10967" max="11182" width="9.33203125" style="675"/>
    <col min="11183" max="11183" width="186.33203125" style="675" customWidth="1"/>
    <col min="11184" max="11192" width="50" style="675" customWidth="1"/>
    <col min="11193" max="11193" width="186.33203125" style="675" customWidth="1"/>
    <col min="11194" max="11202" width="50" style="675" customWidth="1"/>
    <col min="11203" max="11203" width="186.33203125" style="675" customWidth="1"/>
    <col min="11204" max="11204" width="49.83203125" style="675" customWidth="1"/>
    <col min="11205" max="11205" width="44.83203125" style="675" customWidth="1"/>
    <col min="11206" max="11206" width="49.83203125" style="675" customWidth="1"/>
    <col min="11207" max="11207" width="50" style="675" customWidth="1"/>
    <col min="11208" max="11208" width="45" style="675" customWidth="1"/>
    <col min="11209" max="11210" width="50" style="675" customWidth="1"/>
    <col min="11211" max="11211" width="45" style="675" customWidth="1"/>
    <col min="11212" max="11212" width="50" style="675" customWidth="1"/>
    <col min="11213" max="11218" width="49.83203125" style="675" customWidth="1"/>
    <col min="11219" max="11219" width="34.1640625" style="675" customWidth="1"/>
    <col min="11220" max="11220" width="32.83203125" style="675" customWidth="1"/>
    <col min="11221" max="11221" width="40.83203125" style="675" customWidth="1"/>
    <col min="11222" max="11222" width="186.33203125" style="675" customWidth="1"/>
    <col min="11223" max="11438" width="9.33203125" style="675"/>
    <col min="11439" max="11439" width="186.33203125" style="675" customWidth="1"/>
    <col min="11440" max="11448" width="50" style="675" customWidth="1"/>
    <col min="11449" max="11449" width="186.33203125" style="675" customWidth="1"/>
    <col min="11450" max="11458" width="50" style="675" customWidth="1"/>
    <col min="11459" max="11459" width="186.33203125" style="675" customWidth="1"/>
    <col min="11460" max="11460" width="49.83203125" style="675" customWidth="1"/>
    <col min="11461" max="11461" width="44.83203125" style="675" customWidth="1"/>
    <col min="11462" max="11462" width="49.83203125" style="675" customWidth="1"/>
    <col min="11463" max="11463" width="50" style="675" customWidth="1"/>
    <col min="11464" max="11464" width="45" style="675" customWidth="1"/>
    <col min="11465" max="11466" width="50" style="675" customWidth="1"/>
    <col min="11467" max="11467" width="45" style="675" customWidth="1"/>
    <col min="11468" max="11468" width="50" style="675" customWidth="1"/>
    <col min="11469" max="11474" width="49.83203125" style="675" customWidth="1"/>
    <col min="11475" max="11475" width="34.1640625" style="675" customWidth="1"/>
    <col min="11476" max="11476" width="32.83203125" style="675" customWidth="1"/>
    <col min="11477" max="11477" width="40.83203125" style="675" customWidth="1"/>
    <col min="11478" max="11478" width="186.33203125" style="675" customWidth="1"/>
    <col min="11479" max="11694" width="9.33203125" style="675"/>
    <col min="11695" max="11695" width="186.33203125" style="675" customWidth="1"/>
    <col min="11696" max="11704" width="50" style="675" customWidth="1"/>
    <col min="11705" max="11705" width="186.33203125" style="675" customWidth="1"/>
    <col min="11706" max="11714" width="50" style="675" customWidth="1"/>
    <col min="11715" max="11715" width="186.33203125" style="675" customWidth="1"/>
    <col min="11716" max="11716" width="49.83203125" style="675" customWidth="1"/>
    <col min="11717" max="11717" width="44.83203125" style="675" customWidth="1"/>
    <col min="11718" max="11718" width="49.83203125" style="675" customWidth="1"/>
    <col min="11719" max="11719" width="50" style="675" customWidth="1"/>
    <col min="11720" max="11720" width="45" style="675" customWidth="1"/>
    <col min="11721" max="11722" width="50" style="675" customWidth="1"/>
    <col min="11723" max="11723" width="45" style="675" customWidth="1"/>
    <col min="11724" max="11724" width="50" style="675" customWidth="1"/>
    <col min="11725" max="11730" width="49.83203125" style="675" customWidth="1"/>
    <col min="11731" max="11731" width="34.1640625" style="675" customWidth="1"/>
    <col min="11732" max="11732" width="32.83203125" style="675" customWidth="1"/>
    <col min="11733" max="11733" width="40.83203125" style="675" customWidth="1"/>
    <col min="11734" max="11734" width="186.33203125" style="675" customWidth="1"/>
    <col min="11735" max="11950" width="9.33203125" style="675"/>
    <col min="11951" max="11951" width="186.33203125" style="675" customWidth="1"/>
    <col min="11952" max="11960" width="50" style="675" customWidth="1"/>
    <col min="11961" max="11961" width="186.33203125" style="675" customWidth="1"/>
    <col min="11962" max="11970" width="50" style="675" customWidth="1"/>
    <col min="11971" max="11971" width="186.33203125" style="675" customWidth="1"/>
    <col min="11972" max="11972" width="49.83203125" style="675" customWidth="1"/>
    <col min="11973" max="11973" width="44.83203125" style="675" customWidth="1"/>
    <col min="11974" max="11974" width="49.83203125" style="675" customWidth="1"/>
    <col min="11975" max="11975" width="50" style="675" customWidth="1"/>
    <col min="11976" max="11976" width="45" style="675" customWidth="1"/>
    <col min="11977" max="11978" width="50" style="675" customWidth="1"/>
    <col min="11979" max="11979" width="45" style="675" customWidth="1"/>
    <col min="11980" max="11980" width="50" style="675" customWidth="1"/>
    <col min="11981" max="11986" width="49.83203125" style="675" customWidth="1"/>
    <col min="11987" max="11987" width="34.1640625" style="675" customWidth="1"/>
    <col min="11988" max="11988" width="32.83203125" style="675" customWidth="1"/>
    <col min="11989" max="11989" width="40.83203125" style="675" customWidth="1"/>
    <col min="11990" max="11990" width="186.33203125" style="675" customWidth="1"/>
    <col min="11991" max="12206" width="9.33203125" style="675"/>
    <col min="12207" max="12207" width="186.33203125" style="675" customWidth="1"/>
    <col min="12208" max="12216" width="50" style="675" customWidth="1"/>
    <col min="12217" max="12217" width="186.33203125" style="675" customWidth="1"/>
    <col min="12218" max="12226" width="50" style="675" customWidth="1"/>
    <col min="12227" max="12227" width="186.33203125" style="675" customWidth="1"/>
    <col min="12228" max="12228" width="49.83203125" style="675" customWidth="1"/>
    <col min="12229" max="12229" width="44.83203125" style="675" customWidth="1"/>
    <col min="12230" max="12230" width="49.83203125" style="675" customWidth="1"/>
    <col min="12231" max="12231" width="50" style="675" customWidth="1"/>
    <col min="12232" max="12232" width="45" style="675" customWidth="1"/>
    <col min="12233" max="12234" width="50" style="675" customWidth="1"/>
    <col min="12235" max="12235" width="45" style="675" customWidth="1"/>
    <col min="12236" max="12236" width="50" style="675" customWidth="1"/>
    <col min="12237" max="12242" width="49.83203125" style="675" customWidth="1"/>
    <col min="12243" max="12243" width="34.1640625" style="675" customWidth="1"/>
    <col min="12244" max="12244" width="32.83203125" style="675" customWidth="1"/>
    <col min="12245" max="12245" width="40.83203125" style="675" customWidth="1"/>
    <col min="12246" max="12246" width="186.33203125" style="675" customWidth="1"/>
    <col min="12247" max="12462" width="9.33203125" style="675"/>
    <col min="12463" max="12463" width="186.33203125" style="675" customWidth="1"/>
    <col min="12464" max="12472" width="50" style="675" customWidth="1"/>
    <col min="12473" max="12473" width="186.33203125" style="675" customWidth="1"/>
    <col min="12474" max="12482" width="50" style="675" customWidth="1"/>
    <col min="12483" max="12483" width="186.33203125" style="675" customWidth="1"/>
    <col min="12484" max="12484" width="49.83203125" style="675" customWidth="1"/>
    <col min="12485" max="12485" width="44.83203125" style="675" customWidth="1"/>
    <col min="12486" max="12486" width="49.83203125" style="675" customWidth="1"/>
    <col min="12487" max="12487" width="50" style="675" customWidth="1"/>
    <col min="12488" max="12488" width="45" style="675" customWidth="1"/>
    <col min="12489" max="12490" width="50" style="675" customWidth="1"/>
    <col min="12491" max="12491" width="45" style="675" customWidth="1"/>
    <col min="12492" max="12492" width="50" style="675" customWidth="1"/>
    <col min="12493" max="12498" width="49.83203125" style="675" customWidth="1"/>
    <col min="12499" max="12499" width="34.1640625" style="675" customWidth="1"/>
    <col min="12500" max="12500" width="32.83203125" style="675" customWidth="1"/>
    <col min="12501" max="12501" width="40.83203125" style="675" customWidth="1"/>
    <col min="12502" max="12502" width="186.33203125" style="675" customWidth="1"/>
    <col min="12503" max="12718" width="9.33203125" style="675"/>
    <col min="12719" max="12719" width="186.33203125" style="675" customWidth="1"/>
    <col min="12720" max="12728" width="50" style="675" customWidth="1"/>
    <col min="12729" max="12729" width="186.33203125" style="675" customWidth="1"/>
    <col min="12730" max="12738" width="50" style="675" customWidth="1"/>
    <col min="12739" max="12739" width="186.33203125" style="675" customWidth="1"/>
    <col min="12740" max="12740" width="49.83203125" style="675" customWidth="1"/>
    <col min="12741" max="12741" width="44.83203125" style="675" customWidth="1"/>
    <col min="12742" max="12742" width="49.83203125" style="675" customWidth="1"/>
    <col min="12743" max="12743" width="50" style="675" customWidth="1"/>
    <col min="12744" max="12744" width="45" style="675" customWidth="1"/>
    <col min="12745" max="12746" width="50" style="675" customWidth="1"/>
    <col min="12747" max="12747" width="45" style="675" customWidth="1"/>
    <col min="12748" max="12748" width="50" style="675" customWidth="1"/>
    <col min="12749" max="12754" width="49.83203125" style="675" customWidth="1"/>
    <col min="12755" max="12755" width="34.1640625" style="675" customWidth="1"/>
    <col min="12756" max="12756" width="32.83203125" style="675" customWidth="1"/>
    <col min="12757" max="12757" width="40.83203125" style="675" customWidth="1"/>
    <col min="12758" max="12758" width="186.33203125" style="675" customWidth="1"/>
    <col min="12759" max="12974" width="9.33203125" style="675"/>
    <col min="12975" max="12975" width="186.33203125" style="675" customWidth="1"/>
    <col min="12976" max="12984" width="50" style="675" customWidth="1"/>
    <col min="12985" max="12985" width="186.33203125" style="675" customWidth="1"/>
    <col min="12986" max="12994" width="50" style="675" customWidth="1"/>
    <col min="12995" max="12995" width="186.33203125" style="675" customWidth="1"/>
    <col min="12996" max="12996" width="49.83203125" style="675" customWidth="1"/>
    <col min="12997" max="12997" width="44.83203125" style="675" customWidth="1"/>
    <col min="12998" max="12998" width="49.83203125" style="675" customWidth="1"/>
    <col min="12999" max="12999" width="50" style="675" customWidth="1"/>
    <col min="13000" max="13000" width="45" style="675" customWidth="1"/>
    <col min="13001" max="13002" width="50" style="675" customWidth="1"/>
    <col min="13003" max="13003" width="45" style="675" customWidth="1"/>
    <col min="13004" max="13004" width="50" style="675" customWidth="1"/>
    <col min="13005" max="13010" width="49.83203125" style="675" customWidth="1"/>
    <col min="13011" max="13011" width="34.1640625" style="675" customWidth="1"/>
    <col min="13012" max="13012" width="32.83203125" style="675" customWidth="1"/>
    <col min="13013" max="13013" width="40.83203125" style="675" customWidth="1"/>
    <col min="13014" max="13014" width="186.33203125" style="675" customWidth="1"/>
    <col min="13015" max="13230" width="9.33203125" style="675"/>
    <col min="13231" max="13231" width="186.33203125" style="675" customWidth="1"/>
    <col min="13232" max="13240" width="50" style="675" customWidth="1"/>
    <col min="13241" max="13241" width="186.33203125" style="675" customWidth="1"/>
    <col min="13242" max="13250" width="50" style="675" customWidth="1"/>
    <col min="13251" max="13251" width="186.33203125" style="675" customWidth="1"/>
    <col min="13252" max="13252" width="49.83203125" style="675" customWidth="1"/>
    <col min="13253" max="13253" width="44.83203125" style="675" customWidth="1"/>
    <col min="13254" max="13254" width="49.83203125" style="675" customWidth="1"/>
    <col min="13255" max="13255" width="50" style="675" customWidth="1"/>
    <col min="13256" max="13256" width="45" style="675" customWidth="1"/>
    <col min="13257" max="13258" width="50" style="675" customWidth="1"/>
    <col min="13259" max="13259" width="45" style="675" customWidth="1"/>
    <col min="13260" max="13260" width="50" style="675" customWidth="1"/>
    <col min="13261" max="13266" width="49.83203125" style="675" customWidth="1"/>
    <col min="13267" max="13267" width="34.1640625" style="675" customWidth="1"/>
    <col min="13268" max="13268" width="32.83203125" style="675" customWidth="1"/>
    <col min="13269" max="13269" width="40.83203125" style="675" customWidth="1"/>
    <col min="13270" max="13270" width="186.33203125" style="675" customWidth="1"/>
    <col min="13271" max="13486" width="9.33203125" style="675"/>
    <col min="13487" max="13487" width="186.33203125" style="675" customWidth="1"/>
    <col min="13488" max="13496" width="50" style="675" customWidth="1"/>
    <col min="13497" max="13497" width="186.33203125" style="675" customWidth="1"/>
    <col min="13498" max="13506" width="50" style="675" customWidth="1"/>
    <col min="13507" max="13507" width="186.33203125" style="675" customWidth="1"/>
    <col min="13508" max="13508" width="49.83203125" style="675" customWidth="1"/>
    <col min="13509" max="13509" width="44.83203125" style="675" customWidth="1"/>
    <col min="13510" max="13510" width="49.83203125" style="675" customWidth="1"/>
    <col min="13511" max="13511" width="50" style="675" customWidth="1"/>
    <col min="13512" max="13512" width="45" style="675" customWidth="1"/>
    <col min="13513" max="13514" width="50" style="675" customWidth="1"/>
    <col min="13515" max="13515" width="45" style="675" customWidth="1"/>
    <col min="13516" max="13516" width="50" style="675" customWidth="1"/>
    <col min="13517" max="13522" width="49.83203125" style="675" customWidth="1"/>
    <col min="13523" max="13523" width="34.1640625" style="675" customWidth="1"/>
    <col min="13524" max="13524" width="32.83203125" style="675" customWidth="1"/>
    <col min="13525" max="13525" width="40.83203125" style="675" customWidth="1"/>
    <col min="13526" max="13526" width="186.33203125" style="675" customWidth="1"/>
    <col min="13527" max="13742" width="9.33203125" style="675"/>
    <col min="13743" max="13743" width="186.33203125" style="675" customWidth="1"/>
    <col min="13744" max="13752" width="50" style="675" customWidth="1"/>
    <col min="13753" max="13753" width="186.33203125" style="675" customWidth="1"/>
    <col min="13754" max="13762" width="50" style="675" customWidth="1"/>
    <col min="13763" max="13763" width="186.33203125" style="675" customWidth="1"/>
    <col min="13764" max="13764" width="49.83203125" style="675" customWidth="1"/>
    <col min="13765" max="13765" width="44.83203125" style="675" customWidth="1"/>
    <col min="13766" max="13766" width="49.83203125" style="675" customWidth="1"/>
    <col min="13767" max="13767" width="50" style="675" customWidth="1"/>
    <col min="13768" max="13768" width="45" style="675" customWidth="1"/>
    <col min="13769" max="13770" width="50" style="675" customWidth="1"/>
    <col min="13771" max="13771" width="45" style="675" customWidth="1"/>
    <col min="13772" max="13772" width="50" style="675" customWidth="1"/>
    <col min="13773" max="13778" width="49.83203125" style="675" customWidth="1"/>
    <col min="13779" max="13779" width="34.1640625" style="675" customWidth="1"/>
    <col min="13780" max="13780" width="32.83203125" style="675" customWidth="1"/>
    <col min="13781" max="13781" width="40.83203125" style="675" customWidth="1"/>
    <col min="13782" max="13782" width="186.33203125" style="675" customWidth="1"/>
    <col min="13783" max="13998" width="9.33203125" style="675"/>
    <col min="13999" max="13999" width="186.33203125" style="675" customWidth="1"/>
    <col min="14000" max="14008" width="50" style="675" customWidth="1"/>
    <col min="14009" max="14009" width="186.33203125" style="675" customWidth="1"/>
    <col min="14010" max="14018" width="50" style="675" customWidth="1"/>
    <col min="14019" max="14019" width="186.33203125" style="675" customWidth="1"/>
    <col min="14020" max="14020" width="49.83203125" style="675" customWidth="1"/>
    <col min="14021" max="14021" width="44.83203125" style="675" customWidth="1"/>
    <col min="14022" max="14022" width="49.83203125" style="675" customWidth="1"/>
    <col min="14023" max="14023" width="50" style="675" customWidth="1"/>
    <col min="14024" max="14024" width="45" style="675" customWidth="1"/>
    <col min="14025" max="14026" width="50" style="675" customWidth="1"/>
    <col min="14027" max="14027" width="45" style="675" customWidth="1"/>
    <col min="14028" max="14028" width="50" style="675" customWidth="1"/>
    <col min="14029" max="14034" width="49.83203125" style="675" customWidth="1"/>
    <col min="14035" max="14035" width="34.1640625" style="675" customWidth="1"/>
    <col min="14036" max="14036" width="32.83203125" style="675" customWidth="1"/>
    <col min="14037" max="14037" width="40.83203125" style="675" customWidth="1"/>
    <col min="14038" max="14038" width="186.33203125" style="675" customWidth="1"/>
    <col min="14039" max="14254" width="9.33203125" style="675"/>
    <col min="14255" max="14255" width="186.33203125" style="675" customWidth="1"/>
    <col min="14256" max="14264" width="50" style="675" customWidth="1"/>
    <col min="14265" max="14265" width="186.33203125" style="675" customWidth="1"/>
    <col min="14266" max="14274" width="50" style="675" customWidth="1"/>
    <col min="14275" max="14275" width="186.33203125" style="675" customWidth="1"/>
    <col min="14276" max="14276" width="49.83203125" style="675" customWidth="1"/>
    <col min="14277" max="14277" width="44.83203125" style="675" customWidth="1"/>
    <col min="14278" max="14278" width="49.83203125" style="675" customWidth="1"/>
    <col min="14279" max="14279" width="50" style="675" customWidth="1"/>
    <col min="14280" max="14280" width="45" style="675" customWidth="1"/>
    <col min="14281" max="14282" width="50" style="675" customWidth="1"/>
    <col min="14283" max="14283" width="45" style="675" customWidth="1"/>
    <col min="14284" max="14284" width="50" style="675" customWidth="1"/>
    <col min="14285" max="14290" width="49.83203125" style="675" customWidth="1"/>
    <col min="14291" max="14291" width="34.1640625" style="675" customWidth="1"/>
    <col min="14292" max="14292" width="32.83203125" style="675" customWidth="1"/>
    <col min="14293" max="14293" width="40.83203125" style="675" customWidth="1"/>
    <col min="14294" max="14294" width="186.33203125" style="675" customWidth="1"/>
    <col min="14295" max="14510" width="9.33203125" style="675"/>
    <col min="14511" max="14511" width="186.33203125" style="675" customWidth="1"/>
    <col min="14512" max="14520" width="50" style="675" customWidth="1"/>
    <col min="14521" max="14521" width="186.33203125" style="675" customWidth="1"/>
    <col min="14522" max="14530" width="50" style="675" customWidth="1"/>
    <col min="14531" max="14531" width="186.33203125" style="675" customWidth="1"/>
    <col min="14532" max="14532" width="49.83203125" style="675" customWidth="1"/>
    <col min="14533" max="14533" width="44.83203125" style="675" customWidth="1"/>
    <col min="14534" max="14534" width="49.83203125" style="675" customWidth="1"/>
    <col min="14535" max="14535" width="50" style="675" customWidth="1"/>
    <col min="14536" max="14536" width="45" style="675" customWidth="1"/>
    <col min="14537" max="14538" width="50" style="675" customWidth="1"/>
    <col min="14539" max="14539" width="45" style="675" customWidth="1"/>
    <col min="14540" max="14540" width="50" style="675" customWidth="1"/>
    <col min="14541" max="14546" width="49.83203125" style="675" customWidth="1"/>
    <col min="14547" max="14547" width="34.1640625" style="675" customWidth="1"/>
    <col min="14548" max="14548" width="32.83203125" style="675" customWidth="1"/>
    <col min="14549" max="14549" width="40.83203125" style="675" customWidth="1"/>
    <col min="14550" max="14550" width="186.33203125" style="675" customWidth="1"/>
    <col min="14551" max="14766" width="9.33203125" style="675"/>
    <col min="14767" max="14767" width="186.33203125" style="675" customWidth="1"/>
    <col min="14768" max="14776" width="50" style="675" customWidth="1"/>
    <col min="14777" max="14777" width="186.33203125" style="675" customWidth="1"/>
    <col min="14778" max="14786" width="50" style="675" customWidth="1"/>
    <col min="14787" max="14787" width="186.33203125" style="675" customWidth="1"/>
    <col min="14788" max="14788" width="49.83203125" style="675" customWidth="1"/>
    <col min="14789" max="14789" width="44.83203125" style="675" customWidth="1"/>
    <col min="14790" max="14790" width="49.83203125" style="675" customWidth="1"/>
    <col min="14791" max="14791" width="50" style="675" customWidth="1"/>
    <col min="14792" max="14792" width="45" style="675" customWidth="1"/>
    <col min="14793" max="14794" width="50" style="675" customWidth="1"/>
    <col min="14795" max="14795" width="45" style="675" customWidth="1"/>
    <col min="14796" max="14796" width="50" style="675" customWidth="1"/>
    <col min="14797" max="14802" width="49.83203125" style="675" customWidth="1"/>
    <col min="14803" max="14803" width="34.1640625" style="675" customWidth="1"/>
    <col min="14804" max="14804" width="32.83203125" style="675" customWidth="1"/>
    <col min="14805" max="14805" width="40.83203125" style="675" customWidth="1"/>
    <col min="14806" max="14806" width="186.33203125" style="675" customWidth="1"/>
    <col min="14807" max="15022" width="9.33203125" style="675"/>
    <col min="15023" max="15023" width="186.33203125" style="675" customWidth="1"/>
    <col min="15024" max="15032" width="50" style="675" customWidth="1"/>
    <col min="15033" max="15033" width="186.33203125" style="675" customWidth="1"/>
    <col min="15034" max="15042" width="50" style="675" customWidth="1"/>
    <col min="15043" max="15043" width="186.33203125" style="675" customWidth="1"/>
    <col min="15044" max="15044" width="49.83203125" style="675" customWidth="1"/>
    <col min="15045" max="15045" width="44.83203125" style="675" customWidth="1"/>
    <col min="15046" max="15046" width="49.83203125" style="675" customWidth="1"/>
    <col min="15047" max="15047" width="50" style="675" customWidth="1"/>
    <col min="15048" max="15048" width="45" style="675" customWidth="1"/>
    <col min="15049" max="15050" width="50" style="675" customWidth="1"/>
    <col min="15051" max="15051" width="45" style="675" customWidth="1"/>
    <col min="15052" max="15052" width="50" style="675" customWidth="1"/>
    <col min="15053" max="15058" width="49.83203125" style="675" customWidth="1"/>
    <col min="15059" max="15059" width="34.1640625" style="675" customWidth="1"/>
    <col min="15060" max="15060" width="32.83203125" style="675" customWidth="1"/>
    <col min="15061" max="15061" width="40.83203125" style="675" customWidth="1"/>
    <col min="15062" max="15062" width="186.33203125" style="675" customWidth="1"/>
    <col min="15063" max="15278" width="9.33203125" style="675"/>
    <col min="15279" max="15279" width="186.33203125" style="675" customWidth="1"/>
    <col min="15280" max="15288" width="50" style="675" customWidth="1"/>
    <col min="15289" max="15289" width="186.33203125" style="675" customWidth="1"/>
    <col min="15290" max="15298" width="50" style="675" customWidth="1"/>
    <col min="15299" max="15299" width="186.33203125" style="675" customWidth="1"/>
    <col min="15300" max="15300" width="49.83203125" style="675" customWidth="1"/>
    <col min="15301" max="15301" width="44.83203125" style="675" customWidth="1"/>
    <col min="15302" max="15302" width="49.83203125" style="675" customWidth="1"/>
    <col min="15303" max="15303" width="50" style="675" customWidth="1"/>
    <col min="15304" max="15304" width="45" style="675" customWidth="1"/>
    <col min="15305" max="15306" width="50" style="675" customWidth="1"/>
    <col min="15307" max="15307" width="45" style="675" customWidth="1"/>
    <col min="15308" max="15308" width="50" style="675" customWidth="1"/>
    <col min="15309" max="15314" width="49.83203125" style="675" customWidth="1"/>
    <col min="15315" max="15315" width="34.1640625" style="675" customWidth="1"/>
    <col min="15316" max="15316" width="32.83203125" style="675" customWidth="1"/>
    <col min="15317" max="15317" width="40.83203125" style="675" customWidth="1"/>
    <col min="15318" max="15318" width="186.33203125" style="675" customWidth="1"/>
    <col min="15319" max="15534" width="9.33203125" style="675"/>
    <col min="15535" max="15535" width="186.33203125" style="675" customWidth="1"/>
    <col min="15536" max="15544" width="50" style="675" customWidth="1"/>
    <col min="15545" max="15545" width="186.33203125" style="675" customWidth="1"/>
    <col min="15546" max="15554" width="50" style="675" customWidth="1"/>
    <col min="15555" max="15555" width="186.33203125" style="675" customWidth="1"/>
    <col min="15556" max="15556" width="49.83203125" style="675" customWidth="1"/>
    <col min="15557" max="15557" width="44.83203125" style="675" customWidth="1"/>
    <col min="15558" max="15558" width="49.83203125" style="675" customWidth="1"/>
    <col min="15559" max="15559" width="50" style="675" customWidth="1"/>
    <col min="15560" max="15560" width="45" style="675" customWidth="1"/>
    <col min="15561" max="15562" width="50" style="675" customWidth="1"/>
    <col min="15563" max="15563" width="45" style="675" customWidth="1"/>
    <col min="15564" max="15564" width="50" style="675" customWidth="1"/>
    <col min="15565" max="15570" width="49.83203125" style="675" customWidth="1"/>
    <col min="15571" max="15571" width="34.1640625" style="675" customWidth="1"/>
    <col min="15572" max="15572" width="32.83203125" style="675" customWidth="1"/>
    <col min="15573" max="15573" width="40.83203125" style="675" customWidth="1"/>
    <col min="15574" max="15574" width="186.33203125" style="675" customWidth="1"/>
    <col min="15575" max="15790" width="9.33203125" style="675"/>
    <col min="15791" max="15791" width="186.33203125" style="675" customWidth="1"/>
    <col min="15792" max="15800" width="50" style="675" customWidth="1"/>
    <col min="15801" max="15801" width="186.33203125" style="675" customWidth="1"/>
    <col min="15802" max="15810" width="50" style="675" customWidth="1"/>
    <col min="15811" max="15811" width="186.33203125" style="675" customWidth="1"/>
    <col min="15812" max="15812" width="49.83203125" style="675" customWidth="1"/>
    <col min="15813" max="15813" width="44.83203125" style="675" customWidth="1"/>
    <col min="15814" max="15814" width="49.83203125" style="675" customWidth="1"/>
    <col min="15815" max="15815" width="50" style="675" customWidth="1"/>
    <col min="15816" max="15816" width="45" style="675" customWidth="1"/>
    <col min="15817" max="15818" width="50" style="675" customWidth="1"/>
    <col min="15819" max="15819" width="45" style="675" customWidth="1"/>
    <col min="15820" max="15820" width="50" style="675" customWidth="1"/>
    <col min="15821" max="15826" width="49.83203125" style="675" customWidth="1"/>
    <col min="15827" max="15827" width="34.1640625" style="675" customWidth="1"/>
    <col min="15828" max="15828" width="32.83203125" style="675" customWidth="1"/>
    <col min="15829" max="15829" width="40.83203125" style="675" customWidth="1"/>
    <col min="15830" max="15830" width="186.33203125" style="675" customWidth="1"/>
    <col min="15831" max="16046" width="9.33203125" style="675"/>
    <col min="16047" max="16047" width="186.33203125" style="675" customWidth="1"/>
    <col min="16048" max="16056" width="50" style="675" customWidth="1"/>
    <col min="16057" max="16057" width="186.33203125" style="675" customWidth="1"/>
    <col min="16058" max="16066" width="50" style="675" customWidth="1"/>
    <col min="16067" max="16067" width="186.33203125" style="675" customWidth="1"/>
    <col min="16068" max="16068" width="49.83203125" style="675" customWidth="1"/>
    <col min="16069" max="16069" width="44.83203125" style="675" customWidth="1"/>
    <col min="16070" max="16070" width="49.83203125" style="675" customWidth="1"/>
    <col min="16071" max="16071" width="50" style="675" customWidth="1"/>
    <col min="16072" max="16072" width="45" style="675" customWidth="1"/>
    <col min="16073" max="16074" width="50" style="675" customWidth="1"/>
    <col min="16075" max="16075" width="45" style="675" customWidth="1"/>
    <col min="16076" max="16076" width="50" style="675" customWidth="1"/>
    <col min="16077" max="16082" width="49.83203125" style="675" customWidth="1"/>
    <col min="16083" max="16083" width="34.1640625" style="675" customWidth="1"/>
    <col min="16084" max="16084" width="32.83203125" style="675" customWidth="1"/>
    <col min="16085" max="16085" width="40.83203125" style="675" customWidth="1"/>
    <col min="16086" max="16086" width="186.33203125" style="675" customWidth="1"/>
    <col min="16087" max="16384" width="9.33203125" style="675"/>
  </cols>
  <sheetData>
    <row r="1" spans="1:36" ht="38.25" customHeight="1" x14ac:dyDescent="0.7">
      <c r="A1" s="673"/>
      <c r="B1" s="674"/>
      <c r="C1" s="674"/>
      <c r="D1" s="674"/>
      <c r="E1" s="674"/>
      <c r="F1" s="674"/>
      <c r="G1" s="674"/>
      <c r="H1" s="674"/>
      <c r="I1" s="674"/>
      <c r="J1" s="674"/>
      <c r="K1" s="673"/>
      <c r="L1" s="674"/>
      <c r="M1" s="674"/>
      <c r="N1" s="674"/>
      <c r="O1" s="674"/>
      <c r="P1" s="674"/>
      <c r="Q1" s="674"/>
      <c r="R1" s="674"/>
      <c r="S1" s="674"/>
      <c r="T1" s="674"/>
      <c r="U1" s="673"/>
      <c r="V1" s="673"/>
      <c r="W1" s="673"/>
      <c r="X1" s="673"/>
      <c r="Y1" s="673"/>
      <c r="Z1" s="673"/>
      <c r="AA1" s="673"/>
      <c r="AB1" s="673"/>
      <c r="AC1" s="673"/>
      <c r="AD1" s="673"/>
      <c r="AE1" s="673"/>
      <c r="AF1" s="673"/>
      <c r="AG1" s="673"/>
      <c r="AH1" s="673"/>
      <c r="AI1" s="673"/>
      <c r="AJ1" s="673"/>
    </row>
    <row r="2" spans="1:36" ht="54" customHeight="1" x14ac:dyDescent="0.7">
      <c r="A2" s="673"/>
      <c r="B2" s="975" t="s">
        <v>209</v>
      </c>
      <c r="C2" s="975"/>
      <c r="D2" s="975"/>
      <c r="E2" s="975"/>
      <c r="F2" s="975"/>
      <c r="G2" s="975"/>
      <c r="H2" s="975"/>
      <c r="I2" s="975"/>
      <c r="J2" s="975"/>
      <c r="K2" s="673"/>
      <c r="L2" s="975" t="s">
        <v>209</v>
      </c>
      <c r="M2" s="975"/>
      <c r="N2" s="975"/>
      <c r="O2" s="975"/>
      <c r="P2" s="975"/>
      <c r="Q2" s="975"/>
      <c r="R2" s="975"/>
      <c r="S2" s="975"/>
      <c r="T2" s="975"/>
      <c r="U2" s="673"/>
      <c r="V2" s="975" t="s">
        <v>209</v>
      </c>
      <c r="W2" s="975"/>
      <c r="X2" s="975"/>
      <c r="Y2" s="975"/>
      <c r="Z2" s="975"/>
      <c r="AA2" s="975"/>
      <c r="AB2" s="975"/>
      <c r="AC2" s="975"/>
      <c r="AD2" s="975"/>
      <c r="AE2" s="975"/>
      <c r="AF2" s="975"/>
      <c r="AG2" s="975"/>
      <c r="AH2" s="975"/>
      <c r="AI2" s="975"/>
      <c r="AJ2" s="975"/>
    </row>
    <row r="3" spans="1:36" ht="54" customHeight="1" x14ac:dyDescent="0.7">
      <c r="A3" s="673"/>
      <c r="B3" s="975" t="s">
        <v>731</v>
      </c>
      <c r="C3" s="975"/>
      <c r="D3" s="975"/>
      <c r="E3" s="975"/>
      <c r="F3" s="975"/>
      <c r="G3" s="975"/>
      <c r="H3" s="975"/>
      <c r="I3" s="975"/>
      <c r="J3" s="975"/>
      <c r="K3" s="673"/>
      <c r="L3" s="975" t="s">
        <v>731</v>
      </c>
      <c r="M3" s="975"/>
      <c r="N3" s="975"/>
      <c r="O3" s="975"/>
      <c r="P3" s="975"/>
      <c r="Q3" s="975"/>
      <c r="R3" s="975"/>
      <c r="S3" s="975"/>
      <c r="T3" s="975"/>
      <c r="U3" s="673"/>
      <c r="V3" s="975" t="s">
        <v>731</v>
      </c>
      <c r="W3" s="975"/>
      <c r="X3" s="975"/>
      <c r="Y3" s="975"/>
      <c r="Z3" s="975"/>
      <c r="AA3" s="975"/>
      <c r="AB3" s="975"/>
      <c r="AC3" s="975"/>
      <c r="AD3" s="975"/>
      <c r="AE3" s="975"/>
      <c r="AF3" s="975"/>
      <c r="AG3" s="975"/>
      <c r="AH3" s="975"/>
      <c r="AI3" s="975"/>
      <c r="AJ3" s="975"/>
    </row>
    <row r="4" spans="1:36" ht="62.25" customHeight="1" thickBot="1" x14ac:dyDescent="0.75">
      <c r="A4" s="673"/>
      <c r="B4" s="674"/>
      <c r="C4" s="674"/>
      <c r="D4" s="674"/>
      <c r="E4" s="674"/>
      <c r="F4" s="674"/>
      <c r="G4" s="674"/>
      <c r="H4" s="674"/>
      <c r="I4" s="674"/>
      <c r="J4" s="677" t="s">
        <v>201</v>
      </c>
      <c r="K4" s="673"/>
      <c r="L4" s="674"/>
      <c r="M4" s="674"/>
      <c r="N4" s="674"/>
      <c r="O4" s="674"/>
      <c r="P4" s="674"/>
      <c r="Q4" s="674"/>
      <c r="R4" s="674"/>
      <c r="S4" s="674"/>
      <c r="T4" s="677" t="s">
        <v>201</v>
      </c>
      <c r="U4" s="673"/>
      <c r="V4" s="673"/>
      <c r="W4" s="673"/>
      <c r="X4" s="673"/>
      <c r="Y4" s="673"/>
      <c r="Z4" s="673"/>
      <c r="AA4" s="673"/>
      <c r="AB4" s="673"/>
      <c r="AC4" s="673"/>
      <c r="AD4" s="673"/>
      <c r="AE4" s="673"/>
      <c r="AF4" s="673"/>
      <c r="AG4" s="673"/>
      <c r="AH4" s="673"/>
      <c r="AI4" s="673"/>
      <c r="AJ4" s="677" t="s">
        <v>201</v>
      </c>
    </row>
    <row r="5" spans="1:36" s="679" customFormat="1" ht="55.5" customHeight="1" x14ac:dyDescent="0.6">
      <c r="A5" s="987" t="s">
        <v>732</v>
      </c>
      <c r="B5" s="989" t="s">
        <v>242</v>
      </c>
      <c r="C5" s="990"/>
      <c r="D5" s="991"/>
      <c r="E5" s="989" t="s">
        <v>243</v>
      </c>
      <c r="F5" s="990"/>
      <c r="G5" s="991"/>
      <c r="H5" s="989" t="s">
        <v>244</v>
      </c>
      <c r="I5" s="990"/>
      <c r="J5" s="991"/>
      <c r="K5" s="987" t="s">
        <v>732</v>
      </c>
      <c r="L5" s="989" t="s">
        <v>245</v>
      </c>
      <c r="M5" s="990"/>
      <c r="N5" s="991"/>
      <c r="O5" s="989" t="s">
        <v>316</v>
      </c>
      <c r="P5" s="990"/>
      <c r="Q5" s="991"/>
      <c r="R5" s="989" t="s">
        <v>226</v>
      </c>
      <c r="S5" s="990"/>
      <c r="T5" s="991"/>
      <c r="U5" s="987" t="s">
        <v>732</v>
      </c>
      <c r="V5" s="998" t="s">
        <v>733</v>
      </c>
      <c r="W5" s="999"/>
      <c r="X5" s="1000"/>
      <c r="Y5" s="998" t="s">
        <v>734</v>
      </c>
      <c r="Z5" s="999"/>
      <c r="AA5" s="1000"/>
      <c r="AB5" s="998" t="s">
        <v>248</v>
      </c>
      <c r="AC5" s="999"/>
      <c r="AD5" s="1000"/>
      <c r="AE5" s="998" t="s">
        <v>227</v>
      </c>
      <c r="AF5" s="999"/>
      <c r="AG5" s="1000"/>
      <c r="AH5" s="998" t="s">
        <v>735</v>
      </c>
      <c r="AI5" s="999"/>
      <c r="AJ5" s="1000"/>
    </row>
    <row r="6" spans="1:36" s="679" customFormat="1" ht="54" customHeight="1" x14ac:dyDescent="0.6">
      <c r="A6" s="988"/>
      <c r="B6" s="992"/>
      <c r="C6" s="993"/>
      <c r="D6" s="994"/>
      <c r="E6" s="992"/>
      <c r="F6" s="993"/>
      <c r="G6" s="994"/>
      <c r="H6" s="992"/>
      <c r="I6" s="993"/>
      <c r="J6" s="994"/>
      <c r="K6" s="988"/>
      <c r="L6" s="992"/>
      <c r="M6" s="993"/>
      <c r="N6" s="994"/>
      <c r="O6" s="992"/>
      <c r="P6" s="993"/>
      <c r="Q6" s="994"/>
      <c r="R6" s="992"/>
      <c r="S6" s="993"/>
      <c r="T6" s="994"/>
      <c r="U6" s="988"/>
      <c r="V6" s="1001"/>
      <c r="W6" s="1002"/>
      <c r="X6" s="1003"/>
      <c r="Y6" s="1001"/>
      <c r="Z6" s="1002"/>
      <c r="AA6" s="1003"/>
      <c r="AB6" s="1001"/>
      <c r="AC6" s="1002"/>
      <c r="AD6" s="1003"/>
      <c r="AE6" s="1001"/>
      <c r="AF6" s="1002"/>
      <c r="AG6" s="1003"/>
      <c r="AH6" s="1001"/>
      <c r="AI6" s="1002"/>
      <c r="AJ6" s="1003"/>
    </row>
    <row r="7" spans="1:36" s="682" customFormat="1" ht="94.5" customHeight="1" thickBot="1" x14ac:dyDescent="0.65">
      <c r="A7" s="680" t="s">
        <v>736</v>
      </c>
      <c r="B7" s="995"/>
      <c r="C7" s="996"/>
      <c r="D7" s="997"/>
      <c r="E7" s="995"/>
      <c r="F7" s="996"/>
      <c r="G7" s="997"/>
      <c r="H7" s="995"/>
      <c r="I7" s="996"/>
      <c r="J7" s="997"/>
      <c r="K7" s="680" t="s">
        <v>736</v>
      </c>
      <c r="L7" s="995"/>
      <c r="M7" s="996"/>
      <c r="N7" s="997"/>
      <c r="O7" s="995"/>
      <c r="P7" s="996"/>
      <c r="Q7" s="997"/>
      <c r="R7" s="995"/>
      <c r="S7" s="996"/>
      <c r="T7" s="997"/>
      <c r="U7" s="680" t="s">
        <v>736</v>
      </c>
      <c r="V7" s="1004"/>
      <c r="W7" s="1005"/>
      <c r="X7" s="1006"/>
      <c r="Y7" s="1004"/>
      <c r="Z7" s="1005"/>
      <c r="AA7" s="1006"/>
      <c r="AB7" s="1004"/>
      <c r="AC7" s="1005"/>
      <c r="AD7" s="1006"/>
      <c r="AE7" s="1004"/>
      <c r="AF7" s="1005"/>
      <c r="AG7" s="1006"/>
      <c r="AH7" s="1004"/>
      <c r="AI7" s="1005"/>
      <c r="AJ7" s="1006"/>
    </row>
    <row r="8" spans="1:36" s="682" customFormat="1" ht="148.5" customHeight="1" thickBot="1" x14ac:dyDescent="0.65">
      <c r="A8" s="683"/>
      <c r="B8" s="684" t="s">
        <v>737</v>
      </c>
      <c r="C8" s="684" t="s">
        <v>738</v>
      </c>
      <c r="D8" s="684" t="s">
        <v>739</v>
      </c>
      <c r="E8" s="684" t="s">
        <v>737</v>
      </c>
      <c r="F8" s="684" t="s">
        <v>738</v>
      </c>
      <c r="G8" s="684" t="s">
        <v>739</v>
      </c>
      <c r="H8" s="684" t="s">
        <v>737</v>
      </c>
      <c r="I8" s="684" t="s">
        <v>738</v>
      </c>
      <c r="J8" s="684" t="s">
        <v>739</v>
      </c>
      <c r="K8" s="683"/>
      <c r="L8" s="684" t="s">
        <v>737</v>
      </c>
      <c r="M8" s="684" t="s">
        <v>738</v>
      </c>
      <c r="N8" s="684" t="s">
        <v>739</v>
      </c>
      <c r="O8" s="684" t="s">
        <v>737</v>
      </c>
      <c r="P8" s="684" t="s">
        <v>738</v>
      </c>
      <c r="Q8" s="684" t="s">
        <v>739</v>
      </c>
      <c r="R8" s="684" t="s">
        <v>737</v>
      </c>
      <c r="S8" s="684" t="s">
        <v>738</v>
      </c>
      <c r="T8" s="684" t="s">
        <v>739</v>
      </c>
      <c r="U8" s="683"/>
      <c r="V8" s="684" t="s">
        <v>737</v>
      </c>
      <c r="W8" s="684" t="s">
        <v>738</v>
      </c>
      <c r="X8" s="684" t="s">
        <v>739</v>
      </c>
      <c r="Y8" s="684" t="s">
        <v>737</v>
      </c>
      <c r="Z8" s="684" t="s">
        <v>738</v>
      </c>
      <c r="AA8" s="684" t="s">
        <v>739</v>
      </c>
      <c r="AB8" s="684" t="s">
        <v>737</v>
      </c>
      <c r="AC8" s="684" t="s">
        <v>738</v>
      </c>
      <c r="AD8" s="684" t="s">
        <v>739</v>
      </c>
      <c r="AE8" s="684" t="s">
        <v>737</v>
      </c>
      <c r="AF8" s="684" t="s">
        <v>738</v>
      </c>
      <c r="AG8" s="684" t="s">
        <v>739</v>
      </c>
      <c r="AH8" s="684" t="s">
        <v>737</v>
      </c>
      <c r="AI8" s="684" t="s">
        <v>738</v>
      </c>
      <c r="AJ8" s="684" t="s">
        <v>739</v>
      </c>
    </row>
    <row r="9" spans="1:36" s="686" customFormat="1" ht="45.75" customHeight="1" x14ac:dyDescent="0.7">
      <c r="A9" s="678" t="s">
        <v>740</v>
      </c>
      <c r="B9" s="685"/>
      <c r="C9" s="685"/>
      <c r="D9" s="685"/>
      <c r="E9" s="685"/>
      <c r="F9" s="685"/>
      <c r="G9" s="685"/>
      <c r="H9" s="685"/>
      <c r="I9" s="685"/>
      <c r="J9" s="685"/>
      <c r="K9" s="678" t="s">
        <v>740</v>
      </c>
      <c r="L9" s="685"/>
      <c r="M9" s="685"/>
      <c r="N9" s="685"/>
      <c r="O9" s="685"/>
      <c r="P9" s="685"/>
      <c r="Q9" s="685"/>
      <c r="R9" s="685"/>
      <c r="S9" s="685"/>
      <c r="T9" s="685"/>
      <c r="U9" s="678" t="s">
        <v>740</v>
      </c>
      <c r="V9" s="678"/>
      <c r="W9" s="678"/>
      <c r="X9" s="678"/>
      <c r="Y9" s="678"/>
      <c r="Z9" s="678"/>
      <c r="AA9" s="678"/>
      <c r="AB9" s="685"/>
      <c r="AC9" s="685"/>
      <c r="AD9" s="685"/>
      <c r="AE9" s="678"/>
      <c r="AF9" s="678"/>
      <c r="AG9" s="678"/>
      <c r="AH9" s="678"/>
      <c r="AI9" s="678"/>
      <c r="AJ9" s="678"/>
    </row>
    <row r="10" spans="1:36" s="686" customFormat="1" ht="48.75" customHeight="1" x14ac:dyDescent="0.7">
      <c r="A10" s="687" t="s">
        <v>741</v>
      </c>
      <c r="B10" s="688">
        <f>'[3]int.kiadások RM I'!D10</f>
        <v>280344</v>
      </c>
      <c r="C10" s="689">
        <f>-1135+575</f>
        <v>-560</v>
      </c>
      <c r="D10" s="688">
        <f>SUM(B10:C10)</f>
        <v>279784</v>
      </c>
      <c r="E10" s="688">
        <f>'[3]int.kiadások RM I'!G10</f>
        <v>42572</v>
      </c>
      <c r="F10" s="688">
        <f>-147+75</f>
        <v>-72</v>
      </c>
      <c r="G10" s="688">
        <f t="shared" ref="G10:G27" si="0">SUM(E10:F10)</f>
        <v>42500</v>
      </c>
      <c r="H10" s="688">
        <f>'[3]int.kiadások RM I'!J10</f>
        <v>9083</v>
      </c>
      <c r="I10" s="688">
        <v>-1901</v>
      </c>
      <c r="J10" s="688">
        <f>SUM(H10:I10)</f>
        <v>7182</v>
      </c>
      <c r="K10" s="687" t="s">
        <v>741</v>
      </c>
      <c r="L10" s="688">
        <f>'[3]int.kiadások RM I'!N10</f>
        <v>0</v>
      </c>
      <c r="M10" s="688"/>
      <c r="N10" s="688">
        <f>SUM(L10:M10)</f>
        <v>0</v>
      </c>
      <c r="O10" s="688">
        <f>'[3]int.kiadások RM I'!Q10</f>
        <v>0</v>
      </c>
      <c r="P10" s="688"/>
      <c r="Q10" s="688">
        <f>SUM(O10:P10)</f>
        <v>0</v>
      </c>
      <c r="R10" s="690">
        <f>B10+E10+H10+L10+O10</f>
        <v>331999</v>
      </c>
      <c r="S10" s="690">
        <f>C10+F10+I10+M10+P10</f>
        <v>-2533</v>
      </c>
      <c r="T10" s="690">
        <f>D10+G10+J10+N10+Q10</f>
        <v>329466</v>
      </c>
      <c r="U10" s="687" t="s">
        <v>741</v>
      </c>
      <c r="V10" s="688">
        <f>'[3]int.kiadások RM I'!X10</f>
        <v>0</v>
      </c>
      <c r="W10" s="688">
        <v>3183</v>
      </c>
      <c r="X10" s="688">
        <f>SUM(V10:W10)</f>
        <v>3183</v>
      </c>
      <c r="Y10" s="688">
        <f>'[3]int.kiadások RM I'!AA10</f>
        <v>0</v>
      </c>
      <c r="Z10" s="688"/>
      <c r="AA10" s="688">
        <f>SUM(Y10:Z10)</f>
        <v>0</v>
      </c>
      <c r="AB10" s="688">
        <f>'[3]int.kiadások RM I'!AD10</f>
        <v>0</v>
      </c>
      <c r="AC10" s="688"/>
      <c r="AD10" s="688">
        <f>SUM(AB10:AC10)</f>
        <v>0</v>
      </c>
      <c r="AE10" s="690">
        <f>V10+Y10+AB10</f>
        <v>0</v>
      </c>
      <c r="AF10" s="690">
        <f>W10+Z10+AC10</f>
        <v>3183</v>
      </c>
      <c r="AG10" s="690">
        <f>X10+AA10+AD10</f>
        <v>3183</v>
      </c>
      <c r="AH10" s="690">
        <f t="shared" ref="AH10:AJ29" si="1">R10+AE10</f>
        <v>331999</v>
      </c>
      <c r="AI10" s="690">
        <f t="shared" si="1"/>
        <v>650</v>
      </c>
      <c r="AJ10" s="690">
        <f t="shared" si="1"/>
        <v>332649</v>
      </c>
    </row>
    <row r="11" spans="1:36" s="686" customFormat="1" ht="48.75" customHeight="1" x14ac:dyDescent="0.7">
      <c r="A11" s="691" t="s">
        <v>742</v>
      </c>
      <c r="B11" s="688">
        <f>'[3]int.kiadások RM I'!D11</f>
        <v>191581</v>
      </c>
      <c r="C11" s="688">
        <f>-65+405</f>
        <v>340</v>
      </c>
      <c r="D11" s="688">
        <f t="shared" ref="D11:D36" si="2">SUM(B11:C11)</f>
        <v>191921</v>
      </c>
      <c r="E11" s="688">
        <f>'[3]int.kiadások RM I'!G11</f>
        <v>25485</v>
      </c>
      <c r="F11" s="688">
        <f>-9+53</f>
        <v>44</v>
      </c>
      <c r="G11" s="688">
        <f t="shared" si="0"/>
        <v>25529</v>
      </c>
      <c r="H11" s="688">
        <f>'[3]int.kiadások RM I'!J11</f>
        <v>4652</v>
      </c>
      <c r="I11" s="688">
        <v>74</v>
      </c>
      <c r="J11" s="688">
        <f t="shared" ref="J11:J27" si="3">SUM(H11:I11)</f>
        <v>4726</v>
      </c>
      <c r="K11" s="691" t="s">
        <v>742</v>
      </c>
      <c r="L11" s="688">
        <f>'[3]int.kiadások RM I'!N11</f>
        <v>0</v>
      </c>
      <c r="M11" s="688"/>
      <c r="N11" s="688">
        <f t="shared" ref="N11:N27" si="4">SUM(L11:M11)</f>
        <v>0</v>
      </c>
      <c r="O11" s="688">
        <f>'[3]int.kiadások RM I'!Q11</f>
        <v>0</v>
      </c>
      <c r="P11" s="688"/>
      <c r="Q11" s="688">
        <f t="shared" ref="Q11:Q27" si="5">SUM(O11:P11)</f>
        <v>0</v>
      </c>
      <c r="R11" s="690">
        <f t="shared" ref="R11:T27" si="6">B11+E11+H11+L11+O11</f>
        <v>221718</v>
      </c>
      <c r="S11" s="690">
        <f t="shared" si="6"/>
        <v>458</v>
      </c>
      <c r="T11" s="690">
        <f t="shared" si="6"/>
        <v>222176</v>
      </c>
      <c r="U11" s="691" t="s">
        <v>742</v>
      </c>
      <c r="V11" s="688">
        <f>'[3]int.kiadások RM I'!X11</f>
        <v>116</v>
      </c>
      <c r="W11" s="688"/>
      <c r="X11" s="688">
        <f t="shared" ref="X11:X29" si="7">SUM(V11:W11)</f>
        <v>116</v>
      </c>
      <c r="Y11" s="688">
        <f>'[3]int.kiadások RM I'!AA11</f>
        <v>0</v>
      </c>
      <c r="Z11" s="688"/>
      <c r="AA11" s="688">
        <f t="shared" ref="AA11:AA27" si="8">SUM(Y11:Z11)</f>
        <v>0</v>
      </c>
      <c r="AB11" s="688">
        <f>'[3]int.kiadások RM I'!AD11</f>
        <v>0</v>
      </c>
      <c r="AC11" s="688"/>
      <c r="AD11" s="688">
        <f t="shared" ref="AD11:AD27" si="9">SUM(AB11:AC11)</f>
        <v>0</v>
      </c>
      <c r="AE11" s="690">
        <f t="shared" ref="AE11:AG27" si="10">V11+Y11+AB11</f>
        <v>116</v>
      </c>
      <c r="AF11" s="690">
        <f t="shared" si="10"/>
        <v>0</v>
      </c>
      <c r="AG11" s="690">
        <f t="shared" si="10"/>
        <v>116</v>
      </c>
      <c r="AH11" s="690">
        <f t="shared" si="1"/>
        <v>221834</v>
      </c>
      <c r="AI11" s="690">
        <f t="shared" si="1"/>
        <v>458</v>
      </c>
      <c r="AJ11" s="690">
        <f t="shared" si="1"/>
        <v>222292</v>
      </c>
    </row>
    <row r="12" spans="1:36" s="686" customFormat="1" ht="48.75" customHeight="1" x14ac:dyDescent="0.7">
      <c r="A12" s="691" t="s">
        <v>743</v>
      </c>
      <c r="B12" s="688">
        <f>'[3]int.kiadások RM I'!D12</f>
        <v>200616</v>
      </c>
      <c r="C12" s="688">
        <f>-1233+1057</f>
        <v>-176</v>
      </c>
      <c r="D12" s="688">
        <f t="shared" si="2"/>
        <v>200440</v>
      </c>
      <c r="E12" s="688">
        <f>'[3]int.kiadások RM I'!G12</f>
        <v>26897</v>
      </c>
      <c r="F12" s="688">
        <f>-160+238</f>
        <v>78</v>
      </c>
      <c r="G12" s="688">
        <f t="shared" si="0"/>
        <v>26975</v>
      </c>
      <c r="H12" s="688">
        <f>'[3]int.kiadások RM I'!J12</f>
        <v>4510</v>
      </c>
      <c r="I12" s="688">
        <v>1204</v>
      </c>
      <c r="J12" s="688">
        <f t="shared" si="3"/>
        <v>5714</v>
      </c>
      <c r="K12" s="691" t="s">
        <v>743</v>
      </c>
      <c r="L12" s="688">
        <f>'[3]int.kiadások RM I'!N12</f>
        <v>0</v>
      </c>
      <c r="M12" s="688"/>
      <c r="N12" s="688">
        <f t="shared" si="4"/>
        <v>0</v>
      </c>
      <c r="O12" s="688">
        <f>'[3]int.kiadások RM I'!Q12</f>
        <v>0</v>
      </c>
      <c r="P12" s="688"/>
      <c r="Q12" s="688">
        <f t="shared" si="5"/>
        <v>0</v>
      </c>
      <c r="R12" s="690">
        <f t="shared" si="6"/>
        <v>232023</v>
      </c>
      <c r="S12" s="690">
        <f t="shared" si="6"/>
        <v>1106</v>
      </c>
      <c r="T12" s="690">
        <f t="shared" si="6"/>
        <v>233129</v>
      </c>
      <c r="U12" s="691" t="s">
        <v>743</v>
      </c>
      <c r="V12" s="688">
        <f>'[3]int.kiadások RM I'!X12</f>
        <v>35</v>
      </c>
      <c r="W12" s="688">
        <v>189</v>
      </c>
      <c r="X12" s="688">
        <f t="shared" si="7"/>
        <v>224</v>
      </c>
      <c r="Y12" s="688">
        <f>'[3]int.kiadások RM I'!AA12</f>
        <v>0</v>
      </c>
      <c r="Z12" s="688"/>
      <c r="AA12" s="688">
        <f t="shared" si="8"/>
        <v>0</v>
      </c>
      <c r="AB12" s="688">
        <f>'[3]int.kiadások RM I'!AD12</f>
        <v>0</v>
      </c>
      <c r="AC12" s="688"/>
      <c r="AD12" s="688">
        <f t="shared" si="9"/>
        <v>0</v>
      </c>
      <c r="AE12" s="690">
        <f t="shared" si="10"/>
        <v>35</v>
      </c>
      <c r="AF12" s="690">
        <f t="shared" si="10"/>
        <v>189</v>
      </c>
      <c r="AG12" s="690">
        <f t="shared" si="10"/>
        <v>224</v>
      </c>
      <c r="AH12" s="690">
        <f t="shared" si="1"/>
        <v>232058</v>
      </c>
      <c r="AI12" s="690">
        <f t="shared" si="1"/>
        <v>1295</v>
      </c>
      <c r="AJ12" s="690">
        <f t="shared" si="1"/>
        <v>233353</v>
      </c>
    </row>
    <row r="13" spans="1:36" s="686" customFormat="1" ht="48.75" customHeight="1" x14ac:dyDescent="0.7">
      <c r="A13" s="691" t="s">
        <v>744</v>
      </c>
      <c r="B13" s="688">
        <f>'[3]int.kiadások RM I'!D13</f>
        <v>240296</v>
      </c>
      <c r="C13" s="688">
        <f>200+576</f>
        <v>776</v>
      </c>
      <c r="D13" s="688">
        <f t="shared" si="2"/>
        <v>241072</v>
      </c>
      <c r="E13" s="688">
        <f>'[3]int.kiadások RM I'!G13</f>
        <v>36515</v>
      </c>
      <c r="F13" s="688">
        <f>-1018+75</f>
        <v>-943</v>
      </c>
      <c r="G13" s="688">
        <f t="shared" si="0"/>
        <v>35572</v>
      </c>
      <c r="H13" s="688">
        <f>'[3]int.kiadások RM I'!J13</f>
        <v>5831</v>
      </c>
      <c r="I13" s="688">
        <v>676</v>
      </c>
      <c r="J13" s="688">
        <f t="shared" si="3"/>
        <v>6507</v>
      </c>
      <c r="K13" s="691" t="s">
        <v>744</v>
      </c>
      <c r="L13" s="688">
        <f>'[3]int.kiadások RM I'!N13</f>
        <v>0</v>
      </c>
      <c r="M13" s="688"/>
      <c r="N13" s="688">
        <f t="shared" si="4"/>
        <v>0</v>
      </c>
      <c r="O13" s="688">
        <f>'[3]int.kiadások RM I'!Q13</f>
        <v>0</v>
      </c>
      <c r="P13" s="688"/>
      <c r="Q13" s="688">
        <f t="shared" si="5"/>
        <v>0</v>
      </c>
      <c r="R13" s="690">
        <f t="shared" si="6"/>
        <v>282642</v>
      </c>
      <c r="S13" s="690">
        <f t="shared" si="6"/>
        <v>509</v>
      </c>
      <c r="T13" s="690">
        <f t="shared" si="6"/>
        <v>283151</v>
      </c>
      <c r="U13" s="691" t="s">
        <v>744</v>
      </c>
      <c r="V13" s="688">
        <f>'[3]int.kiadások RM I'!X13</f>
        <v>0</v>
      </c>
      <c r="W13" s="688">
        <v>196</v>
      </c>
      <c r="X13" s="688">
        <f t="shared" si="7"/>
        <v>196</v>
      </c>
      <c r="Y13" s="688">
        <f>'[3]int.kiadások RM I'!AA13</f>
        <v>0</v>
      </c>
      <c r="Z13" s="688"/>
      <c r="AA13" s="688">
        <f t="shared" si="8"/>
        <v>0</v>
      </c>
      <c r="AB13" s="688">
        <f>'[3]int.kiadások RM I'!AD13</f>
        <v>0</v>
      </c>
      <c r="AC13" s="688"/>
      <c r="AD13" s="688">
        <f t="shared" si="9"/>
        <v>0</v>
      </c>
      <c r="AE13" s="690">
        <f t="shared" si="10"/>
        <v>0</v>
      </c>
      <c r="AF13" s="690">
        <f t="shared" si="10"/>
        <v>196</v>
      </c>
      <c r="AG13" s="690">
        <f t="shared" si="10"/>
        <v>196</v>
      </c>
      <c r="AH13" s="690">
        <f t="shared" si="1"/>
        <v>282642</v>
      </c>
      <c r="AI13" s="690">
        <f t="shared" si="1"/>
        <v>705</v>
      </c>
      <c r="AJ13" s="690">
        <f t="shared" si="1"/>
        <v>283347</v>
      </c>
    </row>
    <row r="14" spans="1:36" s="686" customFormat="1" ht="48.75" customHeight="1" x14ac:dyDescent="0.7">
      <c r="A14" s="691" t="s">
        <v>745</v>
      </c>
      <c r="B14" s="688">
        <f>'[3]int.kiadások RM I'!D14</f>
        <v>239514</v>
      </c>
      <c r="C14" s="688">
        <f>-1612+570</f>
        <v>-1042</v>
      </c>
      <c r="D14" s="688">
        <f t="shared" si="2"/>
        <v>238472</v>
      </c>
      <c r="E14" s="688">
        <f>'[3]int.kiadások RM I'!G14</f>
        <v>36500</v>
      </c>
      <c r="F14" s="688">
        <f>-500+74</f>
        <v>-426</v>
      </c>
      <c r="G14" s="688">
        <f t="shared" si="0"/>
        <v>36074</v>
      </c>
      <c r="H14" s="688">
        <f>'[3]int.kiadások RM I'!J14</f>
        <v>3890</v>
      </c>
      <c r="I14" s="688">
        <v>1690</v>
      </c>
      <c r="J14" s="688">
        <f t="shared" si="3"/>
        <v>5580</v>
      </c>
      <c r="K14" s="691" t="s">
        <v>745</v>
      </c>
      <c r="L14" s="688">
        <f>'[3]int.kiadások RM I'!N14</f>
        <v>0</v>
      </c>
      <c r="M14" s="688"/>
      <c r="N14" s="688">
        <f t="shared" si="4"/>
        <v>0</v>
      </c>
      <c r="O14" s="688">
        <f>'[3]int.kiadások RM I'!Q14</f>
        <v>0</v>
      </c>
      <c r="P14" s="688"/>
      <c r="Q14" s="688">
        <f t="shared" si="5"/>
        <v>0</v>
      </c>
      <c r="R14" s="690">
        <f t="shared" si="6"/>
        <v>279904</v>
      </c>
      <c r="S14" s="690">
        <f t="shared" si="6"/>
        <v>222</v>
      </c>
      <c r="T14" s="690">
        <f t="shared" si="6"/>
        <v>280126</v>
      </c>
      <c r="U14" s="691" t="s">
        <v>745</v>
      </c>
      <c r="V14" s="688">
        <f>'[3]int.kiadások RM I'!X14</f>
        <v>404</v>
      </c>
      <c r="W14" s="688">
        <v>422</v>
      </c>
      <c r="X14" s="688">
        <f t="shared" si="7"/>
        <v>826</v>
      </c>
      <c r="Y14" s="688">
        <f>'[3]int.kiadások RM I'!AA14</f>
        <v>0</v>
      </c>
      <c r="Z14" s="688">
        <v>37522</v>
      </c>
      <c r="AA14" s="688">
        <f t="shared" si="8"/>
        <v>37522</v>
      </c>
      <c r="AB14" s="688">
        <f>'[3]int.kiadások RM I'!AD14</f>
        <v>0</v>
      </c>
      <c r="AC14" s="688"/>
      <c r="AD14" s="688">
        <f t="shared" si="9"/>
        <v>0</v>
      </c>
      <c r="AE14" s="690">
        <f t="shared" si="10"/>
        <v>404</v>
      </c>
      <c r="AF14" s="690">
        <f t="shared" si="10"/>
        <v>37944</v>
      </c>
      <c r="AG14" s="690">
        <f t="shared" si="10"/>
        <v>38348</v>
      </c>
      <c r="AH14" s="690">
        <f t="shared" si="1"/>
        <v>280308</v>
      </c>
      <c r="AI14" s="690">
        <f t="shared" si="1"/>
        <v>38166</v>
      </c>
      <c r="AJ14" s="690">
        <f t="shared" si="1"/>
        <v>318474</v>
      </c>
    </row>
    <row r="15" spans="1:36" s="686" customFormat="1" ht="48.75" customHeight="1" x14ac:dyDescent="0.7">
      <c r="A15" s="691" t="s">
        <v>746</v>
      </c>
      <c r="B15" s="688">
        <f>'[3]int.kiadások RM I'!D15</f>
        <v>222995</v>
      </c>
      <c r="C15" s="688">
        <f>-2483+791</f>
        <v>-1692</v>
      </c>
      <c r="D15" s="688">
        <f t="shared" si="2"/>
        <v>221303</v>
      </c>
      <c r="E15" s="688">
        <f>'[3]int.kiadások RM I'!G15</f>
        <v>31712</v>
      </c>
      <c r="F15" s="688">
        <f>-322+151</f>
        <v>-171</v>
      </c>
      <c r="G15" s="688">
        <f t="shared" si="0"/>
        <v>31541</v>
      </c>
      <c r="H15" s="688">
        <f>'[3]int.kiadások RM I'!J15</f>
        <v>4155</v>
      </c>
      <c r="I15" s="688">
        <v>-395</v>
      </c>
      <c r="J15" s="688">
        <f t="shared" si="3"/>
        <v>3760</v>
      </c>
      <c r="K15" s="691" t="s">
        <v>746</v>
      </c>
      <c r="L15" s="688">
        <f>'[3]int.kiadások RM I'!N15</f>
        <v>0</v>
      </c>
      <c r="M15" s="688"/>
      <c r="N15" s="688">
        <f t="shared" si="4"/>
        <v>0</v>
      </c>
      <c r="O15" s="688">
        <f>'[3]int.kiadások RM I'!Q15</f>
        <v>0</v>
      </c>
      <c r="P15" s="688"/>
      <c r="Q15" s="688">
        <f t="shared" si="5"/>
        <v>0</v>
      </c>
      <c r="R15" s="690">
        <f t="shared" si="6"/>
        <v>258862</v>
      </c>
      <c r="S15" s="690">
        <f t="shared" si="6"/>
        <v>-2258</v>
      </c>
      <c r="T15" s="690">
        <f t="shared" si="6"/>
        <v>256604</v>
      </c>
      <c r="U15" s="691" t="s">
        <v>746</v>
      </c>
      <c r="V15" s="688">
        <f>'[3]int.kiadások RM I'!X15</f>
        <v>21</v>
      </c>
      <c r="W15" s="688"/>
      <c r="X15" s="688">
        <f t="shared" si="7"/>
        <v>21</v>
      </c>
      <c r="Y15" s="688">
        <f>'[3]int.kiadások RM I'!AA15</f>
        <v>575</v>
      </c>
      <c r="Z15" s="688">
        <v>3200</v>
      </c>
      <c r="AA15" s="688">
        <f t="shared" si="8"/>
        <v>3775</v>
      </c>
      <c r="AB15" s="688">
        <f>'[3]int.kiadások RM I'!AD15</f>
        <v>0</v>
      </c>
      <c r="AC15" s="688"/>
      <c r="AD15" s="688">
        <f t="shared" si="9"/>
        <v>0</v>
      </c>
      <c r="AE15" s="690">
        <f t="shared" si="10"/>
        <v>596</v>
      </c>
      <c r="AF15" s="690">
        <f t="shared" si="10"/>
        <v>3200</v>
      </c>
      <c r="AG15" s="690">
        <f t="shared" si="10"/>
        <v>3796</v>
      </c>
      <c r="AH15" s="690">
        <f t="shared" si="1"/>
        <v>259458</v>
      </c>
      <c r="AI15" s="690">
        <f t="shared" si="1"/>
        <v>942</v>
      </c>
      <c r="AJ15" s="690">
        <f t="shared" si="1"/>
        <v>260400</v>
      </c>
    </row>
    <row r="16" spans="1:36" s="686" customFormat="1" ht="48.75" customHeight="1" x14ac:dyDescent="0.7">
      <c r="A16" s="691" t="s">
        <v>747</v>
      </c>
      <c r="B16" s="688">
        <f>'[3]int.kiadások RM I'!D16</f>
        <v>158472</v>
      </c>
      <c r="C16" s="688">
        <f>-487+1708</f>
        <v>1221</v>
      </c>
      <c r="D16" s="688">
        <f t="shared" si="2"/>
        <v>159693</v>
      </c>
      <c r="E16" s="688">
        <f>'[3]int.kiadások RM I'!G16</f>
        <v>21329</v>
      </c>
      <c r="F16" s="688">
        <f>-64+423</f>
        <v>359</v>
      </c>
      <c r="G16" s="688">
        <f t="shared" si="0"/>
        <v>21688</v>
      </c>
      <c r="H16" s="688">
        <f>'[3]int.kiadások RM I'!J16</f>
        <v>4254</v>
      </c>
      <c r="I16" s="688">
        <v>837</v>
      </c>
      <c r="J16" s="688">
        <f t="shared" si="3"/>
        <v>5091</v>
      </c>
      <c r="K16" s="691" t="s">
        <v>747</v>
      </c>
      <c r="L16" s="688">
        <f>'[3]int.kiadások RM I'!N16</f>
        <v>0</v>
      </c>
      <c r="M16" s="688"/>
      <c r="N16" s="688">
        <f t="shared" si="4"/>
        <v>0</v>
      </c>
      <c r="O16" s="688">
        <f>'[3]int.kiadások RM I'!Q16</f>
        <v>0</v>
      </c>
      <c r="P16" s="688"/>
      <c r="Q16" s="688">
        <f t="shared" si="5"/>
        <v>0</v>
      </c>
      <c r="R16" s="690">
        <f t="shared" si="6"/>
        <v>184055</v>
      </c>
      <c r="S16" s="690">
        <f t="shared" si="6"/>
        <v>2417</v>
      </c>
      <c r="T16" s="690">
        <f t="shared" si="6"/>
        <v>186472</v>
      </c>
      <c r="U16" s="691" t="s">
        <v>747</v>
      </c>
      <c r="V16" s="688">
        <f>'[3]int.kiadások RM I'!X16</f>
        <v>14</v>
      </c>
      <c r="W16" s="688">
        <v>10</v>
      </c>
      <c r="X16" s="688">
        <f t="shared" si="7"/>
        <v>24</v>
      </c>
      <c r="Y16" s="688">
        <f>'[3]int.kiadások RM I'!AA16</f>
        <v>0</v>
      </c>
      <c r="Z16" s="688"/>
      <c r="AA16" s="688">
        <f t="shared" si="8"/>
        <v>0</v>
      </c>
      <c r="AB16" s="688">
        <f>'[3]int.kiadások RM I'!AD16</f>
        <v>0</v>
      </c>
      <c r="AC16" s="688"/>
      <c r="AD16" s="688">
        <f t="shared" si="9"/>
        <v>0</v>
      </c>
      <c r="AE16" s="690">
        <f t="shared" si="10"/>
        <v>14</v>
      </c>
      <c r="AF16" s="690">
        <f t="shared" si="10"/>
        <v>10</v>
      </c>
      <c r="AG16" s="690">
        <f t="shared" si="10"/>
        <v>24</v>
      </c>
      <c r="AH16" s="690">
        <f t="shared" si="1"/>
        <v>184069</v>
      </c>
      <c r="AI16" s="690">
        <f t="shared" si="1"/>
        <v>2427</v>
      </c>
      <c r="AJ16" s="690">
        <f t="shared" si="1"/>
        <v>186496</v>
      </c>
    </row>
    <row r="17" spans="1:36" s="686" customFormat="1" ht="48.75" customHeight="1" x14ac:dyDescent="0.7">
      <c r="A17" s="691" t="s">
        <v>748</v>
      </c>
      <c r="B17" s="688">
        <f>'[3]int.kiadások RM I'!D17</f>
        <v>170166</v>
      </c>
      <c r="C17" s="688">
        <f>-655+354</f>
        <v>-301</v>
      </c>
      <c r="D17" s="688">
        <f t="shared" si="2"/>
        <v>169865</v>
      </c>
      <c r="E17" s="688">
        <f>'[3]int.kiadások RM I'!G17</f>
        <v>22864</v>
      </c>
      <c r="F17" s="688">
        <f>-85+46</f>
        <v>-39</v>
      </c>
      <c r="G17" s="688">
        <f t="shared" si="0"/>
        <v>22825</v>
      </c>
      <c r="H17" s="688">
        <f>'[3]int.kiadások RM I'!J17</f>
        <v>3931</v>
      </c>
      <c r="I17" s="688">
        <v>740</v>
      </c>
      <c r="J17" s="688">
        <f t="shared" si="3"/>
        <v>4671</v>
      </c>
      <c r="K17" s="691" t="s">
        <v>748</v>
      </c>
      <c r="L17" s="688">
        <f>'[3]int.kiadások RM I'!N17</f>
        <v>0</v>
      </c>
      <c r="M17" s="688"/>
      <c r="N17" s="688">
        <f t="shared" si="4"/>
        <v>0</v>
      </c>
      <c r="O17" s="688">
        <f>'[3]int.kiadások RM I'!Q17</f>
        <v>0</v>
      </c>
      <c r="P17" s="688"/>
      <c r="Q17" s="688">
        <f t="shared" si="5"/>
        <v>0</v>
      </c>
      <c r="R17" s="690">
        <f t="shared" si="6"/>
        <v>196961</v>
      </c>
      <c r="S17" s="690">
        <f t="shared" si="6"/>
        <v>400</v>
      </c>
      <c r="T17" s="690">
        <f t="shared" si="6"/>
        <v>197361</v>
      </c>
      <c r="U17" s="691" t="s">
        <v>748</v>
      </c>
      <c r="V17" s="688">
        <f>'[3]int.kiadások RM I'!X17</f>
        <v>179</v>
      </c>
      <c r="W17" s="688"/>
      <c r="X17" s="688">
        <f t="shared" si="7"/>
        <v>179</v>
      </c>
      <c r="Y17" s="688">
        <f>'[3]int.kiadások RM I'!AA17</f>
        <v>0</v>
      </c>
      <c r="Z17" s="688"/>
      <c r="AA17" s="688">
        <f t="shared" si="8"/>
        <v>0</v>
      </c>
      <c r="AB17" s="688">
        <f>'[3]int.kiadások RM I'!AD17</f>
        <v>0</v>
      </c>
      <c r="AC17" s="688"/>
      <c r="AD17" s="688">
        <f t="shared" si="9"/>
        <v>0</v>
      </c>
      <c r="AE17" s="690">
        <f t="shared" si="10"/>
        <v>179</v>
      </c>
      <c r="AF17" s="690">
        <f t="shared" si="10"/>
        <v>0</v>
      </c>
      <c r="AG17" s="690">
        <f t="shared" si="10"/>
        <v>179</v>
      </c>
      <c r="AH17" s="690">
        <f t="shared" si="1"/>
        <v>197140</v>
      </c>
      <c r="AI17" s="690">
        <f t="shared" si="1"/>
        <v>400</v>
      </c>
      <c r="AJ17" s="690">
        <f t="shared" si="1"/>
        <v>197540</v>
      </c>
    </row>
    <row r="18" spans="1:36" s="686" customFormat="1" ht="48.75" customHeight="1" x14ac:dyDescent="0.7">
      <c r="A18" s="691" t="s">
        <v>749</v>
      </c>
      <c r="B18" s="688">
        <f>'[3]int.kiadások RM I'!D18</f>
        <v>239064</v>
      </c>
      <c r="C18" s="688">
        <f>-190+1532</f>
        <v>1342</v>
      </c>
      <c r="D18" s="688">
        <f t="shared" si="2"/>
        <v>240406</v>
      </c>
      <c r="E18" s="688">
        <f>'[3]int.kiadások RM I'!G18</f>
        <v>36398</v>
      </c>
      <c r="F18" s="688">
        <f>-299+349</f>
        <v>50</v>
      </c>
      <c r="G18" s="688">
        <f t="shared" si="0"/>
        <v>36448</v>
      </c>
      <c r="H18" s="688">
        <f>'[3]int.kiadások RM I'!J18</f>
        <v>4873</v>
      </c>
      <c r="I18" s="688">
        <v>-648</v>
      </c>
      <c r="J18" s="688">
        <f t="shared" si="3"/>
        <v>4225</v>
      </c>
      <c r="K18" s="691" t="s">
        <v>749</v>
      </c>
      <c r="L18" s="688">
        <f>'[3]int.kiadások RM I'!N18</f>
        <v>0</v>
      </c>
      <c r="M18" s="688"/>
      <c r="N18" s="688">
        <f t="shared" si="4"/>
        <v>0</v>
      </c>
      <c r="O18" s="688">
        <f>'[3]int.kiadások RM I'!Q18</f>
        <v>0</v>
      </c>
      <c r="P18" s="688"/>
      <c r="Q18" s="688">
        <f t="shared" si="5"/>
        <v>0</v>
      </c>
      <c r="R18" s="690">
        <f t="shared" si="6"/>
        <v>280335</v>
      </c>
      <c r="S18" s="690">
        <f t="shared" si="6"/>
        <v>744</v>
      </c>
      <c r="T18" s="690">
        <f t="shared" si="6"/>
        <v>281079</v>
      </c>
      <c r="U18" s="691" t="s">
        <v>749</v>
      </c>
      <c r="V18" s="688">
        <f>'[3]int.kiadások RM I'!X18</f>
        <v>5432</v>
      </c>
      <c r="W18" s="688">
        <v>1264</v>
      </c>
      <c r="X18" s="688">
        <f t="shared" si="7"/>
        <v>6696</v>
      </c>
      <c r="Y18" s="688">
        <f>'[3]int.kiadások RM I'!AA18</f>
        <v>0</v>
      </c>
      <c r="Z18" s="688"/>
      <c r="AA18" s="688">
        <f t="shared" si="8"/>
        <v>0</v>
      </c>
      <c r="AB18" s="688">
        <f>'[3]int.kiadások RM I'!AD18</f>
        <v>0</v>
      </c>
      <c r="AC18" s="688"/>
      <c r="AD18" s="688">
        <f t="shared" si="9"/>
        <v>0</v>
      </c>
      <c r="AE18" s="690">
        <f t="shared" si="10"/>
        <v>5432</v>
      </c>
      <c r="AF18" s="690">
        <f t="shared" si="10"/>
        <v>1264</v>
      </c>
      <c r="AG18" s="690">
        <f t="shared" si="10"/>
        <v>6696</v>
      </c>
      <c r="AH18" s="690">
        <f t="shared" si="1"/>
        <v>285767</v>
      </c>
      <c r="AI18" s="690">
        <f t="shared" si="1"/>
        <v>2008</v>
      </c>
      <c r="AJ18" s="690">
        <f t="shared" si="1"/>
        <v>287775</v>
      </c>
    </row>
    <row r="19" spans="1:36" s="686" customFormat="1" ht="48.75" customHeight="1" x14ac:dyDescent="0.7">
      <c r="A19" s="691" t="s">
        <v>750</v>
      </c>
      <c r="B19" s="688">
        <f>'[3]int.kiadások RM I'!D19</f>
        <v>283581</v>
      </c>
      <c r="C19" s="688">
        <f>-1371+705</f>
        <v>-666</v>
      </c>
      <c r="D19" s="688">
        <f t="shared" si="2"/>
        <v>282915</v>
      </c>
      <c r="E19" s="688">
        <f>'[3]int.kiadások RM I'!G19</f>
        <v>42746</v>
      </c>
      <c r="F19" s="688">
        <f>-730+92</f>
        <v>-638</v>
      </c>
      <c r="G19" s="688">
        <f t="shared" si="0"/>
        <v>42108</v>
      </c>
      <c r="H19" s="688">
        <f>'[3]int.kiadások RM I'!J19</f>
        <v>6006</v>
      </c>
      <c r="I19" s="688">
        <v>3180</v>
      </c>
      <c r="J19" s="688">
        <f t="shared" si="3"/>
        <v>9186</v>
      </c>
      <c r="K19" s="691" t="s">
        <v>750</v>
      </c>
      <c r="L19" s="688">
        <f>'[3]int.kiadások RM I'!N19</f>
        <v>0</v>
      </c>
      <c r="M19" s="688"/>
      <c r="N19" s="688">
        <f t="shared" si="4"/>
        <v>0</v>
      </c>
      <c r="O19" s="688">
        <f>'[3]int.kiadások RM I'!Q19</f>
        <v>0</v>
      </c>
      <c r="P19" s="688"/>
      <c r="Q19" s="688">
        <f t="shared" si="5"/>
        <v>0</v>
      </c>
      <c r="R19" s="690">
        <f t="shared" si="6"/>
        <v>332333</v>
      </c>
      <c r="S19" s="690">
        <f t="shared" si="6"/>
        <v>1876</v>
      </c>
      <c r="T19" s="690">
        <f t="shared" si="6"/>
        <v>334209</v>
      </c>
      <c r="U19" s="691" t="s">
        <v>750</v>
      </c>
      <c r="V19" s="688">
        <f>'[3]int.kiadások RM I'!X19</f>
        <v>108</v>
      </c>
      <c r="W19" s="688">
        <v>87</v>
      </c>
      <c r="X19" s="688">
        <f t="shared" si="7"/>
        <v>195</v>
      </c>
      <c r="Y19" s="688">
        <f>'[3]int.kiadások RM I'!AA19</f>
        <v>0</v>
      </c>
      <c r="Z19" s="688"/>
      <c r="AA19" s="688">
        <f t="shared" si="8"/>
        <v>0</v>
      </c>
      <c r="AB19" s="688">
        <f>'[3]int.kiadások RM I'!AD19</f>
        <v>0</v>
      </c>
      <c r="AC19" s="688"/>
      <c r="AD19" s="688">
        <f t="shared" si="9"/>
        <v>0</v>
      </c>
      <c r="AE19" s="690">
        <f t="shared" si="10"/>
        <v>108</v>
      </c>
      <c r="AF19" s="690">
        <f t="shared" si="10"/>
        <v>87</v>
      </c>
      <c r="AG19" s="690">
        <f t="shared" si="10"/>
        <v>195</v>
      </c>
      <c r="AH19" s="690">
        <f t="shared" si="1"/>
        <v>332441</v>
      </c>
      <c r="AI19" s="690">
        <f t="shared" si="1"/>
        <v>1963</v>
      </c>
      <c r="AJ19" s="690">
        <f t="shared" si="1"/>
        <v>334404</v>
      </c>
    </row>
    <row r="20" spans="1:36" s="686" customFormat="1" ht="48.75" customHeight="1" x14ac:dyDescent="0.7">
      <c r="A20" s="691" t="s">
        <v>751</v>
      </c>
      <c r="B20" s="688">
        <f>'[3]int.kiadások RM I'!D20</f>
        <v>127128</v>
      </c>
      <c r="C20" s="688">
        <f>-207+744</f>
        <v>537</v>
      </c>
      <c r="D20" s="688">
        <f t="shared" si="2"/>
        <v>127665</v>
      </c>
      <c r="E20" s="688">
        <f>'[3]int.kiadások RM I'!G20</f>
        <v>17134</v>
      </c>
      <c r="F20" s="688">
        <f>-27+157</f>
        <v>130</v>
      </c>
      <c r="G20" s="688">
        <f t="shared" si="0"/>
        <v>17264</v>
      </c>
      <c r="H20" s="688">
        <f>'[3]int.kiadások RM I'!J20</f>
        <v>3700</v>
      </c>
      <c r="I20" s="688">
        <v>-115</v>
      </c>
      <c r="J20" s="688">
        <f t="shared" si="3"/>
        <v>3585</v>
      </c>
      <c r="K20" s="691" t="s">
        <v>751</v>
      </c>
      <c r="L20" s="688">
        <f>'[3]int.kiadások RM I'!N20</f>
        <v>0</v>
      </c>
      <c r="M20" s="688"/>
      <c r="N20" s="688">
        <f t="shared" si="4"/>
        <v>0</v>
      </c>
      <c r="O20" s="688">
        <f>'[3]int.kiadások RM I'!Q20</f>
        <v>0</v>
      </c>
      <c r="P20" s="688"/>
      <c r="Q20" s="688">
        <f t="shared" si="5"/>
        <v>0</v>
      </c>
      <c r="R20" s="690">
        <f t="shared" si="6"/>
        <v>147962</v>
      </c>
      <c r="S20" s="690">
        <f t="shared" si="6"/>
        <v>552</v>
      </c>
      <c r="T20" s="690">
        <f t="shared" si="6"/>
        <v>148514</v>
      </c>
      <c r="U20" s="691" t="s">
        <v>751</v>
      </c>
      <c r="V20" s="688">
        <f>'[3]int.kiadások RM I'!X20</f>
        <v>40</v>
      </c>
      <c r="W20" s="688">
        <v>484</v>
      </c>
      <c r="X20" s="688">
        <f t="shared" si="7"/>
        <v>524</v>
      </c>
      <c r="Y20" s="688">
        <f>'[3]int.kiadások RM I'!AA20</f>
        <v>0</v>
      </c>
      <c r="Z20" s="688"/>
      <c r="AA20" s="688">
        <f t="shared" si="8"/>
        <v>0</v>
      </c>
      <c r="AB20" s="688">
        <f>'[3]int.kiadások RM I'!AD20</f>
        <v>0</v>
      </c>
      <c r="AC20" s="688"/>
      <c r="AD20" s="688">
        <f t="shared" si="9"/>
        <v>0</v>
      </c>
      <c r="AE20" s="690">
        <f t="shared" si="10"/>
        <v>40</v>
      </c>
      <c r="AF20" s="690">
        <f t="shared" si="10"/>
        <v>484</v>
      </c>
      <c r="AG20" s="690">
        <f t="shared" si="10"/>
        <v>524</v>
      </c>
      <c r="AH20" s="690">
        <f t="shared" si="1"/>
        <v>148002</v>
      </c>
      <c r="AI20" s="690">
        <f t="shared" si="1"/>
        <v>1036</v>
      </c>
      <c r="AJ20" s="690">
        <f t="shared" si="1"/>
        <v>149038</v>
      </c>
    </row>
    <row r="21" spans="1:36" s="686" customFormat="1" ht="48.75" customHeight="1" x14ac:dyDescent="0.7">
      <c r="A21" s="691" t="s">
        <v>752</v>
      </c>
      <c r="B21" s="688">
        <f>'[3]int.kiadások RM I'!D21</f>
        <v>132435</v>
      </c>
      <c r="C21" s="688">
        <f>-1207+291</f>
        <v>-916</v>
      </c>
      <c r="D21" s="688">
        <f t="shared" si="2"/>
        <v>131519</v>
      </c>
      <c r="E21" s="688">
        <f>'[3]int.kiadások RM I'!G21</f>
        <v>17894</v>
      </c>
      <c r="F21" s="688">
        <f>-1066+38</f>
        <v>-1028</v>
      </c>
      <c r="G21" s="688">
        <f t="shared" si="0"/>
        <v>16866</v>
      </c>
      <c r="H21" s="688">
        <f>'[3]int.kiadások RM I'!J21</f>
        <v>2810</v>
      </c>
      <c r="I21" s="688">
        <f>474+100</f>
        <v>574</v>
      </c>
      <c r="J21" s="688">
        <f t="shared" si="3"/>
        <v>3384</v>
      </c>
      <c r="K21" s="691" t="s">
        <v>752</v>
      </c>
      <c r="L21" s="688">
        <f>'[3]int.kiadások RM I'!N21</f>
        <v>0</v>
      </c>
      <c r="M21" s="688"/>
      <c r="N21" s="688">
        <f t="shared" si="4"/>
        <v>0</v>
      </c>
      <c r="O21" s="688">
        <f>'[3]int.kiadások RM I'!Q21</f>
        <v>0</v>
      </c>
      <c r="P21" s="688"/>
      <c r="Q21" s="688">
        <f t="shared" si="5"/>
        <v>0</v>
      </c>
      <c r="R21" s="690">
        <f t="shared" si="6"/>
        <v>153139</v>
      </c>
      <c r="S21" s="690">
        <f t="shared" si="6"/>
        <v>-1370</v>
      </c>
      <c r="T21" s="690">
        <f t="shared" si="6"/>
        <v>151769</v>
      </c>
      <c r="U21" s="691" t="s">
        <v>752</v>
      </c>
      <c r="V21" s="688">
        <f>'[3]int.kiadások RM I'!X21</f>
        <v>0</v>
      </c>
      <c r="W21" s="688">
        <v>1856</v>
      </c>
      <c r="X21" s="688">
        <f t="shared" si="7"/>
        <v>1856</v>
      </c>
      <c r="Y21" s="688">
        <f>'[3]int.kiadások RM I'!AA21</f>
        <v>0</v>
      </c>
      <c r="Z21" s="688"/>
      <c r="AA21" s="688">
        <f t="shared" si="8"/>
        <v>0</v>
      </c>
      <c r="AB21" s="688">
        <f>'[3]int.kiadások RM I'!AD21</f>
        <v>0</v>
      </c>
      <c r="AC21" s="688"/>
      <c r="AD21" s="688">
        <f t="shared" si="9"/>
        <v>0</v>
      </c>
      <c r="AE21" s="690">
        <f t="shared" si="10"/>
        <v>0</v>
      </c>
      <c r="AF21" s="690">
        <f t="shared" si="10"/>
        <v>1856</v>
      </c>
      <c r="AG21" s="690">
        <f t="shared" si="10"/>
        <v>1856</v>
      </c>
      <c r="AH21" s="690">
        <f t="shared" si="1"/>
        <v>153139</v>
      </c>
      <c r="AI21" s="690">
        <f t="shared" si="1"/>
        <v>486</v>
      </c>
      <c r="AJ21" s="690">
        <f t="shared" si="1"/>
        <v>153625</v>
      </c>
    </row>
    <row r="22" spans="1:36" s="686" customFormat="1" ht="48.75" customHeight="1" x14ac:dyDescent="0.7">
      <c r="A22" s="691" t="s">
        <v>753</v>
      </c>
      <c r="B22" s="688">
        <f>'[3]int.kiadások RM I'!D22</f>
        <v>159307</v>
      </c>
      <c r="C22" s="688">
        <f>-669+351</f>
        <v>-318</v>
      </c>
      <c r="D22" s="688">
        <f t="shared" si="2"/>
        <v>158989</v>
      </c>
      <c r="E22" s="688">
        <f>'[3]int.kiadások RM I'!G22</f>
        <v>21402</v>
      </c>
      <c r="F22" s="688">
        <f>-87+46</f>
        <v>-41</v>
      </c>
      <c r="G22" s="688">
        <f t="shared" si="0"/>
        <v>21361</v>
      </c>
      <c r="H22" s="688">
        <f>'[3]int.kiadások RM I'!J22</f>
        <v>5846</v>
      </c>
      <c r="I22" s="688">
        <v>542</v>
      </c>
      <c r="J22" s="688">
        <f t="shared" si="3"/>
        <v>6388</v>
      </c>
      <c r="K22" s="691" t="s">
        <v>753</v>
      </c>
      <c r="L22" s="688">
        <f>'[3]int.kiadások RM I'!N22</f>
        <v>0</v>
      </c>
      <c r="M22" s="688"/>
      <c r="N22" s="688">
        <f t="shared" si="4"/>
        <v>0</v>
      </c>
      <c r="O22" s="688">
        <f>'[3]int.kiadások RM I'!Q22</f>
        <v>0</v>
      </c>
      <c r="P22" s="688"/>
      <c r="Q22" s="688">
        <f t="shared" si="5"/>
        <v>0</v>
      </c>
      <c r="R22" s="690">
        <f t="shared" si="6"/>
        <v>186555</v>
      </c>
      <c r="S22" s="690">
        <f t="shared" si="6"/>
        <v>183</v>
      </c>
      <c r="T22" s="690">
        <f t="shared" si="6"/>
        <v>186738</v>
      </c>
      <c r="U22" s="691" t="s">
        <v>753</v>
      </c>
      <c r="V22" s="688">
        <f>'[3]int.kiadások RM I'!X22</f>
        <v>0</v>
      </c>
      <c r="W22" s="688">
        <v>214</v>
      </c>
      <c r="X22" s="688">
        <f t="shared" si="7"/>
        <v>214</v>
      </c>
      <c r="Y22" s="688">
        <f>'[3]int.kiadások RM I'!AA22</f>
        <v>0</v>
      </c>
      <c r="Z22" s="688"/>
      <c r="AA22" s="688">
        <f t="shared" si="8"/>
        <v>0</v>
      </c>
      <c r="AB22" s="688">
        <f>'[3]int.kiadások RM I'!AD22</f>
        <v>0</v>
      </c>
      <c r="AC22" s="688"/>
      <c r="AD22" s="688">
        <f t="shared" si="9"/>
        <v>0</v>
      </c>
      <c r="AE22" s="690">
        <f t="shared" si="10"/>
        <v>0</v>
      </c>
      <c r="AF22" s="690">
        <f t="shared" si="10"/>
        <v>214</v>
      </c>
      <c r="AG22" s="690">
        <f t="shared" si="10"/>
        <v>214</v>
      </c>
      <c r="AH22" s="690">
        <f t="shared" si="1"/>
        <v>186555</v>
      </c>
      <c r="AI22" s="690">
        <f t="shared" si="1"/>
        <v>397</v>
      </c>
      <c r="AJ22" s="690">
        <f t="shared" si="1"/>
        <v>186952</v>
      </c>
    </row>
    <row r="23" spans="1:36" s="686" customFormat="1" ht="48.75" customHeight="1" x14ac:dyDescent="0.7">
      <c r="A23" s="691" t="s">
        <v>754</v>
      </c>
      <c r="B23" s="688">
        <f>'[3]int.kiadások RM I'!D23</f>
        <v>189331</v>
      </c>
      <c r="C23" s="688">
        <f>-394+1466</f>
        <v>1072</v>
      </c>
      <c r="D23" s="688">
        <f t="shared" si="2"/>
        <v>190403</v>
      </c>
      <c r="E23" s="688">
        <f>'[3]int.kiadások RM I'!G23</f>
        <v>25496</v>
      </c>
      <c r="F23" s="688">
        <f>-51+341</f>
        <v>290</v>
      </c>
      <c r="G23" s="688">
        <f t="shared" si="0"/>
        <v>25786</v>
      </c>
      <c r="H23" s="688">
        <f>'[3]int.kiadások RM I'!J23</f>
        <v>3767</v>
      </c>
      <c r="I23" s="688">
        <v>489</v>
      </c>
      <c r="J23" s="688">
        <f t="shared" si="3"/>
        <v>4256</v>
      </c>
      <c r="K23" s="691" t="s">
        <v>754</v>
      </c>
      <c r="L23" s="688">
        <f>'[3]int.kiadások RM I'!N23</f>
        <v>0</v>
      </c>
      <c r="M23" s="688"/>
      <c r="N23" s="688">
        <f t="shared" si="4"/>
        <v>0</v>
      </c>
      <c r="O23" s="688">
        <f>'[3]int.kiadások RM I'!Q23</f>
        <v>0</v>
      </c>
      <c r="P23" s="688"/>
      <c r="Q23" s="688">
        <f t="shared" si="5"/>
        <v>0</v>
      </c>
      <c r="R23" s="690">
        <f t="shared" si="6"/>
        <v>218594</v>
      </c>
      <c r="S23" s="690">
        <f t="shared" si="6"/>
        <v>1851</v>
      </c>
      <c r="T23" s="690">
        <f t="shared" si="6"/>
        <v>220445</v>
      </c>
      <c r="U23" s="691" t="s">
        <v>754</v>
      </c>
      <c r="V23" s="688">
        <f>'[3]int.kiadások RM I'!X23</f>
        <v>6331</v>
      </c>
      <c r="W23" s="688">
        <v>20</v>
      </c>
      <c r="X23" s="688">
        <f t="shared" si="7"/>
        <v>6351</v>
      </c>
      <c r="Y23" s="688">
        <f>'[3]int.kiadások RM I'!AA23</f>
        <v>0</v>
      </c>
      <c r="Z23" s="688"/>
      <c r="AA23" s="688">
        <f t="shared" si="8"/>
        <v>0</v>
      </c>
      <c r="AB23" s="688">
        <f>'[3]int.kiadások RM I'!AD23</f>
        <v>0</v>
      </c>
      <c r="AC23" s="688"/>
      <c r="AD23" s="688">
        <f t="shared" si="9"/>
        <v>0</v>
      </c>
      <c r="AE23" s="690">
        <f t="shared" si="10"/>
        <v>6331</v>
      </c>
      <c r="AF23" s="690">
        <f t="shared" si="10"/>
        <v>20</v>
      </c>
      <c r="AG23" s="690">
        <f t="shared" si="10"/>
        <v>6351</v>
      </c>
      <c r="AH23" s="690">
        <f t="shared" si="1"/>
        <v>224925</v>
      </c>
      <c r="AI23" s="690">
        <f t="shared" si="1"/>
        <v>1871</v>
      </c>
      <c r="AJ23" s="690">
        <f t="shared" si="1"/>
        <v>226796</v>
      </c>
    </row>
    <row r="24" spans="1:36" s="686" customFormat="1" ht="48.75" customHeight="1" x14ac:dyDescent="0.7">
      <c r="A24" s="691" t="s">
        <v>755</v>
      </c>
      <c r="B24" s="688">
        <f>'[3]int.kiadások RM I'!D24</f>
        <v>265658</v>
      </c>
      <c r="C24" s="688">
        <f>-544+1494</f>
        <v>950</v>
      </c>
      <c r="D24" s="688">
        <f t="shared" si="2"/>
        <v>266608</v>
      </c>
      <c r="E24" s="688">
        <f>'[3]int.kiadások RM I'!G24</f>
        <v>40491</v>
      </c>
      <c r="F24" s="688">
        <f>-71+344</f>
        <v>273</v>
      </c>
      <c r="G24" s="688">
        <f t="shared" si="0"/>
        <v>40764</v>
      </c>
      <c r="H24" s="688">
        <f>'[3]int.kiadások RM I'!J24</f>
        <v>11333</v>
      </c>
      <c r="I24" s="688">
        <v>877</v>
      </c>
      <c r="J24" s="688">
        <f t="shared" si="3"/>
        <v>12210</v>
      </c>
      <c r="K24" s="691" t="s">
        <v>755</v>
      </c>
      <c r="L24" s="688">
        <f>'[3]int.kiadások RM I'!N24</f>
        <v>0</v>
      </c>
      <c r="M24" s="688"/>
      <c r="N24" s="688">
        <f t="shared" si="4"/>
        <v>0</v>
      </c>
      <c r="O24" s="688">
        <f>'[3]int.kiadások RM I'!Q24</f>
        <v>0</v>
      </c>
      <c r="P24" s="688"/>
      <c r="Q24" s="688">
        <f t="shared" si="5"/>
        <v>0</v>
      </c>
      <c r="R24" s="690">
        <f t="shared" si="6"/>
        <v>317482</v>
      </c>
      <c r="S24" s="690">
        <f t="shared" si="6"/>
        <v>2100</v>
      </c>
      <c r="T24" s="690">
        <f t="shared" si="6"/>
        <v>319582</v>
      </c>
      <c r="U24" s="691" t="s">
        <v>755</v>
      </c>
      <c r="V24" s="688">
        <f>'[3]int.kiadások RM I'!X24</f>
        <v>60</v>
      </c>
      <c r="W24" s="688"/>
      <c r="X24" s="688">
        <f t="shared" si="7"/>
        <v>60</v>
      </c>
      <c r="Y24" s="688">
        <f>'[3]int.kiadások RM I'!AA24</f>
        <v>0</v>
      </c>
      <c r="Z24" s="688"/>
      <c r="AA24" s="688">
        <f t="shared" si="8"/>
        <v>0</v>
      </c>
      <c r="AB24" s="688">
        <f>'[3]int.kiadások RM I'!AD24</f>
        <v>0</v>
      </c>
      <c r="AC24" s="688"/>
      <c r="AD24" s="688">
        <f t="shared" si="9"/>
        <v>0</v>
      </c>
      <c r="AE24" s="690">
        <f t="shared" si="10"/>
        <v>60</v>
      </c>
      <c r="AF24" s="690">
        <f t="shared" si="10"/>
        <v>0</v>
      </c>
      <c r="AG24" s="690">
        <f t="shared" si="10"/>
        <v>60</v>
      </c>
      <c r="AH24" s="690">
        <f t="shared" si="1"/>
        <v>317542</v>
      </c>
      <c r="AI24" s="690">
        <f t="shared" si="1"/>
        <v>2100</v>
      </c>
      <c r="AJ24" s="690">
        <f t="shared" si="1"/>
        <v>319642</v>
      </c>
    </row>
    <row r="25" spans="1:36" s="686" customFormat="1" ht="48.75" customHeight="1" x14ac:dyDescent="0.7">
      <c r="A25" s="691" t="s">
        <v>756</v>
      </c>
      <c r="B25" s="688">
        <f>'[3]int.kiadások RM I'!D25</f>
        <v>193440</v>
      </c>
      <c r="C25" s="688">
        <f>-6046+376</f>
        <v>-5670</v>
      </c>
      <c r="D25" s="688">
        <f t="shared" si="2"/>
        <v>187770</v>
      </c>
      <c r="E25" s="688">
        <f>'[3]int.kiadások RM I'!G25</f>
        <v>25525</v>
      </c>
      <c r="F25" s="688">
        <f>-787+49</f>
        <v>-738</v>
      </c>
      <c r="G25" s="688">
        <f t="shared" si="0"/>
        <v>24787</v>
      </c>
      <c r="H25" s="688">
        <f>'[3]int.kiadások RM I'!J25</f>
        <v>10723</v>
      </c>
      <c r="I25" s="688">
        <v>3816</v>
      </c>
      <c r="J25" s="688">
        <f t="shared" si="3"/>
        <v>14539</v>
      </c>
      <c r="K25" s="691" t="s">
        <v>756</v>
      </c>
      <c r="L25" s="688">
        <f>'[3]int.kiadások RM I'!N25</f>
        <v>0</v>
      </c>
      <c r="M25" s="688"/>
      <c r="N25" s="688">
        <f t="shared" si="4"/>
        <v>0</v>
      </c>
      <c r="O25" s="688">
        <f>'[3]int.kiadások RM I'!Q25</f>
        <v>0</v>
      </c>
      <c r="P25" s="688"/>
      <c r="Q25" s="688">
        <f t="shared" si="5"/>
        <v>0</v>
      </c>
      <c r="R25" s="690">
        <f t="shared" si="6"/>
        <v>229688</v>
      </c>
      <c r="S25" s="690">
        <f t="shared" si="6"/>
        <v>-2592</v>
      </c>
      <c r="T25" s="690">
        <f t="shared" si="6"/>
        <v>227096</v>
      </c>
      <c r="U25" s="691" t="s">
        <v>756</v>
      </c>
      <c r="V25" s="688">
        <f>'[3]int.kiadások RM I'!X25</f>
        <v>451</v>
      </c>
      <c r="W25" s="688">
        <v>3124</v>
      </c>
      <c r="X25" s="688">
        <f t="shared" si="7"/>
        <v>3575</v>
      </c>
      <c r="Y25" s="688">
        <f>'[3]int.kiadások RM I'!AA25</f>
        <v>0</v>
      </c>
      <c r="Z25" s="688"/>
      <c r="AA25" s="688">
        <f t="shared" si="8"/>
        <v>0</v>
      </c>
      <c r="AB25" s="688">
        <f>'[3]int.kiadások RM I'!AD25</f>
        <v>0</v>
      </c>
      <c r="AC25" s="688"/>
      <c r="AD25" s="688">
        <f t="shared" si="9"/>
        <v>0</v>
      </c>
      <c r="AE25" s="690">
        <f t="shared" si="10"/>
        <v>451</v>
      </c>
      <c r="AF25" s="690">
        <f t="shared" si="10"/>
        <v>3124</v>
      </c>
      <c r="AG25" s="690">
        <f t="shared" si="10"/>
        <v>3575</v>
      </c>
      <c r="AH25" s="690">
        <f t="shared" si="1"/>
        <v>230139</v>
      </c>
      <c r="AI25" s="690">
        <f t="shared" si="1"/>
        <v>532</v>
      </c>
      <c r="AJ25" s="690">
        <f t="shared" si="1"/>
        <v>230671</v>
      </c>
    </row>
    <row r="26" spans="1:36" s="686" customFormat="1" ht="48.75" customHeight="1" x14ac:dyDescent="0.7">
      <c r="A26" s="687" t="s">
        <v>757</v>
      </c>
      <c r="B26" s="688">
        <f>'[3]int.kiadások RM I'!D26</f>
        <v>157211</v>
      </c>
      <c r="C26" s="688">
        <f>-1006+351</f>
        <v>-655</v>
      </c>
      <c r="D26" s="688">
        <f t="shared" si="2"/>
        <v>156556</v>
      </c>
      <c r="E26" s="688">
        <f>'[3]int.kiadások RM I'!G26</f>
        <v>21132</v>
      </c>
      <c r="F26" s="688">
        <f>-411+46</f>
        <v>-365</v>
      </c>
      <c r="G26" s="688">
        <f t="shared" si="0"/>
        <v>20767</v>
      </c>
      <c r="H26" s="688">
        <f>'[3]int.kiadások RM I'!J26</f>
        <v>4683</v>
      </c>
      <c r="I26" s="688">
        <v>804</v>
      </c>
      <c r="J26" s="688">
        <f t="shared" si="3"/>
        <v>5487</v>
      </c>
      <c r="K26" s="687" t="s">
        <v>757</v>
      </c>
      <c r="L26" s="688">
        <f>'[3]int.kiadások RM I'!N26</f>
        <v>0</v>
      </c>
      <c r="M26" s="688"/>
      <c r="N26" s="688">
        <f t="shared" si="4"/>
        <v>0</v>
      </c>
      <c r="O26" s="688">
        <f>'[3]int.kiadások RM I'!Q26</f>
        <v>0</v>
      </c>
      <c r="P26" s="688"/>
      <c r="Q26" s="688">
        <f t="shared" si="5"/>
        <v>0</v>
      </c>
      <c r="R26" s="690">
        <f t="shared" si="6"/>
        <v>183026</v>
      </c>
      <c r="S26" s="690">
        <f t="shared" si="6"/>
        <v>-216</v>
      </c>
      <c r="T26" s="690">
        <f t="shared" si="6"/>
        <v>182810</v>
      </c>
      <c r="U26" s="687" t="s">
        <v>757</v>
      </c>
      <c r="V26" s="688">
        <f>'[3]int.kiadások RM I'!X26</f>
        <v>35</v>
      </c>
      <c r="W26" s="688">
        <v>613</v>
      </c>
      <c r="X26" s="688">
        <f t="shared" si="7"/>
        <v>648</v>
      </c>
      <c r="Y26" s="688">
        <f>'[3]int.kiadások RM I'!AA26</f>
        <v>0</v>
      </c>
      <c r="Z26" s="688"/>
      <c r="AA26" s="688">
        <f t="shared" si="8"/>
        <v>0</v>
      </c>
      <c r="AB26" s="688">
        <f>'[3]int.kiadások RM I'!AD26</f>
        <v>0</v>
      </c>
      <c r="AC26" s="688"/>
      <c r="AD26" s="688">
        <f t="shared" si="9"/>
        <v>0</v>
      </c>
      <c r="AE26" s="690">
        <f t="shared" si="10"/>
        <v>35</v>
      </c>
      <c r="AF26" s="690">
        <f t="shared" si="10"/>
        <v>613</v>
      </c>
      <c r="AG26" s="690">
        <f t="shared" si="10"/>
        <v>648</v>
      </c>
      <c r="AH26" s="690">
        <f t="shared" si="1"/>
        <v>183061</v>
      </c>
      <c r="AI26" s="690">
        <f t="shared" si="1"/>
        <v>397</v>
      </c>
      <c r="AJ26" s="690">
        <f t="shared" si="1"/>
        <v>183458</v>
      </c>
    </row>
    <row r="27" spans="1:36" s="686" customFormat="1" ht="48.75" customHeight="1" thickBot="1" x14ac:dyDescent="0.75">
      <c r="A27" s="692" t="s">
        <v>758</v>
      </c>
      <c r="B27" s="688">
        <f>'[3]int.kiadások RM I'!D27</f>
        <v>106514</v>
      </c>
      <c r="C27" s="688">
        <f>-688+575</f>
        <v>-113</v>
      </c>
      <c r="D27" s="693">
        <f>SUM(B27:C27)</f>
        <v>106401</v>
      </c>
      <c r="E27" s="688">
        <f>'[3]int.kiadások RM I'!G27</f>
        <v>14155</v>
      </c>
      <c r="F27" s="693">
        <f>-89+125</f>
        <v>36</v>
      </c>
      <c r="G27" s="693">
        <f t="shared" si="0"/>
        <v>14191</v>
      </c>
      <c r="H27" s="688">
        <f>'[3]int.kiadások RM I'!J27</f>
        <v>3300</v>
      </c>
      <c r="I27" s="693">
        <v>905</v>
      </c>
      <c r="J27" s="693">
        <f t="shared" si="3"/>
        <v>4205</v>
      </c>
      <c r="K27" s="692" t="s">
        <v>758</v>
      </c>
      <c r="L27" s="693">
        <f>'[3]int.kiadások RM I'!N27</f>
        <v>0</v>
      </c>
      <c r="M27" s="693"/>
      <c r="N27" s="693">
        <f t="shared" si="4"/>
        <v>0</v>
      </c>
      <c r="O27" s="693">
        <f>'[3]int.kiadások RM I'!Q27</f>
        <v>0</v>
      </c>
      <c r="P27" s="693"/>
      <c r="Q27" s="693">
        <f t="shared" si="5"/>
        <v>0</v>
      </c>
      <c r="R27" s="690">
        <f t="shared" si="6"/>
        <v>123969</v>
      </c>
      <c r="S27" s="690">
        <f t="shared" si="6"/>
        <v>828</v>
      </c>
      <c r="T27" s="690">
        <f t="shared" si="6"/>
        <v>124797</v>
      </c>
      <c r="U27" s="692" t="s">
        <v>758</v>
      </c>
      <c r="V27" s="693">
        <f>'[3]int.kiadások RM I'!X27</f>
        <v>0</v>
      </c>
      <c r="W27" s="693">
        <v>277</v>
      </c>
      <c r="X27" s="688">
        <f t="shared" si="7"/>
        <v>277</v>
      </c>
      <c r="Y27" s="693">
        <f>'[3]int.kiadások RM I'!AA27</f>
        <v>0</v>
      </c>
      <c r="Z27" s="693"/>
      <c r="AA27" s="693">
        <f t="shared" si="8"/>
        <v>0</v>
      </c>
      <c r="AB27" s="693">
        <f>'[3]int.kiadások RM I'!AD27</f>
        <v>0</v>
      </c>
      <c r="AC27" s="693"/>
      <c r="AD27" s="693">
        <f t="shared" si="9"/>
        <v>0</v>
      </c>
      <c r="AE27" s="690">
        <f t="shared" si="10"/>
        <v>0</v>
      </c>
      <c r="AF27" s="690">
        <f t="shared" si="10"/>
        <v>277</v>
      </c>
      <c r="AG27" s="694">
        <f t="shared" si="10"/>
        <v>277</v>
      </c>
      <c r="AH27" s="690">
        <f t="shared" si="1"/>
        <v>123969</v>
      </c>
      <c r="AI27" s="690">
        <f t="shared" si="1"/>
        <v>1105</v>
      </c>
      <c r="AJ27" s="690">
        <f t="shared" si="1"/>
        <v>125074</v>
      </c>
    </row>
    <row r="28" spans="1:36" s="686" customFormat="1" ht="57.75" customHeight="1" thickBot="1" x14ac:dyDescent="0.75">
      <c r="A28" s="696" t="s">
        <v>759</v>
      </c>
      <c r="B28" s="697">
        <f t="shared" ref="B28:J28" si="11">SUM(B10:B27)</f>
        <v>3557653</v>
      </c>
      <c r="C28" s="697">
        <f>SUM(C10:C27)</f>
        <v>-5871</v>
      </c>
      <c r="D28" s="697">
        <f t="shared" si="11"/>
        <v>3551782</v>
      </c>
      <c r="E28" s="697">
        <f t="shared" si="11"/>
        <v>506247</v>
      </c>
      <c r="F28" s="697">
        <f t="shared" si="11"/>
        <v>-3201</v>
      </c>
      <c r="G28" s="697">
        <f t="shared" si="11"/>
        <v>503046</v>
      </c>
      <c r="H28" s="697">
        <f t="shared" si="11"/>
        <v>97347</v>
      </c>
      <c r="I28" s="697">
        <f t="shared" si="11"/>
        <v>13349</v>
      </c>
      <c r="J28" s="697">
        <f t="shared" si="11"/>
        <v>110696</v>
      </c>
      <c r="K28" s="696" t="s">
        <v>759</v>
      </c>
      <c r="L28" s="697">
        <f t="shared" ref="L28:T28" si="12">SUM(L10:L27)</f>
        <v>0</v>
      </c>
      <c r="M28" s="697">
        <f t="shared" si="12"/>
        <v>0</v>
      </c>
      <c r="N28" s="697">
        <f t="shared" si="12"/>
        <v>0</v>
      </c>
      <c r="O28" s="697">
        <f t="shared" si="12"/>
        <v>0</v>
      </c>
      <c r="P28" s="697">
        <f t="shared" si="12"/>
        <v>0</v>
      </c>
      <c r="Q28" s="697">
        <f t="shared" si="12"/>
        <v>0</v>
      </c>
      <c r="R28" s="697">
        <f t="shared" si="12"/>
        <v>4161247</v>
      </c>
      <c r="S28" s="697">
        <f t="shared" si="12"/>
        <v>4277</v>
      </c>
      <c r="T28" s="697">
        <f t="shared" si="12"/>
        <v>4165524</v>
      </c>
      <c r="U28" s="696" t="s">
        <v>759</v>
      </c>
      <c r="V28" s="697">
        <f t="shared" ref="V28:AG28" si="13">SUM(V10:V27)</f>
        <v>13226</v>
      </c>
      <c r="W28" s="697">
        <f t="shared" si="13"/>
        <v>11939</v>
      </c>
      <c r="X28" s="697">
        <f t="shared" si="13"/>
        <v>25165</v>
      </c>
      <c r="Y28" s="697">
        <f t="shared" si="13"/>
        <v>575</v>
      </c>
      <c r="Z28" s="697">
        <f t="shared" si="13"/>
        <v>40722</v>
      </c>
      <c r="AA28" s="697">
        <f t="shared" si="13"/>
        <v>41297</v>
      </c>
      <c r="AB28" s="697">
        <f>SUM(AB10:AB27)</f>
        <v>0</v>
      </c>
      <c r="AC28" s="697">
        <f>SUM(AC10:AC27)</f>
        <v>0</v>
      </c>
      <c r="AD28" s="697">
        <f>SUM(AD10:AD27)</f>
        <v>0</v>
      </c>
      <c r="AE28" s="697">
        <f t="shared" si="13"/>
        <v>13801</v>
      </c>
      <c r="AF28" s="697">
        <f t="shared" si="13"/>
        <v>52661</v>
      </c>
      <c r="AG28" s="698">
        <f t="shared" si="13"/>
        <v>66462</v>
      </c>
      <c r="AH28" s="697">
        <f>SUM(AH10:AH27)</f>
        <v>4175048</v>
      </c>
      <c r="AI28" s="697">
        <f>SUM(AI10:AI27)</f>
        <v>56938</v>
      </c>
      <c r="AJ28" s="697">
        <f>SUM(AJ10:AJ27)</f>
        <v>4231986</v>
      </c>
    </row>
    <row r="29" spans="1:36" s="686" customFormat="1" ht="63.75" customHeight="1" thickBot="1" x14ac:dyDescent="0.75">
      <c r="A29" s="700" t="s">
        <v>666</v>
      </c>
      <c r="B29" s="688">
        <f>'[3]int.kiadások RM I'!D29</f>
        <v>385839</v>
      </c>
      <c r="C29" s="701">
        <v>-20</v>
      </c>
      <c r="D29" s="688">
        <f t="shared" si="2"/>
        <v>385819</v>
      </c>
      <c r="E29" s="688">
        <f>'[3]int.kiadások RM I'!G29</f>
        <v>59599</v>
      </c>
      <c r="F29" s="701">
        <v>-47</v>
      </c>
      <c r="G29" s="701">
        <f>SUM(E29:F29)</f>
        <v>59552</v>
      </c>
      <c r="H29" s="688">
        <f>'[3]int.kiadások RM I'!J29</f>
        <v>2330736</v>
      </c>
      <c r="I29" s="701">
        <f>-10436+2700</f>
        <v>-7736</v>
      </c>
      <c r="J29" s="701">
        <f>SUM(H29:I29)</f>
        <v>2323000</v>
      </c>
      <c r="K29" s="700" t="s">
        <v>666</v>
      </c>
      <c r="L29" s="701">
        <f>'[3]int.kiadások RM I'!N29</f>
        <v>0</v>
      </c>
      <c r="M29" s="701"/>
      <c r="N29" s="701">
        <f>SUM(L29:M29)</f>
        <v>0</v>
      </c>
      <c r="O29" s="701">
        <f>'[3]int.kiadások RM I'!Q29</f>
        <v>0</v>
      </c>
      <c r="P29" s="701"/>
      <c r="Q29" s="701">
        <f>SUM(O29:P29)</f>
        <v>0</v>
      </c>
      <c r="R29" s="690">
        <f>B29+E29+H29+L29+O29</f>
        <v>2776174</v>
      </c>
      <c r="S29" s="690">
        <f>C29+F29+I29+M29+P29</f>
        <v>-7803</v>
      </c>
      <c r="T29" s="690">
        <f>D29+G29+J29+N29+Q29</f>
        <v>2768371</v>
      </c>
      <c r="U29" s="700" t="s">
        <v>666</v>
      </c>
      <c r="V29" s="701">
        <f>'[3]int.kiadások RM I'!X29</f>
        <v>3487</v>
      </c>
      <c r="W29" s="701">
        <f>13617+10000</f>
        <v>23617</v>
      </c>
      <c r="X29" s="701">
        <f t="shared" si="7"/>
        <v>27104</v>
      </c>
      <c r="Y29" s="701">
        <f>'[3]int.kiadások RM I'!AA29</f>
        <v>7998</v>
      </c>
      <c r="Z29" s="701"/>
      <c r="AA29" s="701">
        <f>SUM(Y29:Z29)</f>
        <v>7998</v>
      </c>
      <c r="AB29" s="701">
        <f>'[3]int.kiadások RM I'!AD29</f>
        <v>0</v>
      </c>
      <c r="AC29" s="701"/>
      <c r="AD29" s="701">
        <f>SUM(AB29:AC29)</f>
        <v>0</v>
      </c>
      <c r="AE29" s="690">
        <f>V29+Y29+AB29</f>
        <v>11485</v>
      </c>
      <c r="AF29" s="690">
        <f>W29+Z29+AC29</f>
        <v>23617</v>
      </c>
      <c r="AG29" s="690">
        <f>X29+AA29+AD29</f>
        <v>35102</v>
      </c>
      <c r="AH29" s="690">
        <f t="shared" si="1"/>
        <v>2787659</v>
      </c>
      <c r="AI29" s="690">
        <f>S29+AF29</f>
        <v>15814</v>
      </c>
      <c r="AJ29" s="690">
        <f>T29+AG29</f>
        <v>2803473</v>
      </c>
    </row>
    <row r="30" spans="1:36" s="686" customFormat="1" ht="67.5" customHeight="1" thickBot="1" x14ac:dyDescent="0.75">
      <c r="A30" s="702" t="s">
        <v>760</v>
      </c>
      <c r="B30" s="697">
        <f>SUM(B28:B29)</f>
        <v>3943492</v>
      </c>
      <c r="C30" s="697">
        <f>SUM(C28:C29)</f>
        <v>-5891</v>
      </c>
      <c r="D30" s="697">
        <f>SUM(D28:D29)</f>
        <v>3937601</v>
      </c>
      <c r="E30" s="697">
        <f t="shared" ref="E30:J30" si="14">SUM(E28:E29)</f>
        <v>565846</v>
      </c>
      <c r="F30" s="697">
        <f t="shared" si="14"/>
        <v>-3248</v>
      </c>
      <c r="G30" s="697">
        <f t="shared" si="14"/>
        <v>562598</v>
      </c>
      <c r="H30" s="697">
        <f t="shared" si="14"/>
        <v>2428083</v>
      </c>
      <c r="I30" s="697">
        <f t="shared" si="14"/>
        <v>5613</v>
      </c>
      <c r="J30" s="697">
        <f t="shared" si="14"/>
        <v>2433696</v>
      </c>
      <c r="K30" s="699" t="s">
        <v>760</v>
      </c>
      <c r="L30" s="697">
        <f t="shared" ref="L30:T30" si="15">SUM(L28:L29)</f>
        <v>0</v>
      </c>
      <c r="M30" s="697">
        <f t="shared" si="15"/>
        <v>0</v>
      </c>
      <c r="N30" s="697">
        <f t="shared" si="15"/>
        <v>0</v>
      </c>
      <c r="O30" s="697">
        <f t="shared" si="15"/>
        <v>0</v>
      </c>
      <c r="P30" s="697">
        <f t="shared" si="15"/>
        <v>0</v>
      </c>
      <c r="Q30" s="697">
        <f t="shared" si="15"/>
        <v>0</v>
      </c>
      <c r="R30" s="697">
        <f t="shared" si="15"/>
        <v>6937421</v>
      </c>
      <c r="S30" s="697">
        <f t="shared" si="15"/>
        <v>-3526</v>
      </c>
      <c r="T30" s="697">
        <f t="shared" si="15"/>
        <v>6933895</v>
      </c>
      <c r="U30" s="699" t="s">
        <v>760</v>
      </c>
      <c r="V30" s="697">
        <f t="shared" ref="V30:AA30" si="16">SUM(V28:V29)</f>
        <v>16713</v>
      </c>
      <c r="W30" s="697">
        <f t="shared" si="16"/>
        <v>35556</v>
      </c>
      <c r="X30" s="697">
        <f t="shared" si="16"/>
        <v>52269</v>
      </c>
      <c r="Y30" s="697">
        <f t="shared" si="16"/>
        <v>8573</v>
      </c>
      <c r="Z30" s="697">
        <f t="shared" si="16"/>
        <v>40722</v>
      </c>
      <c r="AA30" s="697">
        <f t="shared" si="16"/>
        <v>49295</v>
      </c>
      <c r="AB30" s="697">
        <f>SUM(AB28:AB29)</f>
        <v>0</v>
      </c>
      <c r="AC30" s="697">
        <f>SUM(AC28:AC29)</f>
        <v>0</v>
      </c>
      <c r="AD30" s="697">
        <f>SUM(AD28:AD29)</f>
        <v>0</v>
      </c>
      <c r="AE30" s="697">
        <f t="shared" ref="AE30:AJ30" si="17">SUM(AE28:AE29)</f>
        <v>25286</v>
      </c>
      <c r="AF30" s="697">
        <f t="shared" si="17"/>
        <v>76278</v>
      </c>
      <c r="AG30" s="697">
        <f t="shared" si="17"/>
        <v>101564</v>
      </c>
      <c r="AH30" s="697">
        <f t="shared" si="17"/>
        <v>6962707</v>
      </c>
      <c r="AI30" s="697">
        <f t="shared" si="17"/>
        <v>72752</v>
      </c>
      <c r="AJ30" s="697">
        <f t="shared" si="17"/>
        <v>7035459</v>
      </c>
    </row>
    <row r="31" spans="1:36" s="686" customFormat="1" ht="48.75" customHeight="1" x14ac:dyDescent="0.7">
      <c r="A31" s="681" t="s">
        <v>761</v>
      </c>
      <c r="B31" s="703"/>
      <c r="C31" s="703"/>
      <c r="D31" s="703"/>
      <c r="E31" s="703"/>
      <c r="F31" s="703"/>
      <c r="G31" s="703"/>
      <c r="H31" s="703"/>
      <c r="I31" s="703"/>
      <c r="J31" s="703"/>
      <c r="K31" s="680" t="s">
        <v>761</v>
      </c>
      <c r="L31" s="703"/>
      <c r="M31" s="703"/>
      <c r="N31" s="703"/>
      <c r="O31" s="703"/>
      <c r="P31" s="703"/>
      <c r="Q31" s="703"/>
      <c r="R31" s="703"/>
      <c r="S31" s="703"/>
      <c r="T31" s="703"/>
      <c r="U31" s="680" t="s">
        <v>761</v>
      </c>
      <c r="V31" s="703"/>
      <c r="W31" s="703"/>
      <c r="X31" s="703"/>
      <c r="Y31" s="703"/>
      <c r="Z31" s="703"/>
      <c r="AA31" s="703"/>
      <c r="AB31" s="703"/>
      <c r="AC31" s="703"/>
      <c r="AD31" s="703"/>
      <c r="AE31" s="703"/>
      <c r="AF31" s="703"/>
      <c r="AG31" s="703"/>
      <c r="AH31" s="703"/>
      <c r="AI31" s="703"/>
      <c r="AJ31" s="703"/>
    </row>
    <row r="32" spans="1:36" s="686" customFormat="1" ht="48.75" customHeight="1" x14ac:dyDescent="0.7">
      <c r="A32" s="704" t="s">
        <v>762</v>
      </c>
      <c r="B32" s="703"/>
      <c r="C32" s="703"/>
      <c r="D32" s="703"/>
      <c r="E32" s="703"/>
      <c r="F32" s="703"/>
      <c r="G32" s="703"/>
      <c r="H32" s="703"/>
      <c r="I32" s="703"/>
      <c r="J32" s="703"/>
      <c r="K32" s="704" t="s">
        <v>762</v>
      </c>
      <c r="L32" s="703"/>
      <c r="M32" s="703"/>
      <c r="N32" s="703"/>
      <c r="O32" s="703"/>
      <c r="P32" s="703"/>
      <c r="Q32" s="703"/>
      <c r="R32" s="703"/>
      <c r="S32" s="703"/>
      <c r="T32" s="703"/>
      <c r="U32" s="704" t="s">
        <v>762</v>
      </c>
      <c r="V32" s="703"/>
      <c r="W32" s="703"/>
      <c r="X32" s="703"/>
      <c r="Y32" s="703"/>
      <c r="Z32" s="703"/>
      <c r="AA32" s="703"/>
      <c r="AB32" s="703"/>
      <c r="AC32" s="703"/>
      <c r="AD32" s="703"/>
      <c r="AE32" s="703"/>
      <c r="AF32" s="703"/>
      <c r="AG32" s="703"/>
      <c r="AH32" s="703"/>
      <c r="AI32" s="703"/>
      <c r="AJ32" s="703"/>
    </row>
    <row r="33" spans="1:158" s="686" customFormat="1" ht="48.75" customHeight="1" x14ac:dyDescent="0.7">
      <c r="A33" s="705" t="s">
        <v>96</v>
      </c>
      <c r="B33" s="688">
        <f>'[3]int.kiadások RM I'!D33</f>
        <v>195637</v>
      </c>
      <c r="C33" s="688"/>
      <c r="D33" s="688">
        <f t="shared" si="2"/>
        <v>195637</v>
      </c>
      <c r="E33" s="688">
        <f>'[3]int.kiadások RM I'!G33</f>
        <v>23752</v>
      </c>
      <c r="F33" s="688"/>
      <c r="G33" s="688">
        <f>SUM(E33:F33)</f>
        <v>23752</v>
      </c>
      <c r="H33" s="688">
        <f>'[3]int.kiadások RM I'!J33</f>
        <v>85689</v>
      </c>
      <c r="I33" s="688"/>
      <c r="J33" s="688">
        <f>SUM(H33:I33)</f>
        <v>85689</v>
      </c>
      <c r="K33" s="687" t="s">
        <v>96</v>
      </c>
      <c r="L33" s="688">
        <f>'[3]int.kiadások RM I'!N33</f>
        <v>0</v>
      </c>
      <c r="M33" s="688"/>
      <c r="N33" s="688">
        <f>SUM(L33:M33)</f>
        <v>0</v>
      </c>
      <c r="O33" s="688">
        <f>'[3]int.kiadások RM I'!Q33</f>
        <v>0</v>
      </c>
      <c r="P33" s="688"/>
      <c r="Q33" s="688">
        <f>SUM(O33:P33)</f>
        <v>0</v>
      </c>
      <c r="R33" s="690">
        <f>B33+E33+H33+L33+O33</f>
        <v>305078</v>
      </c>
      <c r="S33" s="690">
        <f t="shared" ref="S33:T36" si="18">C33+F33+I33+M33+P33</f>
        <v>0</v>
      </c>
      <c r="T33" s="690">
        <f t="shared" si="18"/>
        <v>305078</v>
      </c>
      <c r="U33" s="705" t="s">
        <v>96</v>
      </c>
      <c r="V33" s="688">
        <f>'[3]int.kiadások RM I'!X33</f>
        <v>500</v>
      </c>
      <c r="W33" s="688"/>
      <c r="X33" s="688">
        <f>SUM(V33:W33)</f>
        <v>500</v>
      </c>
      <c r="Y33" s="688">
        <f>'[3]int.kiadások RM I'!AA33</f>
        <v>0</v>
      </c>
      <c r="Z33" s="688"/>
      <c r="AA33" s="688">
        <f>SUM(Y33:Z33)</f>
        <v>0</v>
      </c>
      <c r="AB33" s="688">
        <f>'[3]int.kiadások RM I'!AD33</f>
        <v>0</v>
      </c>
      <c r="AC33" s="688"/>
      <c r="AD33" s="688">
        <f>SUM(AB33:AC33)</f>
        <v>0</v>
      </c>
      <c r="AE33" s="690">
        <f t="shared" ref="AE33:AG36" si="19">V33+Y33+AB33</f>
        <v>500</v>
      </c>
      <c r="AF33" s="690">
        <f t="shared" si="19"/>
        <v>0</v>
      </c>
      <c r="AG33" s="690">
        <f t="shared" si="19"/>
        <v>500</v>
      </c>
      <c r="AH33" s="690">
        <f>R33+AE33</f>
        <v>305578</v>
      </c>
      <c r="AI33" s="690">
        <f t="shared" ref="AI33:AJ36" si="20">S33+AF33</f>
        <v>0</v>
      </c>
      <c r="AJ33" s="690">
        <f t="shared" si="20"/>
        <v>305578</v>
      </c>
    </row>
    <row r="34" spans="1:158" s="686" customFormat="1" ht="48.75" customHeight="1" x14ac:dyDescent="0.7">
      <c r="A34" s="691" t="s">
        <v>763</v>
      </c>
      <c r="B34" s="688">
        <f>'[3]int.kiadások RM I'!D34</f>
        <v>807097</v>
      </c>
      <c r="C34" s="706">
        <v>333</v>
      </c>
      <c r="D34" s="706">
        <f t="shared" si="2"/>
        <v>807430</v>
      </c>
      <c r="E34" s="688">
        <f>'[3]int.kiadások RM I'!G34</f>
        <v>113755</v>
      </c>
      <c r="F34" s="706">
        <v>93</v>
      </c>
      <c r="G34" s="706">
        <f>SUM(E34:F34)</f>
        <v>113848</v>
      </c>
      <c r="H34" s="688">
        <f>'[3]int.kiadások RM I'!J34</f>
        <v>323658</v>
      </c>
      <c r="I34" s="706"/>
      <c r="J34" s="706">
        <f>SUM(H34:I34)</f>
        <v>323658</v>
      </c>
      <c r="K34" s="691" t="s">
        <v>763</v>
      </c>
      <c r="L34" s="706">
        <f>'[3]int.kiadások RM I'!N34</f>
        <v>0</v>
      </c>
      <c r="M34" s="706"/>
      <c r="N34" s="706">
        <f>SUM(L34:M34)</f>
        <v>0</v>
      </c>
      <c r="O34" s="706">
        <f>'[3]int.kiadások RM I'!Q34</f>
        <v>0</v>
      </c>
      <c r="P34" s="706"/>
      <c r="Q34" s="706">
        <f>SUM(O34:P34)</f>
        <v>0</v>
      </c>
      <c r="R34" s="690">
        <f>B34+E34+H34+L34+O34</f>
        <v>1244510</v>
      </c>
      <c r="S34" s="690">
        <f t="shared" si="18"/>
        <v>426</v>
      </c>
      <c r="T34" s="690">
        <f t="shared" si="18"/>
        <v>1244936</v>
      </c>
      <c r="U34" s="691" t="s">
        <v>763</v>
      </c>
      <c r="V34" s="706">
        <f>'[3]int.kiadások RM I'!X34</f>
        <v>57689</v>
      </c>
      <c r="W34" s="706"/>
      <c r="X34" s="706">
        <f>SUM(V34:W34)</f>
        <v>57689</v>
      </c>
      <c r="Y34" s="688">
        <f>'[3]int.kiadások RM I'!AA34</f>
        <v>0</v>
      </c>
      <c r="Z34" s="706"/>
      <c r="AA34" s="706">
        <f>SUM(Y34:Z34)</f>
        <v>0</v>
      </c>
      <c r="AB34" s="706">
        <f>'[3]int.kiadások RM I'!AD34</f>
        <v>0</v>
      </c>
      <c r="AC34" s="706"/>
      <c r="AD34" s="706">
        <f>SUM(AB34:AC34)</f>
        <v>0</v>
      </c>
      <c r="AE34" s="690">
        <f t="shared" si="19"/>
        <v>57689</v>
      </c>
      <c r="AF34" s="690">
        <f t="shared" si="19"/>
        <v>0</v>
      </c>
      <c r="AG34" s="690">
        <f t="shared" si="19"/>
        <v>57689</v>
      </c>
      <c r="AH34" s="690">
        <f>R34+AE34</f>
        <v>1302199</v>
      </c>
      <c r="AI34" s="690">
        <f t="shared" si="20"/>
        <v>426</v>
      </c>
      <c r="AJ34" s="690">
        <f t="shared" si="20"/>
        <v>1302625</v>
      </c>
    </row>
    <row r="35" spans="1:158" s="686" customFormat="1" ht="48.75" customHeight="1" x14ac:dyDescent="0.7">
      <c r="A35" s="691" t="s">
        <v>764</v>
      </c>
      <c r="B35" s="688">
        <f>'[3]int.kiadások RM I'!D35</f>
        <v>342643</v>
      </c>
      <c r="C35" s="706">
        <v>281</v>
      </c>
      <c r="D35" s="706">
        <f t="shared" si="2"/>
        <v>342924</v>
      </c>
      <c r="E35" s="688">
        <f>'[3]int.kiadások RM I'!G35</f>
        <v>48977</v>
      </c>
      <c r="F35" s="706"/>
      <c r="G35" s="706">
        <f>SUM(E35:F35)</f>
        <v>48977</v>
      </c>
      <c r="H35" s="688">
        <f>'[3]int.kiadások RM I'!J35</f>
        <v>202485</v>
      </c>
      <c r="I35" s="706">
        <v>5394</v>
      </c>
      <c r="J35" s="706">
        <f>SUM(H35:I35)</f>
        <v>207879</v>
      </c>
      <c r="K35" s="691" t="s">
        <v>764</v>
      </c>
      <c r="L35" s="706">
        <f>'[3]int.kiadások RM I'!N35</f>
        <v>0</v>
      </c>
      <c r="M35" s="706"/>
      <c r="N35" s="706">
        <f>SUM(L35:M35)</f>
        <v>0</v>
      </c>
      <c r="O35" s="706">
        <f>'[3]int.kiadások RM I'!Q35</f>
        <v>0</v>
      </c>
      <c r="P35" s="706"/>
      <c r="Q35" s="706">
        <f>SUM(O35:P35)</f>
        <v>0</v>
      </c>
      <c r="R35" s="690">
        <f>B35+E35+H35+L35+O35</f>
        <v>594105</v>
      </c>
      <c r="S35" s="690">
        <f t="shared" si="18"/>
        <v>5675</v>
      </c>
      <c r="T35" s="690">
        <f t="shared" si="18"/>
        <v>599780</v>
      </c>
      <c r="U35" s="691" t="s">
        <v>764</v>
      </c>
      <c r="V35" s="706">
        <f>'[3]int.kiadások RM I'!X35</f>
        <v>12000</v>
      </c>
      <c r="W35" s="706"/>
      <c r="X35" s="706">
        <f>SUM(V35:W35)</f>
        <v>12000</v>
      </c>
      <c r="Y35" s="688">
        <f>'[3]int.kiadások RM I'!AA35</f>
        <v>0</v>
      </c>
      <c r="Z35" s="706"/>
      <c r="AA35" s="706">
        <f>SUM(Y35:Z35)</f>
        <v>0</v>
      </c>
      <c r="AB35" s="706">
        <f>'[3]int.kiadások RM I'!AD35</f>
        <v>0</v>
      </c>
      <c r="AC35" s="706"/>
      <c r="AD35" s="706">
        <f>SUM(AB35:AC35)</f>
        <v>0</v>
      </c>
      <c r="AE35" s="690">
        <f t="shared" si="19"/>
        <v>12000</v>
      </c>
      <c r="AF35" s="690">
        <f t="shared" si="19"/>
        <v>0</v>
      </c>
      <c r="AG35" s="690">
        <f t="shared" si="19"/>
        <v>12000</v>
      </c>
      <c r="AH35" s="690">
        <f>R35+AE35</f>
        <v>606105</v>
      </c>
      <c r="AI35" s="690">
        <f t="shared" si="20"/>
        <v>5675</v>
      </c>
      <c r="AJ35" s="690">
        <f t="shared" si="20"/>
        <v>611780</v>
      </c>
    </row>
    <row r="36" spans="1:158" s="686" customFormat="1" ht="48.75" customHeight="1" thickBot="1" x14ac:dyDescent="0.75">
      <c r="A36" s="707" t="s">
        <v>453</v>
      </c>
      <c r="B36" s="688">
        <f>'[3]int.kiadások RM I'!D36</f>
        <v>697935</v>
      </c>
      <c r="C36" s="706">
        <f>4423+500</f>
        <v>4923</v>
      </c>
      <c r="D36" s="706">
        <f t="shared" si="2"/>
        <v>702858</v>
      </c>
      <c r="E36" s="688">
        <f>'[3]int.kiadások RM I'!G36</f>
        <v>98143</v>
      </c>
      <c r="F36" s="706">
        <f>575+140</f>
        <v>715</v>
      </c>
      <c r="G36" s="706">
        <f>SUM(E36:F36)</f>
        <v>98858</v>
      </c>
      <c r="H36" s="688">
        <f>'[3]int.kiadások RM I'!J36</f>
        <v>281339</v>
      </c>
      <c r="I36" s="706">
        <v>19964</v>
      </c>
      <c r="J36" s="706">
        <f>SUM(H36:I36)</f>
        <v>301303</v>
      </c>
      <c r="K36" s="707" t="s">
        <v>453</v>
      </c>
      <c r="L36" s="706">
        <f>'[3]int.kiadások RM I'!N36</f>
        <v>0</v>
      </c>
      <c r="M36" s="706"/>
      <c r="N36" s="706">
        <f>SUM(L36:M36)</f>
        <v>0</v>
      </c>
      <c r="O36" s="706">
        <f>'[3]int.kiadások RM I'!Q36</f>
        <v>0</v>
      </c>
      <c r="P36" s="706"/>
      <c r="Q36" s="706">
        <f>SUM(O36:P36)</f>
        <v>0</v>
      </c>
      <c r="R36" s="690">
        <f>B36+E36+H36+L36+O36</f>
        <v>1077417</v>
      </c>
      <c r="S36" s="690">
        <f t="shared" si="18"/>
        <v>25602</v>
      </c>
      <c r="T36" s="690">
        <f t="shared" si="18"/>
        <v>1103019</v>
      </c>
      <c r="U36" s="707" t="s">
        <v>453</v>
      </c>
      <c r="V36" s="706">
        <f>'[3]int.kiadások RM I'!X36</f>
        <v>9793</v>
      </c>
      <c r="W36" s="706"/>
      <c r="X36" s="706">
        <f>SUM(V36:W36)</f>
        <v>9793</v>
      </c>
      <c r="Y36" s="688">
        <f>'[3]int.kiadások RM I'!AA36</f>
        <v>0</v>
      </c>
      <c r="Z36" s="706"/>
      <c r="AA36" s="706">
        <f>SUM(Y36:Z36)</f>
        <v>0</v>
      </c>
      <c r="AB36" s="706">
        <f>'[3]int.kiadások RM I'!AD36</f>
        <v>0</v>
      </c>
      <c r="AC36" s="706"/>
      <c r="AD36" s="706">
        <f>SUM(AB36:AC36)</f>
        <v>0</v>
      </c>
      <c r="AE36" s="690">
        <f t="shared" si="19"/>
        <v>9793</v>
      </c>
      <c r="AF36" s="690">
        <f t="shared" si="19"/>
        <v>0</v>
      </c>
      <c r="AG36" s="690">
        <f t="shared" si="19"/>
        <v>9793</v>
      </c>
      <c r="AH36" s="690">
        <f>R36+AE36</f>
        <v>1087210</v>
      </c>
      <c r="AI36" s="690">
        <f t="shared" si="20"/>
        <v>25602</v>
      </c>
      <c r="AJ36" s="690">
        <f t="shared" si="20"/>
        <v>1112812</v>
      </c>
    </row>
    <row r="37" spans="1:158" s="686" customFormat="1" ht="61.5" customHeight="1" thickBot="1" x14ac:dyDescent="0.75">
      <c r="A37" s="702" t="s">
        <v>765</v>
      </c>
      <c r="B37" s="697">
        <f t="shared" ref="B37:J37" si="21">SUM(B33:B36)</f>
        <v>2043312</v>
      </c>
      <c r="C37" s="697">
        <f t="shared" si="21"/>
        <v>5537</v>
      </c>
      <c r="D37" s="697">
        <f t="shared" si="21"/>
        <v>2048849</v>
      </c>
      <c r="E37" s="697">
        <f t="shared" si="21"/>
        <v>284627</v>
      </c>
      <c r="F37" s="697">
        <f t="shared" si="21"/>
        <v>808</v>
      </c>
      <c r="G37" s="697">
        <f t="shared" si="21"/>
        <v>285435</v>
      </c>
      <c r="H37" s="697">
        <f t="shared" si="21"/>
        <v>893171</v>
      </c>
      <c r="I37" s="697">
        <f t="shared" si="21"/>
        <v>25358</v>
      </c>
      <c r="J37" s="697">
        <f t="shared" si="21"/>
        <v>918529</v>
      </c>
      <c r="K37" s="702" t="s">
        <v>765</v>
      </c>
      <c r="L37" s="697">
        <f t="shared" ref="L37:T37" si="22">SUM(L33:L36)</f>
        <v>0</v>
      </c>
      <c r="M37" s="697">
        <f t="shared" si="22"/>
        <v>0</v>
      </c>
      <c r="N37" s="697">
        <f t="shared" si="22"/>
        <v>0</v>
      </c>
      <c r="O37" s="697">
        <f t="shared" si="22"/>
        <v>0</v>
      </c>
      <c r="P37" s="697">
        <f t="shared" si="22"/>
        <v>0</v>
      </c>
      <c r="Q37" s="697">
        <f t="shared" si="22"/>
        <v>0</v>
      </c>
      <c r="R37" s="697">
        <f t="shared" si="22"/>
        <v>3221110</v>
      </c>
      <c r="S37" s="697">
        <f t="shared" si="22"/>
        <v>31703</v>
      </c>
      <c r="T37" s="697">
        <f t="shared" si="22"/>
        <v>3252813</v>
      </c>
      <c r="U37" s="702" t="s">
        <v>765</v>
      </c>
      <c r="V37" s="697">
        <f t="shared" ref="V37:AJ37" si="23">SUM(V33:V36)</f>
        <v>79982</v>
      </c>
      <c r="W37" s="697">
        <f t="shared" si="23"/>
        <v>0</v>
      </c>
      <c r="X37" s="697">
        <f t="shared" si="23"/>
        <v>79982</v>
      </c>
      <c r="Y37" s="697">
        <f t="shared" si="23"/>
        <v>0</v>
      </c>
      <c r="Z37" s="697">
        <f t="shared" si="23"/>
        <v>0</v>
      </c>
      <c r="AA37" s="697">
        <f t="shared" si="23"/>
        <v>0</v>
      </c>
      <c r="AB37" s="697">
        <f t="shared" si="23"/>
        <v>0</v>
      </c>
      <c r="AC37" s="697">
        <f t="shared" si="23"/>
        <v>0</v>
      </c>
      <c r="AD37" s="697">
        <f t="shared" si="23"/>
        <v>0</v>
      </c>
      <c r="AE37" s="697">
        <f t="shared" si="23"/>
        <v>79982</v>
      </c>
      <c r="AF37" s="697">
        <f t="shared" si="23"/>
        <v>0</v>
      </c>
      <c r="AG37" s="697">
        <f t="shared" si="23"/>
        <v>79982</v>
      </c>
      <c r="AH37" s="697">
        <f t="shared" si="23"/>
        <v>3301092</v>
      </c>
      <c r="AI37" s="697">
        <f t="shared" si="23"/>
        <v>31703</v>
      </c>
      <c r="AJ37" s="697">
        <f t="shared" si="23"/>
        <v>3332795</v>
      </c>
    </row>
    <row r="38" spans="1:158" s="686" customFormat="1" ht="48.75" customHeight="1" x14ac:dyDescent="0.7">
      <c r="A38" s="708" t="s">
        <v>766</v>
      </c>
      <c r="B38" s="685"/>
      <c r="C38" s="685"/>
      <c r="D38" s="685"/>
      <c r="E38" s="685"/>
      <c r="F38" s="685"/>
      <c r="G38" s="685"/>
      <c r="H38" s="685"/>
      <c r="I38" s="685"/>
      <c r="J38" s="685"/>
      <c r="K38" s="708" t="s">
        <v>767</v>
      </c>
      <c r="L38" s="685"/>
      <c r="M38" s="685"/>
      <c r="N38" s="685"/>
      <c r="O38" s="685"/>
      <c r="P38" s="685"/>
      <c r="Q38" s="685"/>
      <c r="R38" s="685"/>
      <c r="S38" s="685"/>
      <c r="T38" s="685"/>
      <c r="U38" s="708" t="s">
        <v>767</v>
      </c>
      <c r="V38" s="685"/>
      <c r="W38" s="685"/>
      <c r="X38" s="685"/>
      <c r="Y38" s="685"/>
      <c r="Z38" s="685"/>
      <c r="AA38" s="685"/>
      <c r="AB38" s="685"/>
      <c r="AC38" s="685"/>
      <c r="AD38" s="685"/>
      <c r="AE38" s="685"/>
      <c r="AF38" s="685"/>
      <c r="AG38" s="685"/>
      <c r="AH38" s="685"/>
      <c r="AI38" s="685"/>
      <c r="AJ38" s="685"/>
    </row>
    <row r="39" spans="1:158" s="682" customFormat="1" ht="88.5" customHeight="1" thickBot="1" x14ac:dyDescent="0.75">
      <c r="A39" s="705" t="s">
        <v>469</v>
      </c>
      <c r="B39" s="709">
        <f>'[3]int.kiadások RM I'!D39</f>
        <v>1120645</v>
      </c>
      <c r="C39" s="709">
        <f>28980+95490</f>
        <v>124470</v>
      </c>
      <c r="D39" s="709">
        <f>SUM(B39:C39)</f>
        <v>1245115</v>
      </c>
      <c r="E39" s="709">
        <f>'[3]int.kiadások RM I'!G39</f>
        <v>188052</v>
      </c>
      <c r="F39" s="709">
        <f>-8454+11071</f>
        <v>2617</v>
      </c>
      <c r="G39" s="709">
        <f>SUM(E39:F39)</f>
        <v>190669</v>
      </c>
      <c r="H39" s="709">
        <f>'[3]int.kiadások RM I'!J39</f>
        <v>675966</v>
      </c>
      <c r="I39" s="709">
        <f>6318+4116</f>
        <v>10434</v>
      </c>
      <c r="J39" s="709">
        <f>SUM(H39:I39)</f>
        <v>686400</v>
      </c>
      <c r="K39" s="705" t="s">
        <v>469</v>
      </c>
      <c r="L39" s="709">
        <f>'[3]int.kiadások RM I'!N39</f>
        <v>0</v>
      </c>
      <c r="M39" s="709"/>
      <c r="N39" s="709">
        <f>SUM(L39:M39)</f>
        <v>0</v>
      </c>
      <c r="O39" s="709">
        <f>'[3]int.kiadások RM I'!Q39</f>
        <v>90</v>
      </c>
      <c r="P39" s="709"/>
      <c r="Q39" s="709">
        <f>SUM(O39:P39)</f>
        <v>90</v>
      </c>
      <c r="R39" s="698">
        <f>B39+E39+H39+L39+O39</f>
        <v>1984753</v>
      </c>
      <c r="S39" s="698">
        <f>C39+F39+I39+M39+P39</f>
        <v>137521</v>
      </c>
      <c r="T39" s="698">
        <f>D39+G39+J39+N39+Q39</f>
        <v>2122274</v>
      </c>
      <c r="U39" s="705" t="s">
        <v>469</v>
      </c>
      <c r="V39" s="709">
        <f>'[3]int.kiadások RM I'!X39</f>
        <v>0</v>
      </c>
      <c r="W39" s="709">
        <v>13237</v>
      </c>
      <c r="X39" s="709">
        <f>SUM(V39:W39)</f>
        <v>13237</v>
      </c>
      <c r="Y39" s="709">
        <f>'[3]int.kiadások RM I'!AA39</f>
        <v>26719</v>
      </c>
      <c r="Z39" s="709">
        <v>-7045</v>
      </c>
      <c r="AA39" s="709">
        <f>SUM(Y39:Z39)</f>
        <v>19674</v>
      </c>
      <c r="AB39" s="709">
        <f>'[3]int.kiadások RM I'!AD39</f>
        <v>0</v>
      </c>
      <c r="AC39" s="709"/>
      <c r="AD39" s="709">
        <f>SUM(AB39:AC39)</f>
        <v>0</v>
      </c>
      <c r="AE39" s="698">
        <f>V39+Y39+AB39</f>
        <v>26719</v>
      </c>
      <c r="AF39" s="698">
        <f>W39+Z39+AC39</f>
        <v>6192</v>
      </c>
      <c r="AG39" s="698">
        <f>X39+AA39+AD39</f>
        <v>32911</v>
      </c>
      <c r="AH39" s="698">
        <f>R39+AE39</f>
        <v>2011472</v>
      </c>
      <c r="AI39" s="698">
        <f>S39+AF39</f>
        <v>143713</v>
      </c>
      <c r="AJ39" s="698">
        <f>T39+AG39</f>
        <v>2155185</v>
      </c>
    </row>
    <row r="40" spans="1:158" s="686" customFormat="1" ht="48.75" customHeight="1" x14ac:dyDescent="0.7">
      <c r="A40" s="708" t="s">
        <v>768</v>
      </c>
      <c r="B40" s="685"/>
      <c r="C40" s="685"/>
      <c r="D40" s="685"/>
      <c r="E40" s="685"/>
      <c r="F40" s="685"/>
      <c r="G40" s="685"/>
      <c r="H40" s="685"/>
      <c r="I40" s="685"/>
      <c r="J40" s="685"/>
      <c r="K40" s="708" t="s">
        <v>768</v>
      </c>
      <c r="L40" s="685"/>
      <c r="M40" s="685"/>
      <c r="N40" s="685"/>
      <c r="O40" s="685"/>
      <c r="P40" s="685"/>
      <c r="Q40" s="685"/>
      <c r="R40" s="685"/>
      <c r="S40" s="685"/>
      <c r="T40" s="685"/>
      <c r="U40" s="708" t="s">
        <v>768</v>
      </c>
      <c r="V40" s="685"/>
      <c r="W40" s="685"/>
      <c r="X40" s="685"/>
      <c r="Y40" s="685"/>
      <c r="Z40" s="685"/>
      <c r="AA40" s="685"/>
      <c r="AB40" s="685"/>
      <c r="AC40" s="685"/>
      <c r="AD40" s="685"/>
      <c r="AE40" s="685"/>
      <c r="AF40" s="685"/>
      <c r="AG40" s="685"/>
      <c r="AH40" s="685"/>
      <c r="AI40" s="685"/>
      <c r="AJ40" s="685"/>
    </row>
    <row r="41" spans="1:158" s="686" customFormat="1" ht="49.5" customHeight="1" thickBot="1" x14ac:dyDescent="0.75">
      <c r="A41" s="710" t="s">
        <v>769</v>
      </c>
      <c r="B41" s="709">
        <f>'[3]int.kiadások RM I'!D41</f>
        <v>647456</v>
      </c>
      <c r="C41" s="709">
        <v>1000</v>
      </c>
      <c r="D41" s="709">
        <f>SUM(B41:C41)</f>
        <v>648456</v>
      </c>
      <c r="E41" s="709">
        <f>'[3]int.kiadások RM I'!G41</f>
        <v>99139</v>
      </c>
      <c r="F41" s="709">
        <v>280</v>
      </c>
      <c r="G41" s="709">
        <f>SUM(E41:F41)</f>
        <v>99419</v>
      </c>
      <c r="H41" s="709">
        <f>'[3]int.kiadások RM I'!J41</f>
        <v>404241</v>
      </c>
      <c r="I41" s="709">
        <v>1273</v>
      </c>
      <c r="J41" s="709">
        <f>SUM(H41:I41)</f>
        <v>405514</v>
      </c>
      <c r="K41" s="710" t="s">
        <v>769</v>
      </c>
      <c r="L41" s="709">
        <f>'[3]int.kiadások RM I'!N41</f>
        <v>0</v>
      </c>
      <c r="M41" s="709"/>
      <c r="N41" s="709">
        <f>SUM(L41:M41)</f>
        <v>0</v>
      </c>
      <c r="O41" s="709">
        <f>'[3]int.kiadások RM I'!Q41</f>
        <v>0</v>
      </c>
      <c r="P41" s="709"/>
      <c r="Q41" s="709">
        <f>SUM(O41:P41)</f>
        <v>0</v>
      </c>
      <c r="R41" s="698">
        <f>B41+E41+H41+L41+O41</f>
        <v>1150836</v>
      </c>
      <c r="S41" s="698">
        <f>C41+F41+I41+M41+P41</f>
        <v>2553</v>
      </c>
      <c r="T41" s="698">
        <f>D41+G41+J41+N41+Q41</f>
        <v>1153389</v>
      </c>
      <c r="U41" s="710" t="s">
        <v>769</v>
      </c>
      <c r="V41" s="709">
        <f>'[3]int.kiadások RM I'!X41</f>
        <v>8416</v>
      </c>
      <c r="W41" s="709"/>
      <c r="X41" s="709">
        <f>SUM(V41:W41)</f>
        <v>8416</v>
      </c>
      <c r="Y41" s="709">
        <f>'[3]int.kiadások RM I'!AA41</f>
        <v>0</v>
      </c>
      <c r="Z41" s="709"/>
      <c r="AA41" s="709">
        <f>SUM(Y41:Z41)</f>
        <v>0</v>
      </c>
      <c r="AB41" s="709">
        <f>'[3]int.kiadások RM I'!AD41</f>
        <v>0</v>
      </c>
      <c r="AC41" s="709"/>
      <c r="AD41" s="709">
        <f>SUM(AB41:AC41)</f>
        <v>0</v>
      </c>
      <c r="AE41" s="698">
        <f>V41+Y41+AB41</f>
        <v>8416</v>
      </c>
      <c r="AF41" s="698">
        <f>W41+Z41+AC41</f>
        <v>0</v>
      </c>
      <c r="AG41" s="698">
        <f>X41+AA41+AD41</f>
        <v>8416</v>
      </c>
      <c r="AH41" s="698">
        <f>R41+AE41</f>
        <v>1159252</v>
      </c>
      <c r="AI41" s="698">
        <f>S41+AF41</f>
        <v>2553</v>
      </c>
      <c r="AJ41" s="698">
        <f>T41+AG41</f>
        <v>1161805</v>
      </c>
    </row>
    <row r="42" spans="1:158" s="686" customFormat="1" ht="48" customHeight="1" x14ac:dyDescent="0.7">
      <c r="A42" s="704" t="s">
        <v>770</v>
      </c>
      <c r="B42" s="703"/>
      <c r="C42" s="703"/>
      <c r="D42" s="703"/>
      <c r="E42" s="703"/>
      <c r="F42" s="703"/>
      <c r="G42" s="703"/>
      <c r="H42" s="703"/>
      <c r="I42" s="703"/>
      <c r="J42" s="703"/>
      <c r="K42" s="704" t="s">
        <v>770</v>
      </c>
      <c r="L42" s="703"/>
      <c r="M42" s="703"/>
      <c r="N42" s="703"/>
      <c r="O42" s="703"/>
      <c r="P42" s="703"/>
      <c r="Q42" s="703"/>
      <c r="R42" s="703"/>
      <c r="S42" s="703"/>
      <c r="T42" s="703"/>
      <c r="U42" s="704" t="s">
        <v>770</v>
      </c>
      <c r="V42" s="703"/>
      <c r="W42" s="703"/>
      <c r="X42" s="703"/>
      <c r="Y42" s="703"/>
      <c r="Z42" s="703"/>
      <c r="AA42" s="703"/>
      <c r="AB42" s="703"/>
      <c r="AC42" s="703"/>
      <c r="AD42" s="703"/>
      <c r="AE42" s="703"/>
      <c r="AF42" s="703"/>
      <c r="AG42" s="703"/>
      <c r="AH42" s="703"/>
      <c r="AI42" s="703"/>
      <c r="AJ42" s="703"/>
    </row>
    <row r="43" spans="1:158" s="686" customFormat="1" ht="48.75" customHeight="1" thickBot="1" x14ac:dyDescent="0.75">
      <c r="A43" s="711" t="s">
        <v>515</v>
      </c>
      <c r="B43" s="688">
        <f>'[3]int.kiadások RM I'!D43</f>
        <v>1756008</v>
      </c>
      <c r="C43" s="693">
        <f>1750+23352</f>
        <v>25102</v>
      </c>
      <c r="D43" s="693">
        <f>SUM(B43:C43)</f>
        <v>1781110</v>
      </c>
      <c r="E43" s="688">
        <f>'[3]int.kiadások RM I'!G43</f>
        <v>273281</v>
      </c>
      <c r="F43" s="693">
        <f>232+3632</f>
        <v>3864</v>
      </c>
      <c r="G43" s="693">
        <f>SUM(E43:F43)</f>
        <v>277145</v>
      </c>
      <c r="H43" s="688">
        <f>'[3]int.kiadások RM I'!J43</f>
        <v>233816</v>
      </c>
      <c r="I43" s="693">
        <v>4107</v>
      </c>
      <c r="J43" s="693">
        <f>SUM(H43:I43)</f>
        <v>237923</v>
      </c>
      <c r="K43" s="711" t="s">
        <v>470</v>
      </c>
      <c r="L43" s="693">
        <f>'[3]int.kiadások RM I'!N43</f>
        <v>0</v>
      </c>
      <c r="M43" s="693"/>
      <c r="N43" s="693">
        <f>SUM(L43:M43)</f>
        <v>0</v>
      </c>
      <c r="O43" s="693">
        <f>'[3]int.kiadások RM I'!Q43</f>
        <v>0</v>
      </c>
      <c r="P43" s="693"/>
      <c r="Q43" s="693">
        <f>SUM(O43:P43)</f>
        <v>0</v>
      </c>
      <c r="R43" s="690">
        <f>B43+E43+H43+L43+O43</f>
        <v>2263105</v>
      </c>
      <c r="S43" s="690">
        <f>C43+F43+I43+M43+P43</f>
        <v>33073</v>
      </c>
      <c r="T43" s="690">
        <f>D43+G43+J43+N43+Q43</f>
        <v>2296178</v>
      </c>
      <c r="U43" s="711" t="s">
        <v>515</v>
      </c>
      <c r="V43" s="693">
        <f>'[3]int.kiadások RM I'!X43</f>
        <v>27792</v>
      </c>
      <c r="W43" s="693">
        <f>-595+11282</f>
        <v>10687</v>
      </c>
      <c r="X43" s="693">
        <f>SUM(V43:W43)</f>
        <v>38479</v>
      </c>
      <c r="Y43" s="693">
        <f>'[3]int.kiadások RM I'!AA43</f>
        <v>31564</v>
      </c>
      <c r="Z43" s="693">
        <v>2488</v>
      </c>
      <c r="AA43" s="693">
        <f>SUM(Y43:Z43)</f>
        <v>34052</v>
      </c>
      <c r="AB43" s="693">
        <f>'[3]int.kiadások RM I'!AD43</f>
        <v>0</v>
      </c>
      <c r="AC43" s="693"/>
      <c r="AD43" s="693">
        <f>SUM(AB43:AC43)</f>
        <v>0</v>
      </c>
      <c r="AE43" s="690">
        <f>V43+Y43+AB43</f>
        <v>59356</v>
      </c>
      <c r="AF43" s="690">
        <f>W43+Z43+AC43</f>
        <v>13175</v>
      </c>
      <c r="AG43" s="690">
        <f>X43+AA43+AD43</f>
        <v>72531</v>
      </c>
      <c r="AH43" s="690">
        <f>R43+AE43</f>
        <v>2322461</v>
      </c>
      <c r="AI43" s="690">
        <f>S43+AF43</f>
        <v>46248</v>
      </c>
      <c r="AJ43" s="690">
        <f>T43+AG43</f>
        <v>2368709</v>
      </c>
    </row>
    <row r="44" spans="1:158" s="686" customFormat="1" ht="48" customHeight="1" x14ac:dyDescent="0.7">
      <c r="A44" s="708" t="s">
        <v>771</v>
      </c>
      <c r="B44" s="685"/>
      <c r="C44" s="685"/>
      <c r="D44" s="685"/>
      <c r="E44" s="685"/>
      <c r="F44" s="685"/>
      <c r="G44" s="685"/>
      <c r="H44" s="685"/>
      <c r="I44" s="685"/>
      <c r="J44" s="685"/>
      <c r="K44" s="708" t="s">
        <v>772</v>
      </c>
      <c r="L44" s="685"/>
      <c r="M44" s="685"/>
      <c r="N44" s="685"/>
      <c r="O44" s="685"/>
      <c r="P44" s="685"/>
      <c r="Q44" s="685"/>
      <c r="R44" s="685"/>
      <c r="S44" s="685"/>
      <c r="T44" s="685"/>
      <c r="U44" s="708" t="s">
        <v>772</v>
      </c>
      <c r="V44" s="685"/>
      <c r="W44" s="685"/>
      <c r="X44" s="685"/>
      <c r="Y44" s="685"/>
      <c r="Z44" s="685"/>
      <c r="AA44" s="685"/>
      <c r="AB44" s="685"/>
      <c r="AC44" s="685"/>
      <c r="AD44" s="685"/>
      <c r="AE44" s="685"/>
      <c r="AF44" s="685"/>
      <c r="AG44" s="685"/>
      <c r="AH44" s="685"/>
      <c r="AI44" s="685"/>
      <c r="AJ44" s="685"/>
    </row>
    <row r="45" spans="1:158" s="686" customFormat="1" ht="48.75" customHeight="1" x14ac:dyDescent="0.7">
      <c r="A45" s="687" t="s">
        <v>471</v>
      </c>
      <c r="B45" s="688">
        <f>'[3]int.kiadások RM I'!D45</f>
        <v>96676</v>
      </c>
      <c r="C45" s="688"/>
      <c r="D45" s="688">
        <f>SUM(B45:C45)</f>
        <v>96676</v>
      </c>
      <c r="E45" s="688">
        <f>'[3]int.kiadások RM I'!G45</f>
        <v>12708</v>
      </c>
      <c r="F45" s="688"/>
      <c r="G45" s="688">
        <f>SUM(E45:F45)</f>
        <v>12708</v>
      </c>
      <c r="H45" s="688">
        <f>'[3]int.kiadások RM I'!J45</f>
        <v>129050</v>
      </c>
      <c r="I45" s="688"/>
      <c r="J45" s="688">
        <f>SUM(H45:I45)</f>
        <v>129050</v>
      </c>
      <c r="K45" s="687" t="s">
        <v>471</v>
      </c>
      <c r="L45" s="688">
        <f>'[3]int.kiadások RM I'!N45</f>
        <v>0</v>
      </c>
      <c r="M45" s="688"/>
      <c r="N45" s="688">
        <f>SUM(L45:M45)</f>
        <v>0</v>
      </c>
      <c r="O45" s="688">
        <f>'[3]int.kiadások RM I'!Q45</f>
        <v>0</v>
      </c>
      <c r="P45" s="712"/>
      <c r="Q45" s="688">
        <f>SUM(O45:P45)</f>
        <v>0</v>
      </c>
      <c r="R45" s="690">
        <f t="shared" ref="R45:T47" si="24">B45+E45+H45+L45+O45</f>
        <v>238434</v>
      </c>
      <c r="S45" s="690">
        <f t="shared" si="24"/>
        <v>0</v>
      </c>
      <c r="T45" s="690">
        <f t="shared" si="24"/>
        <v>238434</v>
      </c>
      <c r="U45" s="687" t="s">
        <v>471</v>
      </c>
      <c r="V45" s="688">
        <f>'[3]int.kiadások RM I'!X45</f>
        <v>14571</v>
      </c>
      <c r="W45" s="688"/>
      <c r="X45" s="688">
        <f>SUM(V45:W45)</f>
        <v>14571</v>
      </c>
      <c r="Y45" s="688">
        <f>'[3]int.kiadások RM I'!AA45</f>
        <v>0</v>
      </c>
      <c r="Z45" s="688"/>
      <c r="AA45" s="688">
        <f>SUM(Y45:Z45)</f>
        <v>0</v>
      </c>
      <c r="AB45" s="688">
        <f>'[3]int.kiadások RM I'!AD45</f>
        <v>0</v>
      </c>
      <c r="AC45" s="688"/>
      <c r="AD45" s="688">
        <f>SUM(AB45:AC45)</f>
        <v>0</v>
      </c>
      <c r="AE45" s="690">
        <f t="shared" ref="AE45:AG47" si="25">V45+Y45+AB45</f>
        <v>14571</v>
      </c>
      <c r="AF45" s="690">
        <f t="shared" si="25"/>
        <v>0</v>
      </c>
      <c r="AG45" s="690">
        <f t="shared" si="25"/>
        <v>14571</v>
      </c>
      <c r="AH45" s="690">
        <f t="shared" ref="AH45:AJ47" si="26">R45+AE45</f>
        <v>253005</v>
      </c>
      <c r="AI45" s="690">
        <f t="shared" si="26"/>
        <v>0</v>
      </c>
      <c r="AJ45" s="690">
        <f t="shared" si="26"/>
        <v>253005</v>
      </c>
    </row>
    <row r="46" spans="1:158" s="686" customFormat="1" ht="48.75" customHeight="1" x14ac:dyDescent="0.7">
      <c r="A46" s="707" t="s">
        <v>565</v>
      </c>
      <c r="B46" s="688">
        <f>'[3]int.kiadások RM I'!D46</f>
        <v>282909</v>
      </c>
      <c r="C46" s="693"/>
      <c r="D46" s="688">
        <f>SUM(B46:C46)</f>
        <v>282909</v>
      </c>
      <c r="E46" s="688">
        <f>'[3]int.kiadások RM I'!G46</f>
        <v>40347</v>
      </c>
      <c r="F46" s="693"/>
      <c r="G46" s="688">
        <f>SUM(E46:F46)</f>
        <v>40347</v>
      </c>
      <c r="H46" s="688">
        <f>'[3]int.kiadások RM I'!J46</f>
        <v>206663</v>
      </c>
      <c r="I46" s="674">
        <v>3134</v>
      </c>
      <c r="J46" s="688">
        <f>SUM(H46:I46)</f>
        <v>209797</v>
      </c>
      <c r="K46" s="707" t="s">
        <v>565</v>
      </c>
      <c r="L46" s="688">
        <f>'[3]int.kiadások RM I'!N46</f>
        <v>0</v>
      </c>
      <c r="M46" s="688"/>
      <c r="N46" s="688">
        <f>SUM(L46:M46)</f>
        <v>0</v>
      </c>
      <c r="O46" s="688">
        <f>'[3]int.kiadások RM I'!Q46</f>
        <v>0</v>
      </c>
      <c r="P46" s="712"/>
      <c r="Q46" s="688">
        <f>SUM(O46:P46)</f>
        <v>0</v>
      </c>
      <c r="R46" s="690">
        <f>B46+E46+H46+L46+O46</f>
        <v>529919</v>
      </c>
      <c r="S46" s="690">
        <f>C46+F46+I46+M46+P46</f>
        <v>3134</v>
      </c>
      <c r="T46" s="690">
        <f>D46+G46+J46+N46+Q46</f>
        <v>533053</v>
      </c>
      <c r="U46" s="707" t="s">
        <v>565</v>
      </c>
      <c r="V46" s="688">
        <f>'[3]int.kiadások RM I'!X46</f>
        <v>1000</v>
      </c>
      <c r="W46" s="688">
        <v>1000</v>
      </c>
      <c r="X46" s="688">
        <f>SUM(V46:W46)</f>
        <v>2000</v>
      </c>
      <c r="Y46" s="688">
        <f>'[3]int.kiadások RM I'!AA46</f>
        <v>0</v>
      </c>
      <c r="Z46" s="688"/>
      <c r="AA46" s="688">
        <f>SUM(Y46:Z46)</f>
        <v>0</v>
      </c>
      <c r="AB46" s="688">
        <f>'[3]int.kiadások RM I'!AD46</f>
        <v>0</v>
      </c>
      <c r="AC46" s="688"/>
      <c r="AD46" s="688">
        <f>SUM(AB46:AC46)</f>
        <v>0</v>
      </c>
      <c r="AE46" s="690">
        <f>V46+Y46+AB46</f>
        <v>1000</v>
      </c>
      <c r="AF46" s="690">
        <f>W46+Z46+AC46</f>
        <v>1000</v>
      </c>
      <c r="AG46" s="690">
        <f>X46+AA46+AD46</f>
        <v>2000</v>
      </c>
      <c r="AH46" s="690">
        <f>R46+AE46</f>
        <v>530919</v>
      </c>
      <c r="AI46" s="690">
        <f>S46+AF46</f>
        <v>4134</v>
      </c>
      <c r="AJ46" s="690">
        <f>T46+AG46</f>
        <v>535053</v>
      </c>
    </row>
    <row r="47" spans="1:158" s="718" customFormat="1" ht="49.5" customHeight="1" thickBot="1" x14ac:dyDescent="0.75">
      <c r="A47" s="713" t="s">
        <v>4</v>
      </c>
      <c r="B47" s="714">
        <f>'[3]int.kiadások RM I'!D47</f>
        <v>2676512</v>
      </c>
      <c r="C47" s="714">
        <f>2398+15392</f>
        <v>17790</v>
      </c>
      <c r="D47" s="714">
        <f>SUM(B47:C47)</f>
        <v>2694302</v>
      </c>
      <c r="E47" s="714">
        <f>'[3]int.kiadások RM I'!G47</f>
        <v>410593</v>
      </c>
      <c r="F47" s="714">
        <f>157+2311</f>
        <v>2468</v>
      </c>
      <c r="G47" s="715">
        <f>SUM(E47:F47)</f>
        <v>413061</v>
      </c>
      <c r="H47" s="714">
        <f>'[3]int.kiadások RM I'!J47</f>
        <v>504212</v>
      </c>
      <c r="I47" s="715">
        <f>2319+1231</f>
        <v>3550</v>
      </c>
      <c r="J47" s="714">
        <f>SUM(H47:I47)</f>
        <v>507762</v>
      </c>
      <c r="K47" s="713" t="s">
        <v>4</v>
      </c>
      <c r="L47" s="714">
        <f>'[3]int.kiadások RM I'!N47</f>
        <v>0</v>
      </c>
      <c r="M47" s="715"/>
      <c r="N47" s="714">
        <f>SUM(L47:M47)</f>
        <v>0</v>
      </c>
      <c r="O47" s="715">
        <f>'[3]int.kiadások RM I'!Q47</f>
        <v>4500</v>
      </c>
      <c r="P47" s="714"/>
      <c r="Q47" s="716">
        <f>SUM(O47:P47)</f>
        <v>4500</v>
      </c>
      <c r="R47" s="694">
        <f t="shared" si="24"/>
        <v>3595817</v>
      </c>
      <c r="S47" s="717">
        <f t="shared" si="24"/>
        <v>23808</v>
      </c>
      <c r="T47" s="694">
        <f t="shared" si="24"/>
        <v>3619625</v>
      </c>
      <c r="U47" s="713" t="s">
        <v>4</v>
      </c>
      <c r="V47" s="714">
        <f>'[3]int.kiadások RM I'!X47</f>
        <v>94775</v>
      </c>
      <c r="W47" s="715">
        <v>187</v>
      </c>
      <c r="X47" s="714">
        <f>SUM(V47:W47)</f>
        <v>94962</v>
      </c>
      <c r="Y47" s="715">
        <f>'[3]int.kiadások RM I'!AA47</f>
        <v>8000</v>
      </c>
      <c r="Z47" s="714"/>
      <c r="AA47" s="715">
        <f>SUM(Y47:Z47)</f>
        <v>8000</v>
      </c>
      <c r="AB47" s="714">
        <f>'[3]int.kiadások RM I'!AD47</f>
        <v>0</v>
      </c>
      <c r="AC47" s="715"/>
      <c r="AD47" s="716">
        <f>SUM(AB47:AC47)</f>
        <v>0</v>
      </c>
      <c r="AE47" s="694">
        <f t="shared" si="25"/>
        <v>102775</v>
      </c>
      <c r="AF47" s="717">
        <f t="shared" si="25"/>
        <v>187</v>
      </c>
      <c r="AG47" s="694">
        <f t="shared" si="25"/>
        <v>102962</v>
      </c>
      <c r="AH47" s="717">
        <f t="shared" si="26"/>
        <v>3698592</v>
      </c>
      <c r="AI47" s="694">
        <f t="shared" si="26"/>
        <v>23995</v>
      </c>
      <c r="AJ47" s="694">
        <f t="shared" si="26"/>
        <v>3722587</v>
      </c>
      <c r="AK47" s="686"/>
      <c r="AL47" s="686"/>
      <c r="AM47" s="686"/>
      <c r="AN47" s="686"/>
      <c r="AO47" s="686"/>
      <c r="AP47" s="686"/>
      <c r="AQ47" s="686"/>
      <c r="AR47" s="686"/>
      <c r="AS47" s="686"/>
      <c r="AT47" s="686"/>
      <c r="AU47" s="686"/>
      <c r="AV47" s="686"/>
      <c r="AW47" s="686"/>
      <c r="AX47" s="686"/>
      <c r="AY47" s="686"/>
      <c r="AZ47" s="686"/>
      <c r="BA47" s="686"/>
      <c r="BB47" s="686"/>
      <c r="BC47" s="686"/>
      <c r="BD47" s="686"/>
      <c r="BE47" s="686"/>
      <c r="BF47" s="686"/>
      <c r="BG47" s="686"/>
      <c r="BH47" s="686"/>
      <c r="BI47" s="686"/>
      <c r="BJ47" s="686"/>
      <c r="BK47" s="686"/>
      <c r="BL47" s="686"/>
      <c r="BM47" s="686"/>
      <c r="BN47" s="686"/>
      <c r="BO47" s="686"/>
      <c r="BP47" s="686"/>
      <c r="BQ47" s="686"/>
      <c r="BR47" s="686"/>
      <c r="BS47" s="686"/>
      <c r="BT47" s="686"/>
      <c r="BU47" s="686"/>
      <c r="BV47" s="686"/>
      <c r="BW47" s="686"/>
      <c r="BX47" s="686"/>
      <c r="BY47" s="686"/>
      <c r="BZ47" s="686"/>
      <c r="CA47" s="686"/>
      <c r="CB47" s="686"/>
      <c r="CC47" s="686"/>
      <c r="CD47" s="686"/>
      <c r="CE47" s="686"/>
      <c r="CF47" s="686"/>
      <c r="CG47" s="686"/>
      <c r="CH47" s="686"/>
      <c r="CI47" s="686"/>
      <c r="CJ47" s="686"/>
      <c r="CK47" s="686"/>
      <c r="CL47" s="686"/>
      <c r="CM47" s="686"/>
      <c r="CN47" s="686"/>
      <c r="CO47" s="686"/>
      <c r="CP47" s="686"/>
      <c r="CQ47" s="686"/>
      <c r="CR47" s="686"/>
      <c r="CS47" s="686"/>
      <c r="CT47" s="686"/>
      <c r="CU47" s="686"/>
      <c r="CV47" s="686"/>
      <c r="CW47" s="686"/>
      <c r="CX47" s="686"/>
      <c r="CY47" s="686"/>
      <c r="CZ47" s="686"/>
      <c r="DA47" s="686"/>
      <c r="DB47" s="686"/>
      <c r="DC47" s="686"/>
      <c r="DD47" s="686"/>
      <c r="DE47" s="686"/>
      <c r="DF47" s="686"/>
      <c r="DG47" s="686"/>
      <c r="DH47" s="686"/>
      <c r="DI47" s="686"/>
      <c r="DJ47" s="686"/>
      <c r="DK47" s="686"/>
      <c r="DL47" s="686"/>
      <c r="DM47" s="686"/>
      <c r="DN47" s="686"/>
      <c r="DO47" s="686"/>
      <c r="DP47" s="686"/>
      <c r="DQ47" s="686"/>
      <c r="DR47" s="686"/>
      <c r="DS47" s="686"/>
      <c r="DT47" s="686"/>
      <c r="DU47" s="686"/>
      <c r="DV47" s="686"/>
      <c r="DW47" s="686"/>
      <c r="DX47" s="686"/>
      <c r="DY47" s="686"/>
      <c r="DZ47" s="686"/>
      <c r="EA47" s="686"/>
      <c r="EB47" s="686"/>
      <c r="EC47" s="686"/>
      <c r="ED47" s="686"/>
      <c r="EE47" s="686"/>
      <c r="EF47" s="686"/>
      <c r="EG47" s="686"/>
      <c r="EH47" s="686"/>
      <c r="EI47" s="686"/>
      <c r="EJ47" s="686"/>
      <c r="EK47" s="686"/>
      <c r="EL47" s="686"/>
      <c r="EM47" s="686"/>
      <c r="EN47" s="686"/>
      <c r="EO47" s="686"/>
      <c r="EP47" s="686"/>
      <c r="EQ47" s="686"/>
      <c r="ER47" s="686"/>
      <c r="ES47" s="686"/>
      <c r="ET47" s="686"/>
      <c r="EU47" s="686"/>
      <c r="EV47" s="686"/>
      <c r="EW47" s="686"/>
      <c r="EX47" s="686"/>
      <c r="EY47" s="686"/>
      <c r="EZ47" s="686"/>
      <c r="FA47" s="686"/>
      <c r="FB47" s="686"/>
    </row>
    <row r="48" spans="1:158" s="686" customFormat="1" ht="61.5" customHeight="1" thickBot="1" x14ac:dyDescent="0.75">
      <c r="A48" s="719" t="s">
        <v>773</v>
      </c>
      <c r="B48" s="698">
        <f t="shared" ref="B48:J48" si="27">SUM(B45:B47)</f>
        <v>3056097</v>
      </c>
      <c r="C48" s="698">
        <f t="shared" si="27"/>
        <v>17790</v>
      </c>
      <c r="D48" s="698">
        <f t="shared" si="27"/>
        <v>3073887</v>
      </c>
      <c r="E48" s="698">
        <f t="shared" si="27"/>
        <v>463648</v>
      </c>
      <c r="F48" s="698">
        <f t="shared" si="27"/>
        <v>2468</v>
      </c>
      <c r="G48" s="698">
        <f t="shared" si="27"/>
        <v>466116</v>
      </c>
      <c r="H48" s="698">
        <f t="shared" si="27"/>
        <v>839925</v>
      </c>
      <c r="I48" s="698">
        <f t="shared" si="27"/>
        <v>6684</v>
      </c>
      <c r="J48" s="698">
        <f t="shared" si="27"/>
        <v>846609</v>
      </c>
      <c r="K48" s="719" t="s">
        <v>773</v>
      </c>
      <c r="L48" s="698">
        <f t="shared" ref="L48:T48" si="28">SUM(L45:L47)</f>
        <v>0</v>
      </c>
      <c r="M48" s="698">
        <f t="shared" si="28"/>
        <v>0</v>
      </c>
      <c r="N48" s="698">
        <f t="shared" si="28"/>
        <v>0</v>
      </c>
      <c r="O48" s="698">
        <f t="shared" si="28"/>
        <v>4500</v>
      </c>
      <c r="P48" s="698">
        <f t="shared" si="28"/>
        <v>0</v>
      </c>
      <c r="Q48" s="698">
        <f t="shared" si="28"/>
        <v>4500</v>
      </c>
      <c r="R48" s="698">
        <f t="shared" si="28"/>
        <v>4364170</v>
      </c>
      <c r="S48" s="698">
        <f t="shared" si="28"/>
        <v>26942</v>
      </c>
      <c r="T48" s="698">
        <f t="shared" si="28"/>
        <v>4391112</v>
      </c>
      <c r="U48" s="719" t="s">
        <v>773</v>
      </c>
      <c r="V48" s="698">
        <f t="shared" ref="V48:AJ48" si="29">SUM(V45:V47)</f>
        <v>110346</v>
      </c>
      <c r="W48" s="698">
        <f t="shared" si="29"/>
        <v>1187</v>
      </c>
      <c r="X48" s="698">
        <f t="shared" si="29"/>
        <v>111533</v>
      </c>
      <c r="Y48" s="698">
        <f t="shared" si="29"/>
        <v>8000</v>
      </c>
      <c r="Z48" s="698">
        <f t="shared" si="29"/>
        <v>0</v>
      </c>
      <c r="AA48" s="698">
        <f t="shared" si="29"/>
        <v>8000</v>
      </c>
      <c r="AB48" s="698">
        <f t="shared" si="29"/>
        <v>0</v>
      </c>
      <c r="AC48" s="698">
        <f t="shared" si="29"/>
        <v>0</v>
      </c>
      <c r="AD48" s="698">
        <f t="shared" si="29"/>
        <v>0</v>
      </c>
      <c r="AE48" s="698">
        <f t="shared" si="29"/>
        <v>118346</v>
      </c>
      <c r="AF48" s="698">
        <f t="shared" si="29"/>
        <v>1187</v>
      </c>
      <c r="AG48" s="698">
        <f t="shared" si="29"/>
        <v>119533</v>
      </c>
      <c r="AH48" s="698">
        <f t="shared" si="29"/>
        <v>4482516</v>
      </c>
      <c r="AI48" s="698">
        <f t="shared" si="29"/>
        <v>28129</v>
      </c>
      <c r="AJ48" s="698">
        <f t="shared" si="29"/>
        <v>4510645</v>
      </c>
    </row>
    <row r="49" spans="1:36" s="686" customFormat="1" ht="61.5" customHeight="1" thickBot="1" x14ac:dyDescent="0.75">
      <c r="A49" s="719" t="s">
        <v>774</v>
      </c>
      <c r="B49" s="694">
        <f t="shared" ref="B49:J49" si="30">B37+B39+B41+B43+B48</f>
        <v>8623518</v>
      </c>
      <c r="C49" s="694">
        <f t="shared" si="30"/>
        <v>173899</v>
      </c>
      <c r="D49" s="694">
        <f t="shared" si="30"/>
        <v>8797417</v>
      </c>
      <c r="E49" s="694">
        <f t="shared" si="30"/>
        <v>1308747</v>
      </c>
      <c r="F49" s="694">
        <f t="shared" si="30"/>
        <v>10037</v>
      </c>
      <c r="G49" s="694">
        <f t="shared" si="30"/>
        <v>1318784</v>
      </c>
      <c r="H49" s="694">
        <f t="shared" si="30"/>
        <v>3047119</v>
      </c>
      <c r="I49" s="694">
        <f t="shared" si="30"/>
        <v>47856</v>
      </c>
      <c r="J49" s="694">
        <f t="shared" si="30"/>
        <v>3094975</v>
      </c>
      <c r="K49" s="719" t="s">
        <v>774</v>
      </c>
      <c r="L49" s="694">
        <f t="shared" ref="L49:T49" si="31">L37+L39+L41+L43+L48</f>
        <v>0</v>
      </c>
      <c r="M49" s="694">
        <f t="shared" si="31"/>
        <v>0</v>
      </c>
      <c r="N49" s="694">
        <f t="shared" si="31"/>
        <v>0</v>
      </c>
      <c r="O49" s="694">
        <f t="shared" si="31"/>
        <v>4590</v>
      </c>
      <c r="P49" s="694">
        <f t="shared" si="31"/>
        <v>0</v>
      </c>
      <c r="Q49" s="694">
        <f t="shared" si="31"/>
        <v>4590</v>
      </c>
      <c r="R49" s="694">
        <f t="shared" si="31"/>
        <v>12983974</v>
      </c>
      <c r="S49" s="694">
        <f t="shared" si="31"/>
        <v>231792</v>
      </c>
      <c r="T49" s="694">
        <f t="shared" si="31"/>
        <v>13215766</v>
      </c>
      <c r="U49" s="719" t="s">
        <v>774</v>
      </c>
      <c r="V49" s="694">
        <f t="shared" ref="V49:AJ49" si="32">V37+V39+V41+V43+V48</f>
        <v>226536</v>
      </c>
      <c r="W49" s="694">
        <f t="shared" si="32"/>
        <v>25111</v>
      </c>
      <c r="X49" s="694">
        <f t="shared" si="32"/>
        <v>251647</v>
      </c>
      <c r="Y49" s="694">
        <f t="shared" si="32"/>
        <v>66283</v>
      </c>
      <c r="Z49" s="694">
        <f t="shared" si="32"/>
        <v>-4557</v>
      </c>
      <c r="AA49" s="694">
        <f t="shared" si="32"/>
        <v>61726</v>
      </c>
      <c r="AB49" s="694">
        <f t="shared" si="32"/>
        <v>0</v>
      </c>
      <c r="AC49" s="694">
        <f t="shared" si="32"/>
        <v>0</v>
      </c>
      <c r="AD49" s="694">
        <f t="shared" si="32"/>
        <v>0</v>
      </c>
      <c r="AE49" s="694">
        <f t="shared" si="32"/>
        <v>292819</v>
      </c>
      <c r="AF49" s="694">
        <f t="shared" si="32"/>
        <v>20554</v>
      </c>
      <c r="AG49" s="694">
        <f t="shared" si="32"/>
        <v>313373</v>
      </c>
      <c r="AH49" s="694">
        <f t="shared" si="32"/>
        <v>13276793</v>
      </c>
      <c r="AI49" s="694">
        <f t="shared" si="32"/>
        <v>252346</v>
      </c>
      <c r="AJ49" s="694">
        <f t="shared" si="32"/>
        <v>13529139</v>
      </c>
    </row>
    <row r="50" spans="1:36" s="686" customFormat="1" ht="61.5" customHeight="1" thickBot="1" x14ac:dyDescent="0.75">
      <c r="A50" s="720" t="s">
        <v>775</v>
      </c>
      <c r="B50" s="697">
        <f t="shared" ref="B50:J50" si="33">B30+B49</f>
        <v>12567010</v>
      </c>
      <c r="C50" s="697">
        <f t="shared" si="33"/>
        <v>168008</v>
      </c>
      <c r="D50" s="697">
        <f t="shared" si="33"/>
        <v>12735018</v>
      </c>
      <c r="E50" s="697">
        <f t="shared" si="33"/>
        <v>1874593</v>
      </c>
      <c r="F50" s="697">
        <f t="shared" si="33"/>
        <v>6789</v>
      </c>
      <c r="G50" s="697">
        <f t="shared" si="33"/>
        <v>1881382</v>
      </c>
      <c r="H50" s="697">
        <f t="shared" si="33"/>
        <v>5475202</v>
      </c>
      <c r="I50" s="697">
        <f t="shared" si="33"/>
        <v>53469</v>
      </c>
      <c r="J50" s="697">
        <f t="shared" si="33"/>
        <v>5528671</v>
      </c>
      <c r="K50" s="720" t="s">
        <v>775</v>
      </c>
      <c r="L50" s="697">
        <f t="shared" ref="L50:T50" si="34">L30+L49</f>
        <v>0</v>
      </c>
      <c r="M50" s="697">
        <f t="shared" si="34"/>
        <v>0</v>
      </c>
      <c r="N50" s="697">
        <f t="shared" si="34"/>
        <v>0</v>
      </c>
      <c r="O50" s="697">
        <f t="shared" si="34"/>
        <v>4590</v>
      </c>
      <c r="P50" s="697">
        <f t="shared" si="34"/>
        <v>0</v>
      </c>
      <c r="Q50" s="697">
        <f t="shared" si="34"/>
        <v>4590</v>
      </c>
      <c r="R50" s="697">
        <f t="shared" si="34"/>
        <v>19921395</v>
      </c>
      <c r="S50" s="697">
        <f t="shared" si="34"/>
        <v>228266</v>
      </c>
      <c r="T50" s="697">
        <f t="shared" si="34"/>
        <v>20149661</v>
      </c>
      <c r="U50" s="720" t="s">
        <v>775</v>
      </c>
      <c r="V50" s="697">
        <f t="shared" ref="V50:AJ50" si="35">V30+V49</f>
        <v>243249</v>
      </c>
      <c r="W50" s="697">
        <f t="shared" si="35"/>
        <v>60667</v>
      </c>
      <c r="X50" s="697">
        <f t="shared" si="35"/>
        <v>303916</v>
      </c>
      <c r="Y50" s="697">
        <f t="shared" si="35"/>
        <v>74856</v>
      </c>
      <c r="Z50" s="697">
        <f t="shared" si="35"/>
        <v>36165</v>
      </c>
      <c r="AA50" s="697">
        <f t="shared" si="35"/>
        <v>111021</v>
      </c>
      <c r="AB50" s="697">
        <f t="shared" si="35"/>
        <v>0</v>
      </c>
      <c r="AC50" s="697">
        <f t="shared" si="35"/>
        <v>0</v>
      </c>
      <c r="AD50" s="697">
        <f t="shared" si="35"/>
        <v>0</v>
      </c>
      <c r="AE50" s="697">
        <f t="shared" si="35"/>
        <v>318105</v>
      </c>
      <c r="AF50" s="697">
        <f t="shared" si="35"/>
        <v>96832</v>
      </c>
      <c r="AG50" s="697">
        <f t="shared" si="35"/>
        <v>414937</v>
      </c>
      <c r="AH50" s="697">
        <f t="shared" si="35"/>
        <v>20239500</v>
      </c>
      <c r="AI50" s="697">
        <f t="shared" si="35"/>
        <v>325098</v>
      </c>
      <c r="AJ50" s="697">
        <f t="shared" si="35"/>
        <v>20564598</v>
      </c>
    </row>
    <row r="51" spans="1:36" ht="26.45" customHeight="1" x14ac:dyDescent="0.6">
      <c r="A51" s="722"/>
      <c r="K51" s="722"/>
      <c r="U51" s="722"/>
    </row>
    <row r="52" spans="1:36" ht="26.45" customHeight="1" x14ac:dyDescent="0.6">
      <c r="A52" s="722"/>
      <c r="K52" s="722"/>
      <c r="U52" s="722"/>
    </row>
  </sheetData>
  <mergeCells count="20">
    <mergeCell ref="L5:N7"/>
    <mergeCell ref="B2:J2"/>
    <mergeCell ref="L2:T2"/>
    <mergeCell ref="V2:AJ2"/>
    <mergeCell ref="B3:J3"/>
    <mergeCell ref="L3:T3"/>
    <mergeCell ref="V3:AJ3"/>
    <mergeCell ref="AE5:AG7"/>
    <mergeCell ref="AH5:AJ7"/>
    <mergeCell ref="O5:Q7"/>
    <mergeCell ref="R5:T7"/>
    <mergeCell ref="U5:U6"/>
    <mergeCell ref="V5:X7"/>
    <mergeCell ref="Y5:AA7"/>
    <mergeCell ref="AB5:AD7"/>
    <mergeCell ref="A5:A6"/>
    <mergeCell ref="B5:D7"/>
    <mergeCell ref="E5:G7"/>
    <mergeCell ref="H5:J7"/>
    <mergeCell ref="K5:K6"/>
  </mergeCells>
  <printOptions horizontalCentered="1" verticalCentered="1"/>
  <pageMargins left="0" right="0" top="0" bottom="0.59055118110236227" header="0" footer="0"/>
  <pageSetup paperSize="9" scale="18" orientation="landscape" r:id="rId1"/>
  <headerFooter alignWithMargins="0">
    <oddHeader>&amp;L&amp;14
&amp;F &amp;A&amp;R&amp;"Arial CE,Félkövér"&amp;36
 6.  melléklet a  14/2026.(IX.25.) önkormányzati rendelethez
"6. melléklet a  3/2026.(II.27.) önkormányzati rendelethez"</oddHeader>
    <oddFooter xml:space="preserve">&amp;C &amp;R
&amp;36 &amp;10
</oddFooter>
  </headerFooter>
  <colBreaks count="2" manualBreakCount="2">
    <brk id="10" max="50" man="1"/>
    <brk id="20" max="50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AD122-14C9-4F96-BA8B-6229E0D3D017}">
  <dimension ref="A1:M59"/>
  <sheetViews>
    <sheetView view="pageLayout" zoomScaleNormal="40" zoomScaleSheetLayoutView="50" workbookViewId="0">
      <selection activeCell="R8" sqref="R8"/>
    </sheetView>
  </sheetViews>
  <sheetFormatPr defaultColWidth="12" defaultRowHeight="33.75" x14ac:dyDescent="0.5"/>
  <cols>
    <col min="1" max="1" width="151" style="754" customWidth="1"/>
    <col min="2" max="3" width="50" style="754" customWidth="1"/>
    <col min="4" max="4" width="49.83203125" style="759" customWidth="1"/>
    <col min="5" max="6" width="50" style="759" customWidth="1"/>
    <col min="7" max="11" width="49.83203125" style="759" customWidth="1"/>
    <col min="12" max="12" width="26.6640625" style="759" customWidth="1"/>
    <col min="13" max="13" width="49.83203125" style="759" customWidth="1"/>
    <col min="14" max="16384" width="12" style="759"/>
  </cols>
  <sheetData>
    <row r="1" spans="1:13" s="754" customFormat="1" ht="45" customHeight="1" x14ac:dyDescent="0.6">
      <c r="A1" s="1007" t="s">
        <v>784</v>
      </c>
      <c r="B1" s="1007"/>
      <c r="C1" s="1007"/>
      <c r="D1" s="1007"/>
      <c r="E1" s="1007"/>
      <c r="F1" s="1007"/>
      <c r="G1" s="1007"/>
      <c r="H1" s="1007"/>
      <c r="I1" s="1007"/>
      <c r="J1" s="1007"/>
      <c r="K1" s="1007"/>
      <c r="L1" s="1007"/>
      <c r="M1" s="1007"/>
    </row>
    <row r="2" spans="1:13" s="754" customFormat="1" ht="44.25" customHeight="1" x14ac:dyDescent="0.6">
      <c r="A2" s="1008" t="s">
        <v>785</v>
      </c>
      <c r="B2" s="1008"/>
      <c r="C2" s="1008"/>
      <c r="D2" s="1008"/>
      <c r="E2" s="1008"/>
      <c r="F2" s="1008"/>
      <c r="G2" s="1008"/>
      <c r="H2" s="1008"/>
      <c r="I2" s="1008"/>
      <c r="J2" s="1008"/>
      <c r="K2" s="1008"/>
      <c r="L2" s="1008"/>
      <c r="M2" s="1008"/>
    </row>
    <row r="3" spans="1:13" ht="44.25" customHeight="1" thickBot="1" x14ac:dyDescent="0.55000000000000004">
      <c r="A3" s="755"/>
      <c r="B3" s="755"/>
      <c r="C3" s="755"/>
      <c r="D3" s="756"/>
      <c r="E3" s="756"/>
      <c r="F3" s="756"/>
      <c r="G3" s="756"/>
      <c r="H3" s="756"/>
      <c r="I3" s="756"/>
      <c r="J3" s="756"/>
      <c r="K3" s="756"/>
      <c r="L3" s="756"/>
      <c r="M3" s="757" t="s">
        <v>786</v>
      </c>
    </row>
    <row r="4" spans="1:13" s="754" customFormat="1" ht="45.75" customHeight="1" thickBot="1" x14ac:dyDescent="0.55000000000000004">
      <c r="A4" s="760" t="s">
        <v>787</v>
      </c>
      <c r="B4" s="761"/>
      <c r="C4" s="761"/>
      <c r="D4" s="1009" t="s">
        <v>737</v>
      </c>
      <c r="E4" s="1012" t="s">
        <v>738</v>
      </c>
      <c r="F4" s="1009" t="s">
        <v>739</v>
      </c>
      <c r="G4" s="1014" t="s">
        <v>788</v>
      </c>
      <c r="H4" s="1015"/>
      <c r="I4" s="1015"/>
      <c r="J4" s="1015"/>
      <c r="K4" s="1015"/>
      <c r="L4" s="1015"/>
      <c r="M4" s="1016"/>
    </row>
    <row r="5" spans="1:13" s="754" customFormat="1" ht="149.25" customHeight="1" thickBot="1" x14ac:dyDescent="0.55000000000000004">
      <c r="A5" s="763"/>
      <c r="B5" s="764" t="s">
        <v>789</v>
      </c>
      <c r="C5" s="764" t="s">
        <v>790</v>
      </c>
      <c r="D5" s="1010"/>
      <c r="E5" s="1013"/>
      <c r="F5" s="1010"/>
      <c r="G5" s="762" t="s">
        <v>791</v>
      </c>
      <c r="H5" s="765" t="s">
        <v>792</v>
      </c>
      <c r="I5" s="765" t="s">
        <v>793</v>
      </c>
      <c r="J5" s="766" t="s">
        <v>794</v>
      </c>
      <c r="K5" s="1017" t="s">
        <v>795</v>
      </c>
      <c r="L5" s="1018"/>
      <c r="M5" s="767" t="s">
        <v>796</v>
      </c>
    </row>
    <row r="6" spans="1:13" s="754" customFormat="1" ht="102.75" customHeight="1" thickBot="1" x14ac:dyDescent="0.55000000000000004">
      <c r="A6" s="768"/>
      <c r="B6" s="768"/>
      <c r="C6" s="768"/>
      <c r="D6" s="1011"/>
      <c r="E6" s="769"/>
      <c r="F6" s="1011"/>
      <c r="G6" s="770"/>
      <c r="H6" s="771"/>
      <c r="I6" s="772"/>
      <c r="J6" s="772"/>
      <c r="K6" s="766"/>
      <c r="L6" s="773" t="s">
        <v>797</v>
      </c>
      <c r="M6" s="767"/>
    </row>
    <row r="7" spans="1:13" s="780" customFormat="1" ht="145.5" customHeight="1" x14ac:dyDescent="0.5">
      <c r="A7" s="774" t="s">
        <v>798</v>
      </c>
      <c r="B7" s="774"/>
      <c r="C7" s="774"/>
      <c r="D7" s="775"/>
      <c r="E7" s="776"/>
      <c r="F7" s="775"/>
      <c r="G7" s="777"/>
      <c r="H7" s="778"/>
      <c r="I7" s="779"/>
      <c r="J7" s="779"/>
      <c r="K7" s="779"/>
      <c r="L7" s="779"/>
      <c r="M7" s="777"/>
    </row>
    <row r="8" spans="1:13" s="788" customFormat="1" ht="45.75" customHeight="1" x14ac:dyDescent="0.55000000000000004">
      <c r="A8" s="781" t="s">
        <v>741</v>
      </c>
      <c r="B8" s="782">
        <f>'[5]2026 évi nyitó létszám KGY'!B8</f>
        <v>34</v>
      </c>
      <c r="C8" s="782">
        <f>'[6]létszám ei mód RM I. int. '!C8</f>
        <v>33</v>
      </c>
      <c r="D8" s="783">
        <f>'[6]létszám ei mód RM I. int. '!E8</f>
        <v>33</v>
      </c>
      <c r="E8" s="784"/>
      <c r="F8" s="785">
        <f>D8+E8</f>
        <v>33</v>
      </c>
      <c r="G8" s="786"/>
      <c r="H8" s="787"/>
      <c r="I8" s="787"/>
      <c r="J8" s="787">
        <v>33</v>
      </c>
      <c r="K8" s="787"/>
      <c r="L8" s="787"/>
      <c r="M8" s="786"/>
    </row>
    <row r="9" spans="1:13" s="788" customFormat="1" ht="45.75" customHeight="1" x14ac:dyDescent="0.55000000000000004">
      <c r="A9" s="789" t="s">
        <v>742</v>
      </c>
      <c r="B9" s="790">
        <f>'[5]2026 évi nyitó létszám KGY'!B9</f>
        <v>24</v>
      </c>
      <c r="C9" s="790">
        <f>'[6]létszám ei mód RM I. int. '!C9</f>
        <v>23</v>
      </c>
      <c r="D9" s="791">
        <f>'[6]létszám ei mód RM I. int. '!E9</f>
        <v>23</v>
      </c>
      <c r="E9" s="792"/>
      <c r="F9" s="793">
        <f t="shared" ref="F9:F25" si="0">D9+E9</f>
        <v>23</v>
      </c>
      <c r="G9" s="794"/>
      <c r="H9" s="795"/>
      <c r="I9" s="795"/>
      <c r="J9" s="795">
        <v>23</v>
      </c>
      <c r="K9" s="796"/>
      <c r="L9" s="797"/>
      <c r="M9" s="796"/>
    </row>
    <row r="10" spans="1:13" s="788" customFormat="1" ht="45.75" customHeight="1" x14ac:dyDescent="0.55000000000000004">
      <c r="A10" s="789" t="s">
        <v>743</v>
      </c>
      <c r="B10" s="782">
        <f>'[5]2026 évi nyitó létszám KGY'!B10</f>
        <v>24</v>
      </c>
      <c r="C10" s="782">
        <f>'[6]létszám ei mód RM I. int. '!C10</f>
        <v>23</v>
      </c>
      <c r="D10" s="783">
        <f>'[6]létszám ei mód RM I. int. '!E10</f>
        <v>23</v>
      </c>
      <c r="E10" s="798"/>
      <c r="F10" s="799">
        <f t="shared" si="0"/>
        <v>23</v>
      </c>
      <c r="G10" s="800"/>
      <c r="H10" s="801"/>
      <c r="I10" s="797"/>
      <c r="J10" s="797">
        <v>23</v>
      </c>
      <c r="K10" s="787"/>
      <c r="L10" s="787"/>
      <c r="M10" s="786"/>
    </row>
    <row r="11" spans="1:13" s="788" customFormat="1" ht="45.75" customHeight="1" x14ac:dyDescent="0.55000000000000004">
      <c r="A11" s="789" t="s">
        <v>744</v>
      </c>
      <c r="B11" s="790">
        <f>'[5]2026 évi nyitó létszám KGY'!B11</f>
        <v>29</v>
      </c>
      <c r="C11" s="790">
        <f>'[6]létszám ei mód RM I. int. '!C11</f>
        <v>28</v>
      </c>
      <c r="D11" s="791">
        <f>'[6]létszám ei mód RM I. int. '!E11</f>
        <v>28</v>
      </c>
      <c r="E11" s="784"/>
      <c r="F11" s="785">
        <f t="shared" si="0"/>
        <v>28</v>
      </c>
      <c r="G11" s="786"/>
      <c r="H11" s="787"/>
      <c r="I11" s="787"/>
      <c r="J11" s="787">
        <v>28</v>
      </c>
      <c r="K11" s="796"/>
      <c r="L11" s="797"/>
      <c r="M11" s="796"/>
    </row>
    <row r="12" spans="1:13" s="788" customFormat="1" ht="45.75" customHeight="1" x14ac:dyDescent="0.55000000000000004">
      <c r="A12" s="789" t="s">
        <v>745</v>
      </c>
      <c r="B12" s="790">
        <f>'[5]2026 évi nyitó létszám KGY'!B12</f>
        <v>28</v>
      </c>
      <c r="C12" s="790">
        <f>'[6]létszám ei mód RM I. int. '!C12</f>
        <v>26</v>
      </c>
      <c r="D12" s="791">
        <f>'[6]létszám ei mód RM I. int. '!E12</f>
        <v>26</v>
      </c>
      <c r="E12" s="792"/>
      <c r="F12" s="793">
        <f t="shared" si="0"/>
        <v>26</v>
      </c>
      <c r="G12" s="794"/>
      <c r="H12" s="795"/>
      <c r="I12" s="795"/>
      <c r="J12" s="795">
        <v>26</v>
      </c>
      <c r="K12" s="796"/>
      <c r="L12" s="787"/>
      <c r="M12" s="796"/>
    </row>
    <row r="13" spans="1:13" s="788" customFormat="1" ht="45.75" customHeight="1" x14ac:dyDescent="0.55000000000000004">
      <c r="A13" s="789" t="s">
        <v>746</v>
      </c>
      <c r="B13" s="790">
        <f>'[5]2026 évi nyitó létszám KGY'!B13</f>
        <v>24</v>
      </c>
      <c r="C13" s="790">
        <f>'[6]létszám ei mód RM I. int. '!C13</f>
        <v>23</v>
      </c>
      <c r="D13" s="791">
        <f>'[6]létszám ei mód RM I. int. '!E13</f>
        <v>23</v>
      </c>
      <c r="E13" s="798">
        <v>-1</v>
      </c>
      <c r="F13" s="799">
        <f t="shared" si="0"/>
        <v>22</v>
      </c>
      <c r="G13" s="796"/>
      <c r="H13" s="797"/>
      <c r="I13" s="797"/>
      <c r="J13" s="797">
        <v>22</v>
      </c>
      <c r="K13" s="796"/>
      <c r="L13" s="797"/>
      <c r="M13" s="796"/>
    </row>
    <row r="14" spans="1:13" s="788" customFormat="1" ht="45.75" customHeight="1" x14ac:dyDescent="0.55000000000000004">
      <c r="A14" s="789" t="s">
        <v>783</v>
      </c>
      <c r="B14" s="790">
        <f>'[5]2026 évi nyitó létszám KGY'!B14</f>
        <v>19</v>
      </c>
      <c r="C14" s="790">
        <f>'[6]létszám ei mód RM I. int. '!C14</f>
        <v>18</v>
      </c>
      <c r="D14" s="791">
        <f>'[6]létszám ei mód RM I. int. '!E14</f>
        <v>18</v>
      </c>
      <c r="E14" s="792"/>
      <c r="F14" s="793">
        <f t="shared" si="0"/>
        <v>18</v>
      </c>
      <c r="G14" s="794"/>
      <c r="H14" s="795"/>
      <c r="I14" s="795"/>
      <c r="J14" s="795">
        <v>18</v>
      </c>
      <c r="K14" s="796"/>
      <c r="L14" s="787"/>
      <c r="M14" s="796"/>
    </row>
    <row r="15" spans="1:13" s="788" customFormat="1" ht="45.75" customHeight="1" x14ac:dyDescent="0.55000000000000004">
      <c r="A15" s="789" t="s">
        <v>748</v>
      </c>
      <c r="B15" s="790">
        <f>'[5]2026 évi nyitó létszám KGY'!B15</f>
        <v>19</v>
      </c>
      <c r="C15" s="790">
        <f>'[6]létszám ei mód RM I. int. '!C15</f>
        <v>18.5</v>
      </c>
      <c r="D15" s="791">
        <f>'[6]létszám ei mód RM I. int. '!E15</f>
        <v>18.5</v>
      </c>
      <c r="E15" s="798"/>
      <c r="F15" s="799">
        <f t="shared" si="0"/>
        <v>18.5</v>
      </c>
      <c r="G15" s="796"/>
      <c r="H15" s="797"/>
      <c r="I15" s="797"/>
      <c r="J15" s="797">
        <v>18</v>
      </c>
      <c r="K15" s="796">
        <v>0.5</v>
      </c>
      <c r="L15" s="797"/>
      <c r="M15" s="796"/>
    </row>
    <row r="16" spans="1:13" s="788" customFormat="1" ht="45.75" customHeight="1" x14ac:dyDescent="0.55000000000000004">
      <c r="A16" s="789" t="s">
        <v>799</v>
      </c>
      <c r="B16" s="790">
        <f>'[5]2026 évi nyitó létszám KGY'!B16</f>
        <v>28</v>
      </c>
      <c r="C16" s="790">
        <f>'[6]létszám ei mód RM I. int. '!C16</f>
        <v>28.5</v>
      </c>
      <c r="D16" s="791">
        <f>'[6]létszám ei mód RM I. int. '!E16</f>
        <v>28.5</v>
      </c>
      <c r="E16" s="792"/>
      <c r="F16" s="793">
        <f t="shared" si="0"/>
        <v>28.5</v>
      </c>
      <c r="G16" s="802"/>
      <c r="H16" s="803"/>
      <c r="I16" s="795"/>
      <c r="J16" s="795">
        <v>28</v>
      </c>
      <c r="K16" s="796">
        <v>0.5</v>
      </c>
      <c r="L16" s="787"/>
      <c r="M16" s="796"/>
    </row>
    <row r="17" spans="1:13" s="788" customFormat="1" ht="45.75" customHeight="1" x14ac:dyDescent="0.55000000000000004">
      <c r="A17" s="789" t="s">
        <v>750</v>
      </c>
      <c r="B17" s="790">
        <f>'[5]2026 évi nyitó létszám KGY'!B17</f>
        <v>31</v>
      </c>
      <c r="C17" s="790">
        <f>'[6]létszám ei mód RM I. int. '!C17</f>
        <v>30.5</v>
      </c>
      <c r="D17" s="791">
        <f>'[6]létszám ei mód RM I. int. '!E17</f>
        <v>30.5</v>
      </c>
      <c r="E17" s="798"/>
      <c r="F17" s="799">
        <f t="shared" si="0"/>
        <v>30.5</v>
      </c>
      <c r="G17" s="796"/>
      <c r="H17" s="797"/>
      <c r="I17" s="797"/>
      <c r="J17" s="797">
        <v>30</v>
      </c>
      <c r="K17" s="796">
        <v>0.5</v>
      </c>
      <c r="L17" s="797"/>
      <c r="M17" s="796"/>
    </row>
    <row r="18" spans="1:13" s="788" customFormat="1" ht="45.75" customHeight="1" x14ac:dyDescent="0.55000000000000004">
      <c r="A18" s="789" t="s">
        <v>751</v>
      </c>
      <c r="B18" s="790">
        <f>'[5]2026 évi nyitó létszám KGY'!B18</f>
        <v>16</v>
      </c>
      <c r="C18" s="790">
        <f>'[6]létszám ei mód RM I. int. '!C18</f>
        <v>15</v>
      </c>
      <c r="D18" s="791">
        <f>'[6]létszám ei mód RM I. int. '!E18</f>
        <v>15</v>
      </c>
      <c r="E18" s="792">
        <v>1</v>
      </c>
      <c r="F18" s="793">
        <f t="shared" si="0"/>
        <v>16</v>
      </c>
      <c r="G18" s="794"/>
      <c r="H18" s="795"/>
      <c r="I18" s="795"/>
      <c r="J18" s="795">
        <v>16</v>
      </c>
      <c r="K18" s="796"/>
      <c r="L18" s="787"/>
      <c r="M18" s="796"/>
    </row>
    <row r="19" spans="1:13" s="788" customFormat="1" ht="45.75" customHeight="1" x14ac:dyDescent="0.55000000000000004">
      <c r="A19" s="789" t="s">
        <v>752</v>
      </c>
      <c r="B19" s="790">
        <f>'[5]2026 évi nyitó létszám KGY'!B19</f>
        <v>15</v>
      </c>
      <c r="C19" s="790">
        <f>'[6]létszám ei mód RM I. int. '!C19</f>
        <v>14</v>
      </c>
      <c r="D19" s="791">
        <f>'[6]létszám ei mód RM I. int. '!E19</f>
        <v>14</v>
      </c>
      <c r="E19" s="804"/>
      <c r="F19" s="799">
        <f t="shared" si="0"/>
        <v>14</v>
      </c>
      <c r="G19" s="796"/>
      <c r="H19" s="797"/>
      <c r="I19" s="797"/>
      <c r="J19" s="797">
        <v>14</v>
      </c>
      <c r="K19" s="796"/>
      <c r="L19" s="797"/>
      <c r="M19" s="805"/>
    </row>
    <row r="20" spans="1:13" s="788" customFormat="1" ht="45.75" customHeight="1" x14ac:dyDescent="0.55000000000000004">
      <c r="A20" s="789" t="s">
        <v>753</v>
      </c>
      <c r="B20" s="790">
        <f>'[5]2026 évi nyitó létszám KGY'!B20</f>
        <v>20</v>
      </c>
      <c r="C20" s="790">
        <f>'[6]létszám ei mód RM I. int. '!C20</f>
        <v>19</v>
      </c>
      <c r="D20" s="791">
        <f>'[6]létszám ei mód RM I. int. '!E20</f>
        <v>19</v>
      </c>
      <c r="E20" s="792"/>
      <c r="F20" s="793">
        <f t="shared" si="0"/>
        <v>19</v>
      </c>
      <c r="G20" s="794"/>
      <c r="H20" s="795"/>
      <c r="I20" s="795"/>
      <c r="J20" s="795">
        <v>19</v>
      </c>
      <c r="K20" s="796"/>
      <c r="L20" s="787"/>
      <c r="M20" s="796"/>
    </row>
    <row r="21" spans="1:13" s="788" customFormat="1" ht="45.75" customHeight="1" x14ac:dyDescent="0.55000000000000004">
      <c r="A21" s="789" t="s">
        <v>754</v>
      </c>
      <c r="B21" s="790">
        <f>'[5]2026 évi nyitó létszám KGY'!B21</f>
        <v>21</v>
      </c>
      <c r="C21" s="790">
        <f>'[6]létszám ei mód RM I. int. '!C21</f>
        <v>20.5</v>
      </c>
      <c r="D21" s="791">
        <f>'[6]létszám ei mód RM I. int. '!E21</f>
        <v>20.5</v>
      </c>
      <c r="E21" s="798">
        <v>1</v>
      </c>
      <c r="F21" s="799">
        <f t="shared" si="0"/>
        <v>21.5</v>
      </c>
      <c r="G21" s="796"/>
      <c r="H21" s="797"/>
      <c r="I21" s="797"/>
      <c r="J21" s="797">
        <v>21</v>
      </c>
      <c r="K21" s="796">
        <v>0.5</v>
      </c>
      <c r="L21" s="796"/>
      <c r="M21" s="796"/>
    </row>
    <row r="22" spans="1:13" s="788" customFormat="1" ht="45.75" customHeight="1" x14ac:dyDescent="0.55000000000000004">
      <c r="A22" s="789" t="s">
        <v>755</v>
      </c>
      <c r="B22" s="790">
        <f>'[5]2026 évi nyitó létszám KGY'!B22</f>
        <v>32</v>
      </c>
      <c r="C22" s="790">
        <f>'[6]létszám ei mód RM I. int. '!C22</f>
        <v>31.5</v>
      </c>
      <c r="D22" s="791">
        <f>'[6]létszám ei mód RM I. int. '!E22</f>
        <v>31.5</v>
      </c>
      <c r="E22" s="792"/>
      <c r="F22" s="793">
        <f t="shared" si="0"/>
        <v>31.5</v>
      </c>
      <c r="G22" s="794"/>
      <c r="H22" s="795"/>
      <c r="I22" s="795"/>
      <c r="J22" s="795">
        <v>31</v>
      </c>
      <c r="K22" s="796">
        <v>0.5</v>
      </c>
      <c r="L22" s="797"/>
      <c r="M22" s="796"/>
    </row>
    <row r="23" spans="1:13" s="788" customFormat="1" ht="45.75" customHeight="1" x14ac:dyDescent="0.55000000000000004">
      <c r="A23" s="789" t="s">
        <v>756</v>
      </c>
      <c r="B23" s="790">
        <f>'[5]2026 évi nyitó létszám KGY'!B23</f>
        <v>24</v>
      </c>
      <c r="C23" s="790">
        <f>'[6]létszám ei mód RM I. int. '!C23</f>
        <v>23</v>
      </c>
      <c r="D23" s="791">
        <f>'[6]létszám ei mód RM I. int. '!E23</f>
        <v>23</v>
      </c>
      <c r="E23" s="798"/>
      <c r="F23" s="799">
        <f t="shared" si="0"/>
        <v>23</v>
      </c>
      <c r="G23" s="796"/>
      <c r="H23" s="797"/>
      <c r="I23" s="797"/>
      <c r="J23" s="797">
        <v>23</v>
      </c>
      <c r="K23" s="796"/>
      <c r="L23" s="787"/>
      <c r="M23" s="796"/>
    </row>
    <row r="24" spans="1:13" s="788" customFormat="1" ht="45.75" customHeight="1" x14ac:dyDescent="0.55000000000000004">
      <c r="A24" s="781" t="s">
        <v>757</v>
      </c>
      <c r="B24" s="806">
        <f>'[5]2026 évi nyitó létszám KGY'!B24</f>
        <v>18</v>
      </c>
      <c r="C24" s="806">
        <f>'[6]létszám ei mód RM I. int. '!C24</f>
        <v>17</v>
      </c>
      <c r="D24" s="791">
        <f>'[6]létszám ei mód RM I. int. '!E24</f>
        <v>17</v>
      </c>
      <c r="E24" s="807"/>
      <c r="F24" s="808">
        <f t="shared" si="0"/>
        <v>17</v>
      </c>
      <c r="G24" s="809"/>
      <c r="H24" s="810"/>
      <c r="I24" s="810"/>
      <c r="J24" s="810">
        <v>17</v>
      </c>
      <c r="K24" s="796"/>
      <c r="L24" s="797"/>
      <c r="M24" s="796"/>
    </row>
    <row r="25" spans="1:13" s="788" customFormat="1" ht="45.75" customHeight="1" thickBot="1" x14ac:dyDescent="0.6">
      <c r="A25" s="811" t="s">
        <v>758</v>
      </c>
      <c r="B25" s="782">
        <f>'[5]2026 évi nyitó létszám KGY'!B25</f>
        <v>13</v>
      </c>
      <c r="C25" s="782">
        <f>'[6]létszám ei mód RM I. int. '!C25</f>
        <v>11.5</v>
      </c>
      <c r="D25" s="783">
        <f>'[6]létszám ei mód RM I. int. '!E25</f>
        <v>11.5</v>
      </c>
      <c r="E25" s="812"/>
      <c r="F25" s="785">
        <f t="shared" si="0"/>
        <v>11.5</v>
      </c>
      <c r="G25" s="813"/>
      <c r="H25" s="787"/>
      <c r="I25" s="787"/>
      <c r="J25" s="787">
        <v>11.5</v>
      </c>
      <c r="K25" s="787"/>
      <c r="L25" s="787"/>
      <c r="M25" s="814"/>
    </row>
    <row r="26" spans="1:13" s="788" customFormat="1" ht="45.75" customHeight="1" thickBot="1" x14ac:dyDescent="0.6">
      <c r="A26" s="815" t="s">
        <v>800</v>
      </c>
      <c r="B26" s="816">
        <f t="shared" ref="B26:M26" si="1">SUM(B8:B25)</f>
        <v>419</v>
      </c>
      <c r="C26" s="816">
        <f t="shared" si="1"/>
        <v>403</v>
      </c>
      <c r="D26" s="816">
        <f t="shared" si="1"/>
        <v>403</v>
      </c>
      <c r="E26" s="817">
        <f t="shared" si="1"/>
        <v>1</v>
      </c>
      <c r="F26" s="818">
        <f t="shared" si="1"/>
        <v>404</v>
      </c>
      <c r="G26" s="818">
        <f t="shared" si="1"/>
        <v>0</v>
      </c>
      <c r="H26" s="818">
        <f t="shared" si="1"/>
        <v>0</v>
      </c>
      <c r="I26" s="818">
        <f t="shared" si="1"/>
        <v>0</v>
      </c>
      <c r="J26" s="818">
        <f t="shared" si="1"/>
        <v>401.5</v>
      </c>
      <c r="K26" s="818">
        <f t="shared" si="1"/>
        <v>2.5</v>
      </c>
      <c r="L26" s="818">
        <f t="shared" si="1"/>
        <v>0</v>
      </c>
      <c r="M26" s="818">
        <f t="shared" si="1"/>
        <v>0</v>
      </c>
    </row>
    <row r="27" spans="1:13" s="788" customFormat="1" ht="44.25" customHeight="1" thickBot="1" x14ac:dyDescent="0.6">
      <c r="A27" s="820" t="s">
        <v>666</v>
      </c>
      <c r="B27" s="783">
        <f>'[5]2026 évi nyitó létszám KGY'!B27</f>
        <v>44</v>
      </c>
      <c r="C27" s="783">
        <f>'[6]létszám ei mód RM I. int. '!C27</f>
        <v>49</v>
      </c>
      <c r="D27" s="783">
        <f>'[6]létszám ei mód RM I. int. '!E27</f>
        <v>49</v>
      </c>
      <c r="E27" s="821"/>
      <c r="F27" s="793">
        <f>D27+E27</f>
        <v>49</v>
      </c>
      <c r="G27" s="787"/>
      <c r="H27" s="787"/>
      <c r="I27" s="787">
        <v>49</v>
      </c>
      <c r="J27" s="787"/>
      <c r="K27" s="810"/>
      <c r="L27" s="822"/>
      <c r="M27" s="810"/>
    </row>
    <row r="28" spans="1:13" s="788" customFormat="1" ht="42.75" customHeight="1" thickBot="1" x14ac:dyDescent="0.6">
      <c r="A28" s="815" t="s">
        <v>801</v>
      </c>
      <c r="B28" s="823">
        <f t="shared" ref="B28:C28" si="2">SUM(B26:B27)</f>
        <v>463</v>
      </c>
      <c r="C28" s="823">
        <f t="shared" si="2"/>
        <v>452</v>
      </c>
      <c r="D28" s="823">
        <f>SUM(D26:D27)</f>
        <v>452</v>
      </c>
      <c r="E28" s="824">
        <f>E27+E26</f>
        <v>1</v>
      </c>
      <c r="F28" s="818">
        <f t="shared" ref="F28" si="3">F27+F26</f>
        <v>453</v>
      </c>
      <c r="G28" s="819">
        <f>G27+G26</f>
        <v>0</v>
      </c>
      <c r="H28" s="819">
        <f>H27+H26</f>
        <v>0</v>
      </c>
      <c r="I28" s="819">
        <f>SUM(I26:I27)</f>
        <v>49</v>
      </c>
      <c r="J28" s="819">
        <f>SUM(J26:J27)</f>
        <v>401.5</v>
      </c>
      <c r="K28" s="819">
        <f t="shared" ref="K28:M28" si="4">K27+K26</f>
        <v>2.5</v>
      </c>
      <c r="L28" s="819">
        <f t="shared" si="4"/>
        <v>0</v>
      </c>
      <c r="M28" s="819">
        <f t="shared" si="4"/>
        <v>0</v>
      </c>
    </row>
    <row r="29" spans="1:13" s="788" customFormat="1" ht="42.75" customHeight="1" x14ac:dyDescent="0.55000000000000004">
      <c r="A29" s="825" t="s">
        <v>802</v>
      </c>
      <c r="B29" s="826"/>
      <c r="C29" s="826"/>
      <c r="D29" s="827"/>
      <c r="E29" s="828"/>
      <c r="F29" s="785"/>
      <c r="G29" s="829"/>
      <c r="H29" s="829"/>
      <c r="I29" s="829"/>
      <c r="J29" s="829"/>
      <c r="K29" s="829"/>
      <c r="L29" s="829"/>
      <c r="M29" s="829"/>
    </row>
    <row r="30" spans="1:13" s="788" customFormat="1" ht="45.75" customHeight="1" x14ac:dyDescent="0.55000000000000004">
      <c r="A30" s="774" t="s">
        <v>803</v>
      </c>
      <c r="B30" s="830"/>
      <c r="C30" s="830"/>
      <c r="D30" s="831"/>
      <c r="E30" s="828"/>
      <c r="F30" s="785"/>
      <c r="G30" s="829"/>
      <c r="H30" s="829"/>
      <c r="I30" s="829"/>
      <c r="J30" s="829"/>
      <c r="K30" s="808"/>
      <c r="L30" s="832"/>
      <c r="M30" s="829"/>
    </row>
    <row r="31" spans="1:13" s="788" customFormat="1" ht="44.25" customHeight="1" x14ac:dyDescent="0.55000000000000004">
      <c r="A31" s="789" t="s">
        <v>96</v>
      </c>
      <c r="B31" s="790">
        <f>'[5]2026 évi nyitó létszám KGY'!B31</f>
        <v>19.75</v>
      </c>
      <c r="C31" s="790">
        <f>'[6]létszám ei mód RM I. int. '!C31</f>
        <v>19.75</v>
      </c>
      <c r="D31" s="791">
        <f>'[6]létszám ei mód RM I. int. '!E31</f>
        <v>19.75</v>
      </c>
      <c r="E31" s="833"/>
      <c r="F31" s="799">
        <f t="shared" ref="F31:F34" si="5">D31+E31</f>
        <v>19.75</v>
      </c>
      <c r="G31" s="797"/>
      <c r="H31" s="797"/>
      <c r="I31" s="797"/>
      <c r="J31" s="797"/>
      <c r="K31" s="787">
        <v>19.75</v>
      </c>
      <c r="L31" s="787"/>
      <c r="M31" s="797"/>
    </row>
    <row r="32" spans="1:13" s="788" customFormat="1" ht="44.25" customHeight="1" x14ac:dyDescent="0.55000000000000004">
      <c r="A32" s="789" t="s">
        <v>763</v>
      </c>
      <c r="B32" s="790">
        <f>'[5]2026 évi nyitó létszám KGY'!B32</f>
        <v>84.5</v>
      </c>
      <c r="C32" s="790">
        <f>'[6]létszám ei mód RM I. int. '!C32</f>
        <v>84.5</v>
      </c>
      <c r="D32" s="791">
        <f>'[6]létszám ei mód RM I. int. '!E32</f>
        <v>84.5</v>
      </c>
      <c r="E32" s="833"/>
      <c r="F32" s="799">
        <f t="shared" si="5"/>
        <v>84.5</v>
      </c>
      <c r="G32" s="797"/>
      <c r="H32" s="797"/>
      <c r="I32" s="797"/>
      <c r="J32" s="797"/>
      <c r="K32" s="796">
        <v>84.5</v>
      </c>
      <c r="L32" s="797"/>
      <c r="M32" s="796"/>
    </row>
    <row r="33" spans="1:13" s="788" customFormat="1" ht="44.25" customHeight="1" x14ac:dyDescent="0.55000000000000004">
      <c r="A33" s="789" t="s">
        <v>764</v>
      </c>
      <c r="B33" s="790">
        <f>'[5]2026 évi nyitó létszám KGY'!B33</f>
        <v>46</v>
      </c>
      <c r="C33" s="790">
        <f>'[6]létszám ei mód RM I. int. '!C33</f>
        <v>46</v>
      </c>
      <c r="D33" s="791">
        <f>'[6]létszám ei mód RM I. int. '!E33</f>
        <v>46</v>
      </c>
      <c r="E33" s="833"/>
      <c r="F33" s="799">
        <f t="shared" si="5"/>
        <v>46</v>
      </c>
      <c r="G33" s="797"/>
      <c r="H33" s="797"/>
      <c r="I33" s="797"/>
      <c r="J33" s="797"/>
      <c r="K33" s="796">
        <v>46</v>
      </c>
      <c r="L33" s="797"/>
      <c r="M33" s="797"/>
    </row>
    <row r="34" spans="1:13" s="788" customFormat="1" ht="44.25" customHeight="1" thickBot="1" x14ac:dyDescent="0.6">
      <c r="A34" s="834" t="s">
        <v>453</v>
      </c>
      <c r="B34" s="835">
        <f>'[5]2026 évi nyitó létszám KGY'!B34</f>
        <v>100.75</v>
      </c>
      <c r="C34" s="835">
        <f>'[6]létszám ei mód RM I. int. '!C34</f>
        <v>100.75</v>
      </c>
      <c r="D34" s="836">
        <f>'[6]létszám ei mód RM I. int. '!E34</f>
        <v>100.75</v>
      </c>
      <c r="E34" s="821"/>
      <c r="F34" s="785">
        <f t="shared" si="5"/>
        <v>100.75</v>
      </c>
      <c r="G34" s="787"/>
      <c r="H34" s="787"/>
      <c r="I34" s="787"/>
      <c r="J34" s="787"/>
      <c r="K34" s="787">
        <v>100.75</v>
      </c>
      <c r="L34" s="787"/>
      <c r="M34" s="787"/>
    </row>
    <row r="35" spans="1:13" s="788" customFormat="1" ht="44.25" customHeight="1" thickBot="1" x14ac:dyDescent="0.6">
      <c r="A35" s="815" t="s">
        <v>804</v>
      </c>
      <c r="B35" s="823">
        <f t="shared" ref="B35:M35" si="6">SUM(B31:B34)</f>
        <v>251</v>
      </c>
      <c r="C35" s="823">
        <f t="shared" si="6"/>
        <v>251</v>
      </c>
      <c r="D35" s="823">
        <f t="shared" si="6"/>
        <v>251</v>
      </c>
      <c r="E35" s="824">
        <f t="shared" si="6"/>
        <v>0</v>
      </c>
      <c r="F35" s="818">
        <f t="shared" si="6"/>
        <v>251</v>
      </c>
      <c r="G35" s="819">
        <f t="shared" si="6"/>
        <v>0</v>
      </c>
      <c r="H35" s="819">
        <f t="shared" si="6"/>
        <v>0</v>
      </c>
      <c r="I35" s="819">
        <f t="shared" si="6"/>
        <v>0</v>
      </c>
      <c r="J35" s="819">
        <f t="shared" si="6"/>
        <v>0</v>
      </c>
      <c r="K35" s="819">
        <f t="shared" si="6"/>
        <v>251</v>
      </c>
      <c r="L35" s="819">
        <f t="shared" si="6"/>
        <v>0</v>
      </c>
      <c r="M35" s="818">
        <f t="shared" si="6"/>
        <v>0</v>
      </c>
    </row>
    <row r="36" spans="1:13" s="788" customFormat="1" ht="45.75" customHeight="1" x14ac:dyDescent="0.55000000000000004">
      <c r="A36" s="825" t="s">
        <v>766</v>
      </c>
      <c r="B36" s="837"/>
      <c r="C36" s="837"/>
      <c r="D36" s="838"/>
      <c r="E36" s="839"/>
      <c r="F36" s="840"/>
      <c r="G36" s="841"/>
      <c r="H36" s="841"/>
      <c r="I36" s="841"/>
      <c r="J36" s="841"/>
      <c r="K36" s="841"/>
      <c r="L36" s="841"/>
      <c r="M36" s="841"/>
    </row>
    <row r="37" spans="1:13" s="788" customFormat="1" ht="69" thickBot="1" x14ac:dyDescent="0.6">
      <c r="A37" s="842" t="s">
        <v>469</v>
      </c>
      <c r="B37" s="843">
        <f>'[5]2026 évi nyitó létszám KGY'!B37</f>
        <v>182.75</v>
      </c>
      <c r="C37" s="843">
        <f>'[6]létszám ei mód RM I. int. '!C37</f>
        <v>181.75</v>
      </c>
      <c r="D37" s="783">
        <f>'[6]létszám ei mód RM I. int. '!E37</f>
        <v>181.75</v>
      </c>
      <c r="E37" s="844"/>
      <c r="F37" s="808">
        <f>D37+E37</f>
        <v>181.75</v>
      </c>
      <c r="G37" s="810"/>
      <c r="H37" s="810"/>
      <c r="I37" s="810">
        <v>181.75</v>
      </c>
      <c r="J37" s="810"/>
      <c r="K37" s="787"/>
      <c r="L37" s="787"/>
      <c r="M37" s="845"/>
    </row>
    <row r="38" spans="1:13" s="788" customFormat="1" ht="44.25" customHeight="1" x14ac:dyDescent="0.55000000000000004">
      <c r="A38" s="825" t="s">
        <v>768</v>
      </c>
      <c r="B38" s="837"/>
      <c r="C38" s="837"/>
      <c r="D38" s="838"/>
      <c r="E38" s="839"/>
      <c r="F38" s="840"/>
      <c r="G38" s="841"/>
      <c r="H38" s="841"/>
      <c r="I38" s="841"/>
      <c r="J38" s="841"/>
      <c r="K38" s="841"/>
      <c r="L38" s="841"/>
      <c r="M38" s="841"/>
    </row>
    <row r="39" spans="1:13" s="788" customFormat="1" ht="45.75" customHeight="1" thickBot="1" x14ac:dyDescent="0.6">
      <c r="A39" s="846" t="s">
        <v>769</v>
      </c>
      <c r="B39" s="782">
        <f>'[5]2026 évi nyitó létszám KGY'!B39</f>
        <v>72</v>
      </c>
      <c r="C39" s="782">
        <f>'[6]létszám ei mód RM I. int. '!C39</f>
        <v>77</v>
      </c>
      <c r="D39" s="847">
        <f>'[6]létszám ei mód RM I. int. '!E39</f>
        <v>77</v>
      </c>
      <c r="E39" s="848"/>
      <c r="F39" s="849">
        <f>D39+E39</f>
        <v>77</v>
      </c>
      <c r="G39" s="845"/>
      <c r="H39" s="845">
        <v>58</v>
      </c>
      <c r="I39" s="845">
        <v>19</v>
      </c>
      <c r="J39" s="845"/>
      <c r="K39" s="813"/>
      <c r="L39" s="845"/>
      <c r="M39" s="845"/>
    </row>
    <row r="40" spans="1:13" s="788" customFormat="1" ht="45" customHeight="1" x14ac:dyDescent="0.55000000000000004">
      <c r="A40" s="825" t="s">
        <v>770</v>
      </c>
      <c r="B40" s="837"/>
      <c r="C40" s="837"/>
      <c r="D40" s="838"/>
      <c r="E40" s="839"/>
      <c r="F40" s="840"/>
      <c r="G40" s="841"/>
      <c r="H40" s="841"/>
      <c r="I40" s="841"/>
      <c r="J40" s="841"/>
      <c r="K40" s="841"/>
      <c r="L40" s="841"/>
      <c r="M40" s="841"/>
    </row>
    <row r="41" spans="1:13" s="788" customFormat="1" ht="44.25" customHeight="1" thickBot="1" x14ac:dyDescent="0.6">
      <c r="A41" s="846" t="s">
        <v>470</v>
      </c>
      <c r="B41" s="782">
        <f>'[5]2026 évi nyitó létszám KGY'!B41</f>
        <v>201.755</v>
      </c>
      <c r="C41" s="782">
        <f>'[6]létszám ei mód RM I. int. '!C41</f>
        <v>201.755</v>
      </c>
      <c r="D41" s="847">
        <f>'[6]létszám ei mód RM I. int. '!E41</f>
        <v>201.755</v>
      </c>
      <c r="E41" s="848"/>
      <c r="F41" s="849">
        <f>D41+E41</f>
        <v>201.755</v>
      </c>
      <c r="G41" s="845"/>
      <c r="H41" s="845"/>
      <c r="I41" s="845">
        <v>134.76</v>
      </c>
      <c r="J41" s="845">
        <v>67</v>
      </c>
      <c r="K41" s="813"/>
      <c r="L41" s="845"/>
      <c r="M41" s="845"/>
    </row>
    <row r="42" spans="1:13" s="788" customFormat="1" ht="45.75" customHeight="1" x14ac:dyDescent="0.55000000000000004">
      <c r="A42" s="825" t="s">
        <v>771</v>
      </c>
      <c r="B42" s="837"/>
      <c r="C42" s="837"/>
      <c r="D42" s="838"/>
      <c r="E42" s="839"/>
      <c r="F42" s="840"/>
      <c r="G42" s="841"/>
      <c r="H42" s="841"/>
      <c r="I42" s="841"/>
      <c r="J42" s="841"/>
      <c r="K42" s="841"/>
      <c r="L42" s="841"/>
      <c r="M42" s="841"/>
    </row>
    <row r="43" spans="1:13" s="788" customFormat="1" ht="44.25" customHeight="1" x14ac:dyDescent="0.55000000000000004">
      <c r="A43" s="781" t="s">
        <v>471</v>
      </c>
      <c r="B43" s="850">
        <f>'[5]2026 évi nyitó létszám KGY'!B43</f>
        <v>14.5</v>
      </c>
      <c r="C43" s="850">
        <f>'[6]létszám ei mód RM I. int. '!C43</f>
        <v>14.5</v>
      </c>
      <c r="D43" s="851">
        <f>'[6]létszám ei mód RM I. int. '!E43</f>
        <v>14.5</v>
      </c>
      <c r="E43" s="852"/>
      <c r="F43" s="808">
        <f t="shared" ref="F43:F45" si="7">D43+E43</f>
        <v>14.5</v>
      </c>
      <c r="G43" s="853"/>
      <c r="H43" s="853"/>
      <c r="I43" s="810">
        <v>14.5</v>
      </c>
      <c r="J43" s="810"/>
      <c r="K43" s="810"/>
      <c r="L43" s="810"/>
      <c r="M43" s="832"/>
    </row>
    <row r="44" spans="1:13" s="788" customFormat="1" ht="44.25" customHeight="1" x14ac:dyDescent="0.55000000000000004">
      <c r="A44" s="811" t="s">
        <v>565</v>
      </c>
      <c r="B44" s="854">
        <f>'[5]2026 évi nyitó létszám KGY'!B44</f>
        <v>0</v>
      </c>
      <c r="C44" s="854">
        <f>'[6]létszám ei mód RM I. int. '!C44</f>
        <v>43</v>
      </c>
      <c r="D44" s="855">
        <f>'[6]létszám ei mód RM I. int. '!E44</f>
        <v>43</v>
      </c>
      <c r="E44" s="856"/>
      <c r="F44" s="785">
        <f t="shared" si="7"/>
        <v>43</v>
      </c>
      <c r="G44" s="857"/>
      <c r="H44" s="857"/>
      <c r="I44" s="787">
        <v>43</v>
      </c>
      <c r="J44" s="787"/>
      <c r="K44" s="787"/>
      <c r="L44" s="810"/>
      <c r="M44" s="832"/>
    </row>
    <row r="45" spans="1:13" s="788" customFormat="1" ht="44.25" customHeight="1" thickBot="1" x14ac:dyDescent="0.6">
      <c r="A45" s="858" t="s">
        <v>4</v>
      </c>
      <c r="B45" s="835">
        <f>'[5]2026 évi nyitó létszám KGY'!B45</f>
        <v>301.5</v>
      </c>
      <c r="C45" s="835">
        <f>'[6]létszám ei mód RM I. int. '!C45</f>
        <v>289.75</v>
      </c>
      <c r="D45" s="836">
        <f>'[6]létszám ei mód RM I. int. '!E45</f>
        <v>289.75</v>
      </c>
      <c r="E45" s="859"/>
      <c r="F45" s="860">
        <f t="shared" si="7"/>
        <v>289.75</v>
      </c>
      <c r="G45" s="861">
        <v>247</v>
      </c>
      <c r="H45" s="861"/>
      <c r="I45" s="861"/>
      <c r="J45" s="861"/>
      <c r="K45" s="861">
        <v>42.75</v>
      </c>
      <c r="L45" s="861"/>
      <c r="M45" s="862"/>
    </row>
    <row r="46" spans="1:13" s="788" customFormat="1" ht="44.25" customHeight="1" thickBot="1" x14ac:dyDescent="0.6">
      <c r="A46" s="815" t="s">
        <v>805</v>
      </c>
      <c r="B46" s="863">
        <f t="shared" ref="B46:M46" si="8">SUM(B43:B45)</f>
        <v>316</v>
      </c>
      <c r="C46" s="863">
        <f t="shared" si="8"/>
        <v>347.25</v>
      </c>
      <c r="D46" s="863">
        <f t="shared" si="8"/>
        <v>347.25</v>
      </c>
      <c r="E46" s="864">
        <f t="shared" si="8"/>
        <v>0</v>
      </c>
      <c r="F46" s="849">
        <f t="shared" si="8"/>
        <v>347.25</v>
      </c>
      <c r="G46" s="865">
        <f t="shared" si="8"/>
        <v>247</v>
      </c>
      <c r="H46" s="865">
        <f>SUM(H43:H45)</f>
        <v>0</v>
      </c>
      <c r="I46" s="865">
        <f t="shared" si="8"/>
        <v>57.5</v>
      </c>
      <c r="J46" s="865">
        <f t="shared" si="8"/>
        <v>0</v>
      </c>
      <c r="K46" s="818">
        <f t="shared" si="8"/>
        <v>42.75</v>
      </c>
      <c r="L46" s="865">
        <f t="shared" si="8"/>
        <v>0</v>
      </c>
      <c r="M46" s="865">
        <f t="shared" si="8"/>
        <v>0</v>
      </c>
    </row>
    <row r="47" spans="1:13" s="788" customFormat="1" ht="44.25" customHeight="1" thickBot="1" x14ac:dyDescent="0.6">
      <c r="A47" s="866" t="s">
        <v>774</v>
      </c>
      <c r="B47" s="863">
        <f t="shared" ref="B47:M47" si="9">B35+B37+B39+B41+B46</f>
        <v>1023.505</v>
      </c>
      <c r="C47" s="863">
        <f t="shared" si="9"/>
        <v>1058.7550000000001</v>
      </c>
      <c r="D47" s="863">
        <f t="shared" si="9"/>
        <v>1058.7550000000001</v>
      </c>
      <c r="E47" s="864">
        <f t="shared" si="9"/>
        <v>0</v>
      </c>
      <c r="F47" s="849">
        <f t="shared" si="9"/>
        <v>1058.7550000000001</v>
      </c>
      <c r="G47" s="865">
        <f t="shared" si="9"/>
        <v>247</v>
      </c>
      <c r="H47" s="865">
        <f>H35+H37+H39+H41+H46</f>
        <v>58</v>
      </c>
      <c r="I47" s="865">
        <f t="shared" si="9"/>
        <v>393.01</v>
      </c>
      <c r="J47" s="865">
        <f t="shared" si="9"/>
        <v>67</v>
      </c>
      <c r="K47" s="865">
        <f t="shared" si="9"/>
        <v>293.75</v>
      </c>
      <c r="L47" s="865">
        <f t="shared" si="9"/>
        <v>0</v>
      </c>
      <c r="M47" s="865">
        <f t="shared" si="9"/>
        <v>0</v>
      </c>
    </row>
    <row r="48" spans="1:13" s="788" customFormat="1" ht="42.75" customHeight="1" thickBot="1" x14ac:dyDescent="0.6">
      <c r="A48" s="867" t="s">
        <v>775</v>
      </c>
      <c r="B48" s="863">
        <f t="shared" ref="B48:M48" si="10">B28+B47</f>
        <v>1486.5050000000001</v>
      </c>
      <c r="C48" s="863">
        <f t="shared" si="10"/>
        <v>1510.7550000000001</v>
      </c>
      <c r="D48" s="863">
        <f t="shared" si="10"/>
        <v>1510.7550000000001</v>
      </c>
      <c r="E48" s="864">
        <f t="shared" si="10"/>
        <v>1</v>
      </c>
      <c r="F48" s="849">
        <f t="shared" si="10"/>
        <v>1511.7550000000001</v>
      </c>
      <c r="G48" s="865">
        <f t="shared" si="10"/>
        <v>247</v>
      </c>
      <c r="H48" s="865">
        <f>H28+H47</f>
        <v>58</v>
      </c>
      <c r="I48" s="865">
        <f t="shared" si="10"/>
        <v>442.01</v>
      </c>
      <c r="J48" s="865">
        <f t="shared" si="10"/>
        <v>468.5</v>
      </c>
      <c r="K48" s="865">
        <f t="shared" si="10"/>
        <v>296.25</v>
      </c>
      <c r="L48" s="865">
        <f t="shared" si="10"/>
        <v>0</v>
      </c>
      <c r="M48" s="865">
        <f t="shared" si="10"/>
        <v>0</v>
      </c>
    </row>
    <row r="49" spans="1:13" s="788" customFormat="1" ht="44.25" customHeight="1" thickBot="1" x14ac:dyDescent="0.6">
      <c r="A49" s="866" t="s">
        <v>299</v>
      </c>
      <c r="B49" s="863">
        <f>'[5]2026 évi nyitó létszám KGY'!B49</f>
        <v>18</v>
      </c>
      <c r="C49" s="863">
        <f>'[6]létszám ei mód RM I. int. '!C49</f>
        <v>18</v>
      </c>
      <c r="D49" s="863">
        <f>'[6]létszám ei mód RM I. int. '!E49</f>
        <v>18</v>
      </c>
      <c r="E49" s="864"/>
      <c r="F49" s="849">
        <f>D49+E49</f>
        <v>18</v>
      </c>
      <c r="G49" s="865"/>
      <c r="H49" s="865"/>
      <c r="I49" s="865"/>
      <c r="J49" s="865"/>
      <c r="K49" s="865"/>
      <c r="L49" s="865"/>
      <c r="M49" s="865">
        <v>18</v>
      </c>
    </row>
    <row r="50" spans="1:13" s="788" customFormat="1" ht="42.75" customHeight="1" thickBot="1" x14ac:dyDescent="0.6">
      <c r="A50" s="867" t="s">
        <v>216</v>
      </c>
      <c r="B50" s="863">
        <f>B48+B49</f>
        <v>1504.5050000000001</v>
      </c>
      <c r="C50" s="863">
        <f t="shared" ref="C50:M50" si="11">C48+C49</f>
        <v>1528.7550000000001</v>
      </c>
      <c r="D50" s="863">
        <f t="shared" si="11"/>
        <v>1528.7550000000001</v>
      </c>
      <c r="E50" s="863">
        <f t="shared" si="11"/>
        <v>1</v>
      </c>
      <c r="F50" s="865">
        <f t="shared" si="11"/>
        <v>1529.7550000000001</v>
      </c>
      <c r="G50" s="865">
        <f t="shared" si="11"/>
        <v>247</v>
      </c>
      <c r="H50" s="865">
        <f t="shared" si="11"/>
        <v>58</v>
      </c>
      <c r="I50" s="865">
        <f t="shared" si="11"/>
        <v>442.01</v>
      </c>
      <c r="J50" s="865">
        <f t="shared" si="11"/>
        <v>468.5</v>
      </c>
      <c r="K50" s="865">
        <f t="shared" si="11"/>
        <v>296.25</v>
      </c>
      <c r="L50" s="865">
        <f t="shared" si="11"/>
        <v>0</v>
      </c>
      <c r="M50" s="865">
        <f t="shared" si="11"/>
        <v>18</v>
      </c>
    </row>
    <row r="51" spans="1:13" s="788" customFormat="1" x14ac:dyDescent="0.5">
      <c r="A51" s="755"/>
      <c r="B51" s="755"/>
      <c r="C51" s="755"/>
      <c r="D51" s="868"/>
      <c r="E51" s="868"/>
      <c r="F51" s="868"/>
      <c r="G51" s="868"/>
      <c r="H51" s="868"/>
      <c r="I51" s="868"/>
      <c r="J51" s="868"/>
      <c r="K51" s="868"/>
      <c r="L51" s="868"/>
      <c r="M51" s="868"/>
    </row>
    <row r="52" spans="1:13" s="788" customFormat="1" x14ac:dyDescent="0.5">
      <c r="A52" s="755"/>
      <c r="B52" s="755"/>
      <c r="C52" s="755"/>
      <c r="D52" s="868"/>
      <c r="E52" s="868"/>
      <c r="F52" s="868"/>
      <c r="G52" s="868"/>
      <c r="H52" s="868"/>
      <c r="I52" s="868"/>
      <c r="J52" s="868"/>
      <c r="K52" s="868"/>
      <c r="L52" s="868"/>
      <c r="M52" s="868"/>
    </row>
    <row r="53" spans="1:13" s="788" customFormat="1" x14ac:dyDescent="0.5">
      <c r="A53" s="755"/>
      <c r="B53" s="755"/>
      <c r="C53" s="755"/>
      <c r="D53" s="868"/>
      <c r="E53" s="868"/>
      <c r="F53" s="868"/>
      <c r="G53" s="868"/>
      <c r="H53" s="868"/>
      <c r="I53" s="868"/>
      <c r="J53" s="868"/>
      <c r="K53" s="868"/>
      <c r="L53" s="868"/>
      <c r="M53" s="868"/>
    </row>
    <row r="54" spans="1:13" s="788" customFormat="1" x14ac:dyDescent="0.5">
      <c r="A54" s="755"/>
      <c r="B54" s="755"/>
      <c r="C54" s="755"/>
      <c r="D54" s="868"/>
      <c r="E54" s="868"/>
      <c r="F54" s="868"/>
      <c r="G54" s="868"/>
      <c r="H54" s="868"/>
      <c r="I54" s="868"/>
      <c r="J54" s="868"/>
      <c r="K54" s="868"/>
      <c r="L54" s="868"/>
      <c r="M54" s="868"/>
    </row>
    <row r="55" spans="1:13" s="788" customFormat="1" x14ac:dyDescent="0.5">
      <c r="A55" s="755"/>
      <c r="B55" s="755"/>
      <c r="C55" s="755"/>
      <c r="D55" s="868"/>
      <c r="E55" s="868"/>
      <c r="F55" s="868"/>
      <c r="G55" s="868"/>
      <c r="H55" s="868"/>
      <c r="I55" s="868"/>
      <c r="J55" s="868"/>
      <c r="K55" s="868"/>
      <c r="L55" s="868"/>
      <c r="M55" s="868"/>
    </row>
    <row r="56" spans="1:13" s="788" customFormat="1" x14ac:dyDescent="0.5">
      <c r="A56" s="755"/>
      <c r="B56" s="755"/>
      <c r="C56" s="755"/>
      <c r="D56" s="868"/>
      <c r="E56" s="868"/>
      <c r="F56" s="868"/>
      <c r="G56" s="868"/>
      <c r="H56" s="868"/>
      <c r="I56" s="868"/>
      <c r="J56" s="868"/>
      <c r="K56" s="868"/>
      <c r="L56" s="868"/>
      <c r="M56" s="868"/>
    </row>
    <row r="57" spans="1:13" s="788" customFormat="1" x14ac:dyDescent="0.5">
      <c r="A57" s="755"/>
      <c r="B57" s="755"/>
      <c r="C57" s="755"/>
      <c r="D57" s="868"/>
      <c r="E57" s="868"/>
      <c r="F57" s="868"/>
      <c r="G57" s="868"/>
      <c r="H57" s="868"/>
      <c r="I57" s="868"/>
      <c r="J57" s="868"/>
      <c r="K57" s="868"/>
      <c r="L57" s="868"/>
      <c r="M57" s="868"/>
    </row>
    <row r="58" spans="1:13" s="788" customFormat="1" x14ac:dyDescent="0.5">
      <c r="A58" s="755"/>
      <c r="B58" s="755"/>
      <c r="C58" s="755"/>
      <c r="D58" s="868"/>
      <c r="E58" s="868"/>
      <c r="F58" s="868"/>
      <c r="G58" s="868"/>
      <c r="H58" s="868"/>
      <c r="I58" s="868"/>
      <c r="J58" s="868"/>
      <c r="K58" s="868"/>
      <c r="L58" s="868"/>
      <c r="M58" s="868"/>
    </row>
    <row r="59" spans="1:13" s="758" customFormat="1" x14ac:dyDescent="0.5">
      <c r="A59" s="755"/>
      <c r="B59" s="755"/>
      <c r="C59" s="755"/>
      <c r="D59" s="869"/>
      <c r="E59" s="869"/>
      <c r="F59" s="869"/>
      <c r="G59" s="869"/>
      <c r="H59" s="869"/>
      <c r="I59" s="869"/>
      <c r="J59" s="869"/>
      <c r="K59" s="869"/>
      <c r="L59" s="869"/>
      <c r="M59" s="869"/>
    </row>
  </sheetData>
  <mergeCells count="7">
    <mergeCell ref="A1:M1"/>
    <mergeCell ref="A2:M2"/>
    <mergeCell ref="D4:D6"/>
    <mergeCell ref="E4:E5"/>
    <mergeCell ref="F4:F6"/>
    <mergeCell ref="G4:M4"/>
    <mergeCell ref="K5:L5"/>
  </mergeCells>
  <printOptions horizontalCentered="1" verticalCentered="1"/>
  <pageMargins left="3.937007874015748E-2" right="3.937007874015748E-2" top="0.74803149606299213" bottom="0.74803149606299213" header="0.31496062992125984" footer="0.31496062992125984"/>
  <pageSetup paperSize="9" scale="20" orientation="landscape" r:id="rId1"/>
  <headerFooter alignWithMargins="0">
    <oddHeader>&amp;R&amp;"Arial,Félkövér"&amp;32 7.  melléklet a  14/2026.(IX.25.) önkormányzati rendelethez
"7. melléklet a 3/2026.(II.27.) önkormányzati rendelethez"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Munka9"/>
  <dimension ref="A1:J62"/>
  <sheetViews>
    <sheetView zoomScale="91" zoomScaleNormal="91" zoomScaleSheetLayoutView="62" workbookViewId="0">
      <selection activeCell="A38" sqref="A38:XFD49"/>
    </sheetView>
  </sheetViews>
  <sheetFormatPr defaultColWidth="9.33203125" defaultRowHeight="15" customHeight="1" x14ac:dyDescent="0.35"/>
  <cols>
    <col min="1" max="1" width="105.83203125" style="2" customWidth="1"/>
    <col min="2" max="2" width="39.5" style="3" customWidth="1"/>
    <col min="3" max="3" width="33.6640625" style="2" customWidth="1"/>
    <col min="4" max="4" width="40.33203125" style="2" customWidth="1"/>
    <col min="5" max="5" width="37.5" style="2" customWidth="1"/>
    <col min="6" max="6" width="41.33203125" style="3" customWidth="1"/>
    <col min="7" max="11" width="9.33203125" style="2"/>
    <col min="12" max="12" width="11.83203125" style="2" bestFit="1" customWidth="1"/>
    <col min="13" max="16384" width="9.33203125" style="2"/>
  </cols>
  <sheetData>
    <row r="1" spans="1:10" ht="15" customHeight="1" x14ac:dyDescent="0.35">
      <c r="A1" s="159"/>
      <c r="B1" s="158"/>
      <c r="C1" s="159"/>
      <c r="D1" s="159"/>
      <c r="E1" s="159"/>
      <c r="F1" s="158"/>
    </row>
    <row r="2" spans="1:10" ht="15" customHeight="1" x14ac:dyDescent="0.35">
      <c r="A2" s="973" t="s">
        <v>51</v>
      </c>
      <c r="B2" s="973"/>
      <c r="C2" s="973"/>
      <c r="D2" s="973"/>
      <c r="E2" s="973"/>
      <c r="F2" s="973"/>
      <c r="G2" s="3"/>
      <c r="H2" s="3"/>
      <c r="I2" s="3"/>
      <c r="J2" s="3"/>
    </row>
    <row r="3" spans="1:10" ht="15" customHeight="1" x14ac:dyDescent="0.35">
      <c r="A3" s="159"/>
      <c r="B3" s="158"/>
      <c r="C3" s="159"/>
      <c r="D3" s="159"/>
      <c r="E3" s="159"/>
      <c r="F3" s="158"/>
      <c r="G3" s="3"/>
      <c r="H3" s="3"/>
      <c r="I3" s="3"/>
      <c r="J3" s="3"/>
    </row>
    <row r="4" spans="1:10" ht="21.75" thickBot="1" x14ac:dyDescent="0.4">
      <c r="A4" s="288" t="s">
        <v>35</v>
      </c>
      <c r="B4" s="19"/>
      <c r="C4" s="288"/>
      <c r="D4" s="288"/>
      <c r="E4" s="288"/>
      <c r="F4" s="280" t="s">
        <v>201</v>
      </c>
      <c r="G4" s="3"/>
      <c r="H4" s="3"/>
      <c r="I4" s="3"/>
      <c r="J4" s="3"/>
    </row>
    <row r="5" spans="1:10" ht="20.100000000000001" customHeight="1" x14ac:dyDescent="0.35">
      <c r="A5" s="340" t="s">
        <v>155</v>
      </c>
      <c r="B5" s="162" t="s">
        <v>417</v>
      </c>
      <c r="C5" s="162" t="s">
        <v>438</v>
      </c>
      <c r="D5" s="162" t="s">
        <v>662</v>
      </c>
      <c r="E5" s="162" t="s">
        <v>663</v>
      </c>
      <c r="F5" s="162" t="s">
        <v>697</v>
      </c>
      <c r="G5" s="3"/>
      <c r="H5" s="3"/>
      <c r="I5" s="3"/>
      <c r="J5" s="3"/>
    </row>
    <row r="6" spans="1:10" ht="21.75" thickBot="1" x14ac:dyDescent="0.4">
      <c r="A6" s="341"/>
      <c r="B6" s="342" t="s">
        <v>665</v>
      </c>
      <c r="C6" s="342" t="s">
        <v>331</v>
      </c>
      <c r="D6" s="342" t="s">
        <v>344</v>
      </c>
      <c r="E6" s="342" t="s">
        <v>664</v>
      </c>
      <c r="F6" s="342" t="s">
        <v>344</v>
      </c>
      <c r="G6" s="3"/>
      <c r="H6" s="3"/>
      <c r="I6" s="3"/>
      <c r="J6" s="3"/>
    </row>
    <row r="7" spans="1:10" ht="21" x14ac:dyDescent="0.35">
      <c r="A7" s="343" t="s">
        <v>179</v>
      </c>
      <c r="B7" s="551">
        <v>3462845</v>
      </c>
      <c r="C7" s="39">
        <f>3540900+324611</f>
        <v>3865511</v>
      </c>
      <c r="D7" s="39">
        <v>4161247</v>
      </c>
      <c r="E7" s="39">
        <f>7780+8863+100-12466</f>
        <v>4277</v>
      </c>
      <c r="F7" s="39">
        <f>SUM(D7:E7)</f>
        <v>4165524</v>
      </c>
      <c r="G7" s="3"/>
      <c r="H7" s="3"/>
      <c r="I7" s="3"/>
      <c r="J7" s="3"/>
    </row>
    <row r="8" spans="1:10" ht="21.75" thickBot="1" x14ac:dyDescent="0.4">
      <c r="A8" s="344" t="s">
        <v>666</v>
      </c>
      <c r="B8" s="552">
        <v>2512740</v>
      </c>
      <c r="C8" s="147">
        <f>2495269+201945</f>
        <v>2697214</v>
      </c>
      <c r="D8" s="147">
        <v>2776174</v>
      </c>
      <c r="E8" s="147">
        <f>2700-10503</f>
        <v>-7803</v>
      </c>
      <c r="F8" s="39">
        <f>SUM(D8:E8)</f>
        <v>2768371</v>
      </c>
      <c r="G8" s="3"/>
      <c r="H8" s="3"/>
      <c r="I8" s="3"/>
      <c r="J8" s="3"/>
    </row>
    <row r="9" spans="1:10" ht="21.75" thickBot="1" x14ac:dyDescent="0.4">
      <c r="A9" s="345" t="s">
        <v>193</v>
      </c>
      <c r="B9" s="138">
        <f>SUM(B7:B8)</f>
        <v>5975585</v>
      </c>
      <c r="C9" s="138">
        <f>SUM(C7:C8)</f>
        <v>6562725</v>
      </c>
      <c r="D9" s="138">
        <f t="shared" ref="D9:F9" si="0">SUM(D7:D8)</f>
        <v>6937421</v>
      </c>
      <c r="E9" s="138">
        <f t="shared" si="0"/>
        <v>-3526</v>
      </c>
      <c r="F9" s="138">
        <f t="shared" si="0"/>
        <v>6933895</v>
      </c>
      <c r="G9" s="3"/>
      <c r="H9" s="3"/>
      <c r="I9" s="3"/>
      <c r="J9" s="3"/>
    </row>
    <row r="10" spans="1:10" ht="21" x14ac:dyDescent="0.35">
      <c r="A10" s="343" t="s">
        <v>339</v>
      </c>
      <c r="B10" s="551">
        <v>144</v>
      </c>
      <c r="C10" s="39">
        <v>0</v>
      </c>
      <c r="D10" s="39">
        <v>1750</v>
      </c>
      <c r="E10" s="40"/>
      <c r="F10" s="39">
        <f t="shared" ref="F10:F15" si="1">SUM(D10:E10)</f>
        <v>1750</v>
      </c>
      <c r="G10" s="3"/>
      <c r="H10" s="3"/>
      <c r="I10" s="3"/>
      <c r="J10" s="3"/>
    </row>
    <row r="11" spans="1:10" ht="21" x14ac:dyDescent="0.35">
      <c r="A11" s="346" t="s">
        <v>414</v>
      </c>
      <c r="B11" s="553">
        <v>7152</v>
      </c>
      <c r="C11" s="4">
        <v>0</v>
      </c>
      <c r="D11" s="4">
        <v>0</v>
      </c>
      <c r="E11" s="4"/>
      <c r="F11" s="4">
        <f t="shared" si="1"/>
        <v>0</v>
      </c>
      <c r="G11" s="3"/>
      <c r="H11" s="3"/>
      <c r="I11" s="3"/>
      <c r="J11" s="3"/>
    </row>
    <row r="12" spans="1:10" ht="21" x14ac:dyDescent="0.35">
      <c r="A12" s="66" t="s">
        <v>109</v>
      </c>
      <c r="B12" s="554">
        <v>100</v>
      </c>
      <c r="C12" s="4">
        <v>500</v>
      </c>
      <c r="D12" s="4">
        <v>1000</v>
      </c>
      <c r="E12" s="4"/>
      <c r="F12" s="4">
        <f t="shared" si="1"/>
        <v>1000</v>
      </c>
      <c r="G12" s="3"/>
      <c r="H12" s="3"/>
      <c r="I12" s="3"/>
      <c r="J12" s="3"/>
    </row>
    <row r="13" spans="1:10" ht="46.5" customHeight="1" x14ac:dyDescent="0.35">
      <c r="A13" s="346" t="s">
        <v>424</v>
      </c>
      <c r="B13" s="556">
        <v>1538</v>
      </c>
      <c r="C13" s="4">
        <v>1800</v>
      </c>
      <c r="D13" s="4">
        <v>2540</v>
      </c>
      <c r="E13" s="4">
        <v>500</v>
      </c>
      <c r="F13" s="4">
        <f t="shared" si="1"/>
        <v>3040</v>
      </c>
      <c r="G13" s="3"/>
      <c r="H13" s="3"/>
      <c r="I13" s="3"/>
      <c r="J13" s="3"/>
    </row>
    <row r="14" spans="1:10" ht="21" x14ac:dyDescent="0.35">
      <c r="A14" s="343" t="s">
        <v>110</v>
      </c>
      <c r="B14" s="557"/>
      <c r="C14" s="39">
        <v>10000</v>
      </c>
      <c r="D14" s="39">
        <v>0</v>
      </c>
      <c r="E14" s="39"/>
      <c r="F14" s="39">
        <f t="shared" si="1"/>
        <v>0</v>
      </c>
      <c r="G14" s="3"/>
      <c r="H14" s="3"/>
      <c r="I14" s="3"/>
      <c r="J14" s="3"/>
    </row>
    <row r="15" spans="1:10" ht="21" x14ac:dyDescent="0.35">
      <c r="A15" s="66" t="s">
        <v>437</v>
      </c>
      <c r="B15" s="558">
        <v>6755</v>
      </c>
      <c r="C15" s="4">
        <f>6000+1000</f>
        <v>7000</v>
      </c>
      <c r="D15" s="4">
        <v>7045</v>
      </c>
      <c r="E15" s="4">
        <v>350</v>
      </c>
      <c r="F15" s="4">
        <f t="shared" si="1"/>
        <v>7395</v>
      </c>
    </row>
    <row r="16" spans="1:10" ht="21" x14ac:dyDescent="0.35">
      <c r="A16" s="66" t="s">
        <v>382</v>
      </c>
      <c r="B16" s="558">
        <v>4452</v>
      </c>
      <c r="C16" s="4">
        <v>4842</v>
      </c>
      <c r="D16" s="4">
        <v>5622</v>
      </c>
      <c r="E16" s="4"/>
      <c r="F16" s="4">
        <f t="shared" ref="F16:F23" si="2">SUM(D16:E16)</f>
        <v>5622</v>
      </c>
    </row>
    <row r="17" spans="1:6" ht="21" x14ac:dyDescent="0.35">
      <c r="A17" s="66" t="s">
        <v>131</v>
      </c>
      <c r="B17" s="558">
        <v>94</v>
      </c>
      <c r="C17" s="4">
        <f>1250-1000</f>
        <v>250</v>
      </c>
      <c r="D17" s="4">
        <v>625</v>
      </c>
      <c r="E17" s="4"/>
      <c r="F17" s="4">
        <f t="shared" si="2"/>
        <v>625</v>
      </c>
    </row>
    <row r="18" spans="1:6" ht="21" x14ac:dyDescent="0.35">
      <c r="A18" s="66" t="s">
        <v>70</v>
      </c>
      <c r="B18" s="558">
        <v>2709</v>
      </c>
      <c r="C18" s="4">
        <v>3000</v>
      </c>
      <c r="D18" s="4">
        <v>3511</v>
      </c>
      <c r="E18" s="4"/>
      <c r="F18" s="4">
        <f t="shared" si="2"/>
        <v>3511</v>
      </c>
    </row>
    <row r="19" spans="1:6" ht="21" x14ac:dyDescent="0.35">
      <c r="A19" s="66" t="s">
        <v>54</v>
      </c>
      <c r="B19" s="558">
        <v>100</v>
      </c>
      <c r="C19" s="4">
        <v>300</v>
      </c>
      <c r="D19" s="4">
        <v>300</v>
      </c>
      <c r="E19" s="4"/>
      <c r="F19" s="4">
        <f t="shared" si="2"/>
        <v>300</v>
      </c>
    </row>
    <row r="20" spans="1:6" ht="21" x14ac:dyDescent="0.35">
      <c r="A20" s="66" t="s">
        <v>370</v>
      </c>
      <c r="B20" s="558">
        <v>907</v>
      </c>
      <c r="C20" s="4">
        <v>1500</v>
      </c>
      <c r="D20" s="4">
        <v>2366</v>
      </c>
      <c r="E20" s="4">
        <v>-100</v>
      </c>
      <c r="F20" s="4">
        <f t="shared" si="2"/>
        <v>2266</v>
      </c>
    </row>
    <row r="21" spans="1:6" ht="49.5" customHeight="1" x14ac:dyDescent="0.35">
      <c r="A21" s="347" t="s">
        <v>330</v>
      </c>
      <c r="B21" s="5">
        <v>746</v>
      </c>
      <c r="C21" s="4">
        <v>1000</v>
      </c>
      <c r="D21" s="4">
        <v>1880</v>
      </c>
      <c r="E21" s="4"/>
      <c r="F21" s="4">
        <f t="shared" si="2"/>
        <v>1880</v>
      </c>
    </row>
    <row r="22" spans="1:6" ht="40.5" customHeight="1" x14ac:dyDescent="0.35">
      <c r="A22" s="347" t="s">
        <v>404</v>
      </c>
      <c r="B22" s="5">
        <v>600</v>
      </c>
      <c r="C22" s="4">
        <v>800</v>
      </c>
      <c r="D22" s="4">
        <v>2319</v>
      </c>
      <c r="E22" s="4"/>
      <c r="F22" s="4">
        <f t="shared" si="2"/>
        <v>2319</v>
      </c>
    </row>
    <row r="23" spans="1:6" ht="42" x14ac:dyDescent="0.35">
      <c r="A23" s="348" t="s">
        <v>586</v>
      </c>
      <c r="B23" s="74">
        <v>1000</v>
      </c>
      <c r="C23" s="6"/>
      <c r="D23" s="4">
        <v>1000</v>
      </c>
      <c r="E23" s="4"/>
      <c r="F23" s="4">
        <f t="shared" si="2"/>
        <v>1000</v>
      </c>
    </row>
    <row r="24" spans="1:6" ht="21.75" thickBot="1" x14ac:dyDescent="0.4">
      <c r="A24" s="349" t="s">
        <v>41</v>
      </c>
      <c r="B24" s="41">
        <f>SUM(B10:B23)</f>
        <v>26297</v>
      </c>
      <c r="C24" s="41">
        <f>SUM(C10:C23)</f>
        <v>30992</v>
      </c>
      <c r="D24" s="41">
        <f>SUM(D10:D23)</f>
        <v>29958</v>
      </c>
      <c r="E24" s="41">
        <f>SUM(E10:E23)</f>
        <v>750</v>
      </c>
      <c r="F24" s="42">
        <f>SUM(F10:F23)</f>
        <v>30708</v>
      </c>
    </row>
    <row r="25" spans="1:6" ht="21.75" thickBot="1" x14ac:dyDescent="0.4">
      <c r="A25" s="349" t="s">
        <v>270</v>
      </c>
      <c r="B25" s="41">
        <f>+B24+B9</f>
        <v>6001882</v>
      </c>
      <c r="C25" s="41">
        <f>+C24+C9</f>
        <v>6593717</v>
      </c>
      <c r="D25" s="41">
        <f>+D24+D9</f>
        <v>6967379</v>
      </c>
      <c r="E25" s="41">
        <f>+E24+E9</f>
        <v>-2776</v>
      </c>
      <c r="F25" s="42">
        <f>+F24+F9</f>
        <v>6964603</v>
      </c>
    </row>
    <row r="26" spans="1:6" s="45" customFormat="1" ht="21" x14ac:dyDescent="0.35">
      <c r="B26" s="17"/>
      <c r="F26" s="17"/>
    </row>
    <row r="27" spans="1:6" s="45" customFormat="1" ht="21.75" thickBot="1" x14ac:dyDescent="0.4">
      <c r="A27" s="288" t="s">
        <v>80</v>
      </c>
      <c r="B27" s="19"/>
      <c r="C27" s="288"/>
      <c r="D27" s="288"/>
      <c r="E27" s="288"/>
      <c r="F27" s="19"/>
    </row>
    <row r="28" spans="1:6" s="45" customFormat="1" ht="21" x14ac:dyDescent="0.35">
      <c r="A28" s="350" t="s">
        <v>155</v>
      </c>
      <c r="B28" s="162" t="s">
        <v>417</v>
      </c>
      <c r="C28" s="162" t="s">
        <v>438</v>
      </c>
      <c r="D28" s="162" t="s">
        <v>662</v>
      </c>
      <c r="E28" s="162" t="s">
        <v>663</v>
      </c>
      <c r="F28" s="162" t="s">
        <v>697</v>
      </c>
    </row>
    <row r="29" spans="1:6" s="45" customFormat="1" ht="21.75" thickBot="1" x14ac:dyDescent="0.4">
      <c r="A29" s="351"/>
      <c r="B29" s="165" t="s">
        <v>665</v>
      </c>
      <c r="C29" s="165" t="s">
        <v>331</v>
      </c>
      <c r="D29" s="342" t="s">
        <v>344</v>
      </c>
      <c r="E29" s="342" t="s">
        <v>664</v>
      </c>
      <c r="F29" s="342" t="s">
        <v>344</v>
      </c>
    </row>
    <row r="30" spans="1:6" s="45" customFormat="1" ht="21" x14ac:dyDescent="0.35">
      <c r="A30" s="352" t="s">
        <v>179</v>
      </c>
      <c r="B30" s="555">
        <v>27648</v>
      </c>
      <c r="C30" s="40"/>
      <c r="D30" s="40">
        <v>13801</v>
      </c>
      <c r="E30" s="40">
        <f>37522+15139</f>
        <v>52661</v>
      </c>
      <c r="F30" s="40">
        <f>SUM(D30:E30)</f>
        <v>66462</v>
      </c>
    </row>
    <row r="31" spans="1:6" s="45" customFormat="1" ht="21" x14ac:dyDescent="0.35">
      <c r="A31" s="344" t="s">
        <v>666</v>
      </c>
      <c r="B31" s="552">
        <v>63645</v>
      </c>
      <c r="C31" s="43"/>
      <c r="D31" s="43">
        <v>11485</v>
      </c>
      <c r="E31" s="39">
        <f>10000+13617</f>
        <v>23617</v>
      </c>
      <c r="F31" s="39">
        <f>SUM(D31:E31)</f>
        <v>35102</v>
      </c>
    </row>
    <row r="32" spans="1:6" s="45" customFormat="1" ht="21.75" thickBot="1" x14ac:dyDescent="0.4">
      <c r="A32" s="319" t="s">
        <v>271</v>
      </c>
      <c r="B32" s="44">
        <f>SUM(B30:B31)</f>
        <v>91293</v>
      </c>
      <c r="C32" s="44">
        <f>SUM(C30:C31)</f>
        <v>0</v>
      </c>
      <c r="D32" s="44">
        <f>SUM(D30:D31)</f>
        <v>25286</v>
      </c>
      <c r="E32" s="44">
        <f>SUM(E30:E31)</f>
        <v>76278</v>
      </c>
      <c r="F32" s="14">
        <f>SUM(F30:F31)</f>
        <v>101564</v>
      </c>
    </row>
    <row r="33" spans="1:6" s="45" customFormat="1" ht="21.75" thickBot="1" x14ac:dyDescent="0.4">
      <c r="B33" s="17"/>
      <c r="F33" s="17"/>
    </row>
    <row r="34" spans="1:6" s="45" customFormat="1" ht="21.75" thickBot="1" x14ac:dyDescent="0.4">
      <c r="A34" s="353" t="s">
        <v>272</v>
      </c>
      <c r="B34" s="15">
        <f>+B32+B24+B9</f>
        <v>6093175</v>
      </c>
      <c r="C34" s="15">
        <f>+C32+C24+C9</f>
        <v>6593717</v>
      </c>
      <c r="D34" s="15">
        <f>+D32+D24+D9</f>
        <v>6992665</v>
      </c>
      <c r="E34" s="15">
        <f>+E32+E24+E9</f>
        <v>73502</v>
      </c>
      <c r="F34" s="15">
        <f>+F32+F24+F9</f>
        <v>7066167</v>
      </c>
    </row>
    <row r="35" spans="1:6" s="45" customFormat="1" ht="21" x14ac:dyDescent="0.35">
      <c r="B35" s="17"/>
      <c r="F35" s="17"/>
    </row>
    <row r="36" spans="1:6" s="45" customFormat="1" ht="21" x14ac:dyDescent="0.35">
      <c r="A36" s="45" t="s">
        <v>72</v>
      </c>
      <c r="B36" s="17"/>
      <c r="F36" s="354"/>
    </row>
    <row r="37" spans="1:6" s="45" customFormat="1" ht="21" x14ac:dyDescent="0.35">
      <c r="A37" s="45" t="s">
        <v>73</v>
      </c>
      <c r="B37" s="17"/>
      <c r="F37" s="17"/>
    </row>
    <row r="38" spans="1:6" ht="21" x14ac:dyDescent="0.35"/>
    <row r="39" spans="1:6" ht="21" x14ac:dyDescent="0.35"/>
    <row r="40" spans="1:6" ht="21" x14ac:dyDescent="0.35"/>
    <row r="41" spans="1:6" ht="21" x14ac:dyDescent="0.35"/>
    <row r="42" spans="1:6" ht="21" x14ac:dyDescent="0.35"/>
    <row r="43" spans="1:6" ht="21" x14ac:dyDescent="0.35"/>
    <row r="44" spans="1:6" ht="21" x14ac:dyDescent="0.35"/>
    <row r="45" spans="1:6" ht="21" x14ac:dyDescent="0.35"/>
    <row r="46" spans="1:6" ht="21" x14ac:dyDescent="0.35"/>
    <row r="47" spans="1:6" ht="21" x14ac:dyDescent="0.35"/>
    <row r="48" spans="1:6" ht="21" x14ac:dyDescent="0.35"/>
    <row r="49" ht="21" x14ac:dyDescent="0.35"/>
    <row r="50" ht="21" x14ac:dyDescent="0.35"/>
    <row r="51" ht="21" x14ac:dyDescent="0.35"/>
    <row r="52" ht="21" x14ac:dyDescent="0.35"/>
    <row r="53" ht="21" x14ac:dyDescent="0.35"/>
    <row r="54" ht="21" x14ac:dyDescent="0.35"/>
    <row r="55" ht="21" x14ac:dyDescent="0.35"/>
    <row r="56" ht="21" x14ac:dyDescent="0.35"/>
    <row r="57" ht="21" x14ac:dyDescent="0.35"/>
    <row r="58" ht="21" x14ac:dyDescent="0.35"/>
    <row r="59" ht="21" x14ac:dyDescent="0.35"/>
    <row r="60" ht="21" x14ac:dyDescent="0.35"/>
    <row r="61" ht="21" x14ac:dyDescent="0.35"/>
    <row r="62" ht="21" x14ac:dyDescent="0.35"/>
  </sheetData>
  <customSheetViews>
    <customSheetView guid="{6D4B996F-8915-4E78-98C2-E7EAE9C4580C}" scale="75" printArea="1" showRuler="0" topLeftCell="A46">
      <selection activeCell="B45" sqref="B45"/>
      <pageMargins left="0.39370078740157483" right="0.39370078740157483" top="0.59055118110236227" bottom="0.39370078740157483" header="0.31496062992125984" footer="0.31496062992125984"/>
      <printOptions horizontalCentered="1" verticalCentered="1"/>
      <pageSetup paperSize="9" scale="64" orientation="portrait" horizontalDpi="300" verticalDpi="300" r:id="rId1"/>
      <headerFooter alignWithMargins="0">
        <oddHeader>&amp;L&amp;F  &amp;A&amp;C&amp;"Times New Roman CE,Félkövér"&amp;14&amp;RM.III/2. sz. melléklet</oddHeader>
      </headerFooter>
    </customSheetView>
    <customSheetView guid="{186732C5-520C-4E06-B066-B4F3F0A3E322}" scale="75" showRuler="0" topLeftCell="A52">
      <selection activeCell="B59" sqref="B59"/>
      <pageMargins left="0.39370078740157483" right="0.39370078740157483" top="0.59055118110236227" bottom="0.39370078740157483" header="0.31496062992125984" footer="0.31496062992125984"/>
      <printOptions horizontalCentered="1" verticalCentered="1"/>
      <pageSetup paperSize="9" scale="64" orientation="portrait" horizontalDpi="300" verticalDpi="300" r:id="rId2"/>
      <headerFooter alignWithMargins="0">
        <oddHeader>&amp;L&amp;F  &amp;A&amp;C&amp;"Times New Roman CE,Félkövér"&amp;14&amp;RM.III/2. sz. melléklet</oddHeader>
      </headerFooter>
    </customSheetView>
  </customSheetViews>
  <mergeCells count="1">
    <mergeCell ref="A2:F2"/>
  </mergeCells>
  <phoneticPr fontId="0" type="noConversion"/>
  <printOptions horizontalCentered="1" verticalCentered="1"/>
  <pageMargins left="0.59055118110236227" right="0.59055118110236227" top="0" bottom="0" header="0.51181102362204722" footer="0"/>
  <pageSetup paperSize="9" scale="41" orientation="portrait" r:id="rId3"/>
  <headerFooter alignWithMargins="0">
    <oddHeader xml:space="preserve">&amp;R&amp;"-,Félkövér"&amp;12 
8. melléklet a 14/2026. (IX.25.) önkormányzati rendelethez
"8. melléklet a 3/2026.(II.27.) önkormányzati rendelethez"
 &amp;"Times New Roman CE,Félkövér"
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Munka10"/>
  <dimension ref="A1:F80"/>
  <sheetViews>
    <sheetView zoomScale="110" zoomScaleNormal="110" workbookViewId="0">
      <selection activeCell="A81" sqref="A81:XFD92"/>
    </sheetView>
  </sheetViews>
  <sheetFormatPr defaultColWidth="9.33203125" defaultRowHeight="21" customHeight="1" x14ac:dyDescent="0.35"/>
  <cols>
    <col min="1" max="1" width="121" style="2" customWidth="1"/>
    <col min="2" max="2" width="33.33203125" style="3" customWidth="1"/>
    <col min="3" max="3" width="33.6640625" style="3" customWidth="1"/>
    <col min="4" max="4" width="38.1640625" style="3" customWidth="1"/>
    <col min="5" max="5" width="39.33203125" style="3" customWidth="1"/>
    <col min="6" max="6" width="41.83203125" style="3" customWidth="1"/>
    <col min="7" max="16384" width="9.33203125" style="2"/>
  </cols>
  <sheetData>
    <row r="1" spans="1:6" ht="21" customHeight="1" x14ac:dyDescent="0.35">
      <c r="A1" s="159"/>
      <c r="B1" s="158"/>
      <c r="C1" s="158"/>
      <c r="D1" s="158"/>
      <c r="E1" s="158"/>
      <c r="F1" s="158"/>
    </row>
    <row r="2" spans="1:6" ht="21" customHeight="1" x14ac:dyDescent="0.35">
      <c r="A2" s="973" t="s">
        <v>273</v>
      </c>
      <c r="B2" s="973"/>
      <c r="C2" s="973"/>
      <c r="D2" s="973"/>
      <c r="E2" s="973"/>
      <c r="F2" s="973"/>
    </row>
    <row r="3" spans="1:6" ht="21" customHeight="1" x14ac:dyDescent="0.35">
      <c r="A3" s="159"/>
      <c r="B3" s="158"/>
      <c r="C3" s="158"/>
      <c r="D3" s="158"/>
      <c r="E3" s="158"/>
      <c r="F3" s="158"/>
    </row>
    <row r="4" spans="1:6" ht="21" customHeight="1" thickBot="1" x14ac:dyDescent="0.4">
      <c r="A4" s="288" t="s">
        <v>35</v>
      </c>
      <c r="B4" s="19"/>
      <c r="C4" s="19"/>
      <c r="D4" s="19"/>
      <c r="E4" s="19"/>
      <c r="F4" s="280" t="s">
        <v>201</v>
      </c>
    </row>
    <row r="5" spans="1:6" ht="21" customHeight="1" x14ac:dyDescent="0.35">
      <c r="A5" s="340" t="s">
        <v>155</v>
      </c>
      <c r="B5" s="162" t="s">
        <v>417</v>
      </c>
      <c r="C5" s="162" t="s">
        <v>438</v>
      </c>
      <c r="D5" s="162" t="s">
        <v>662</v>
      </c>
      <c r="E5" s="162" t="s">
        <v>663</v>
      </c>
      <c r="F5" s="162" t="s">
        <v>697</v>
      </c>
    </row>
    <row r="6" spans="1:6" ht="21.75" thickBot="1" x14ac:dyDescent="0.4">
      <c r="A6" s="355"/>
      <c r="B6" s="342" t="s">
        <v>665</v>
      </c>
      <c r="C6" s="342" t="s">
        <v>331</v>
      </c>
      <c r="D6" s="342" t="s">
        <v>344</v>
      </c>
      <c r="E6" s="342" t="s">
        <v>664</v>
      </c>
      <c r="F6" s="342" t="s">
        <v>344</v>
      </c>
    </row>
    <row r="7" spans="1:6" x14ac:dyDescent="0.35">
      <c r="A7" s="356" t="s">
        <v>474</v>
      </c>
      <c r="B7" s="559"/>
      <c r="C7" s="46"/>
      <c r="D7" s="46"/>
      <c r="E7" s="46"/>
      <c r="F7" s="46"/>
    </row>
    <row r="8" spans="1:6" ht="21.75" thickBot="1" x14ac:dyDescent="0.4">
      <c r="A8" s="357" t="s">
        <v>511</v>
      </c>
      <c r="B8" s="31">
        <v>251831</v>
      </c>
      <c r="C8" s="31">
        <f>162526+28055+51993</f>
        <v>242574</v>
      </c>
      <c r="D8" s="31">
        <v>305078</v>
      </c>
      <c r="E8" s="31"/>
      <c r="F8" s="31">
        <f>SUM(D8:E8)</f>
        <v>305078</v>
      </c>
    </row>
    <row r="9" spans="1:6" ht="21.75" thickBot="1" x14ac:dyDescent="0.4">
      <c r="A9" s="358" t="s">
        <v>512</v>
      </c>
      <c r="B9" s="15">
        <v>829196</v>
      </c>
      <c r="C9" s="15">
        <f>581360+175940</f>
        <v>757300</v>
      </c>
      <c r="D9" s="15">
        <v>1244510</v>
      </c>
      <c r="E9" s="15">
        <v>426</v>
      </c>
      <c r="F9" s="31">
        <f>SUM(D9:E9)</f>
        <v>1244936</v>
      </c>
    </row>
    <row r="10" spans="1:6" ht="21.75" thickBot="1" x14ac:dyDescent="0.4">
      <c r="A10" s="345" t="s">
        <v>329</v>
      </c>
      <c r="B10" s="138">
        <v>512344</v>
      </c>
      <c r="C10" s="138">
        <f>324895+94462</f>
        <v>419357</v>
      </c>
      <c r="D10" s="138">
        <v>594105</v>
      </c>
      <c r="E10" s="138">
        <v>5675</v>
      </c>
      <c r="F10" s="138">
        <f>SUM(D10:E10)</f>
        <v>599780</v>
      </c>
    </row>
    <row r="11" spans="1:6" ht="21.75" thickBot="1" x14ac:dyDescent="0.4">
      <c r="A11" s="345" t="s">
        <v>453</v>
      </c>
      <c r="B11" s="138">
        <v>872382</v>
      </c>
      <c r="C11" s="138">
        <f>756427+199180+4000-20000</f>
        <v>939607</v>
      </c>
      <c r="D11" s="138">
        <v>1077417</v>
      </c>
      <c r="E11" s="138">
        <f>640+24962</f>
        <v>25602</v>
      </c>
      <c r="F11" s="138">
        <f>SUM(D11:E11)</f>
        <v>1103019</v>
      </c>
    </row>
    <row r="12" spans="1:6" ht="21.75" thickBot="1" x14ac:dyDescent="0.4">
      <c r="A12" s="359" t="s">
        <v>513</v>
      </c>
      <c r="B12" s="15">
        <f>SUM(B8:B11)</f>
        <v>2465753</v>
      </c>
      <c r="C12" s="15">
        <f>SUM(C8:C11)</f>
        <v>2358838</v>
      </c>
      <c r="D12" s="15">
        <f>SUM(D8:D11)</f>
        <v>3221110</v>
      </c>
      <c r="E12" s="15">
        <f>SUM(E8:E11)</f>
        <v>31703</v>
      </c>
      <c r="F12" s="15">
        <f>SUM(F8:F11)</f>
        <v>3252813</v>
      </c>
    </row>
    <row r="13" spans="1:6" x14ac:dyDescent="0.35">
      <c r="A13" s="360" t="s">
        <v>475</v>
      </c>
      <c r="B13" s="559"/>
      <c r="C13" s="35"/>
      <c r="D13" s="35"/>
      <c r="E13" s="35"/>
      <c r="F13" s="35"/>
    </row>
    <row r="14" spans="1:6" x14ac:dyDescent="0.35">
      <c r="A14" s="361" t="s">
        <v>658</v>
      </c>
      <c r="B14" s="4">
        <v>347387</v>
      </c>
      <c r="C14" s="4">
        <f>307387+34690+3000+3000+9731</f>
        <v>357808</v>
      </c>
      <c r="D14" s="4">
        <v>357808</v>
      </c>
      <c r="E14" s="4"/>
      <c r="F14" s="4">
        <f>SUM(D14:E14)</f>
        <v>357808</v>
      </c>
    </row>
    <row r="15" spans="1:6" ht="42" x14ac:dyDescent="0.35">
      <c r="A15" s="541" t="s">
        <v>659</v>
      </c>
      <c r="B15" s="48">
        <v>75519</v>
      </c>
      <c r="C15" s="4">
        <f>373897-71822+55733</f>
        <v>357808</v>
      </c>
      <c r="D15" s="4">
        <v>0</v>
      </c>
      <c r="E15" s="4"/>
      <c r="F15" s="4">
        <f t="shared" ref="F15:F17" si="0">SUM(D15:E15)</f>
        <v>0</v>
      </c>
    </row>
    <row r="16" spans="1:6" ht="42" x14ac:dyDescent="0.35">
      <c r="A16" s="619" t="s">
        <v>587</v>
      </c>
      <c r="B16" s="620">
        <v>71822</v>
      </c>
      <c r="C16" s="6">
        <v>71822</v>
      </c>
      <c r="D16" s="6">
        <v>71822</v>
      </c>
      <c r="E16" s="6"/>
      <c r="F16" s="4">
        <f t="shared" si="0"/>
        <v>71822</v>
      </c>
    </row>
    <row r="17" spans="1:6" ht="42.75" customHeight="1" thickBot="1" x14ac:dyDescent="0.4">
      <c r="A17" s="362" t="s">
        <v>679</v>
      </c>
      <c r="B17" s="59"/>
      <c r="C17" s="8"/>
      <c r="D17" s="8">
        <v>77204</v>
      </c>
      <c r="E17" s="8"/>
      <c r="F17" s="4">
        <f t="shared" si="0"/>
        <v>77204</v>
      </c>
    </row>
    <row r="18" spans="1:6" s="45" customFormat="1" ht="21.75" thickBot="1" x14ac:dyDescent="0.4">
      <c r="A18" s="363" t="s">
        <v>473</v>
      </c>
      <c r="B18" s="15">
        <f>SUM(B14:B17)</f>
        <v>494728</v>
      </c>
      <c r="C18" s="15">
        <f t="shared" ref="C18:F18" si="1">SUM(C14:C17)</f>
        <v>787438</v>
      </c>
      <c r="D18" s="15">
        <f t="shared" si="1"/>
        <v>506834</v>
      </c>
      <c r="E18" s="15">
        <f t="shared" si="1"/>
        <v>0</v>
      </c>
      <c r="F18" s="15">
        <f t="shared" si="1"/>
        <v>506834</v>
      </c>
    </row>
    <row r="19" spans="1:6" ht="21.75" thickBot="1" x14ac:dyDescent="0.4">
      <c r="A19" s="363" t="s">
        <v>476</v>
      </c>
      <c r="B19" s="15">
        <v>55405</v>
      </c>
      <c r="C19" s="15">
        <v>48651</v>
      </c>
      <c r="D19" s="15">
        <v>48651</v>
      </c>
      <c r="E19" s="15"/>
      <c r="F19" s="15">
        <f>SUM(D19:E19)</f>
        <v>48651</v>
      </c>
    </row>
    <row r="20" spans="1:6" x14ac:dyDescent="0.35">
      <c r="A20" s="621" t="s">
        <v>680</v>
      </c>
      <c r="B20" s="8">
        <v>429570</v>
      </c>
      <c r="C20" s="8">
        <f>384000-15000</f>
        <v>369000</v>
      </c>
      <c r="D20" s="8">
        <v>372228</v>
      </c>
      <c r="E20" s="8"/>
      <c r="F20" s="8">
        <f>SUM(D20:E20)</f>
        <v>372228</v>
      </c>
    </row>
    <row r="21" spans="1:6" ht="42" x14ac:dyDescent="0.35">
      <c r="A21" s="619" t="s">
        <v>587</v>
      </c>
      <c r="B21" s="6"/>
      <c r="C21" s="6"/>
      <c r="D21" s="6">
        <v>24570</v>
      </c>
      <c r="E21" s="6"/>
      <c r="F21" s="6">
        <f t="shared" ref="F21:F22" si="2">SUM(D21:E21)</f>
        <v>24570</v>
      </c>
    </row>
    <row r="22" spans="1:6" ht="42.75" thickBot="1" x14ac:dyDescent="0.4">
      <c r="A22" s="622" t="s">
        <v>679</v>
      </c>
      <c r="B22" s="9"/>
      <c r="C22" s="9"/>
      <c r="D22" s="9">
        <v>62625</v>
      </c>
      <c r="E22" s="9"/>
      <c r="F22" s="9">
        <f t="shared" si="2"/>
        <v>62625</v>
      </c>
    </row>
    <row r="23" spans="1:6" ht="21.75" thickBot="1" x14ac:dyDescent="0.4">
      <c r="A23" s="363" t="s">
        <v>678</v>
      </c>
      <c r="B23" s="15">
        <f>SUM(B20:B22)</f>
        <v>429570</v>
      </c>
      <c r="C23" s="15">
        <f t="shared" ref="C23:F23" si="3">SUM(C20:C22)</f>
        <v>369000</v>
      </c>
      <c r="D23" s="15">
        <f t="shared" ref="D23" si="4">SUM(D20:D22)</f>
        <v>459423</v>
      </c>
      <c r="E23" s="15">
        <f t="shared" si="3"/>
        <v>0</v>
      </c>
      <c r="F23" s="15">
        <f t="shared" si="3"/>
        <v>459423</v>
      </c>
    </row>
    <row r="24" spans="1:6" s="45" customFormat="1" ht="21.75" thickBot="1" x14ac:dyDescent="0.4">
      <c r="A24" s="34" t="s">
        <v>477</v>
      </c>
      <c r="B24" s="31">
        <f>B18+B19+B23</f>
        <v>979703</v>
      </c>
      <c r="C24" s="31">
        <f t="shared" ref="C24:F24" si="5">C18+C19+C23</f>
        <v>1205089</v>
      </c>
      <c r="D24" s="31">
        <f t="shared" ref="D24" si="6">D18+D19+D23</f>
        <v>1014908</v>
      </c>
      <c r="E24" s="31">
        <f t="shared" si="5"/>
        <v>0</v>
      </c>
      <c r="F24" s="31">
        <f t="shared" si="5"/>
        <v>1014908</v>
      </c>
    </row>
    <row r="25" spans="1:6" ht="42.75" customHeight="1" thickBot="1" x14ac:dyDescent="0.4">
      <c r="A25" s="364" t="s">
        <v>478</v>
      </c>
      <c r="B25" s="15">
        <f>B12+B24</f>
        <v>3445456</v>
      </c>
      <c r="C25" s="15">
        <f>C12+C24</f>
        <v>3563927</v>
      </c>
      <c r="D25" s="15">
        <f>D12+D24</f>
        <v>4236018</v>
      </c>
      <c r="E25" s="15">
        <f>E12+E24</f>
        <v>31703</v>
      </c>
      <c r="F25" s="15">
        <f>F12+F24</f>
        <v>4267721</v>
      </c>
    </row>
    <row r="26" spans="1:6" x14ac:dyDescent="0.35">
      <c r="A26" s="365" t="s">
        <v>479</v>
      </c>
      <c r="B26" s="560"/>
      <c r="C26" s="35"/>
      <c r="D26" s="35"/>
      <c r="E26" s="35"/>
      <c r="F26" s="35"/>
    </row>
    <row r="27" spans="1:6" x14ac:dyDescent="0.35">
      <c r="A27" s="356" t="s">
        <v>480</v>
      </c>
      <c r="B27" s="559"/>
      <c r="C27" s="10"/>
      <c r="D27" s="10"/>
      <c r="E27" s="10"/>
      <c r="F27" s="10"/>
    </row>
    <row r="28" spans="1:6" x14ac:dyDescent="0.35">
      <c r="A28" s="361" t="s">
        <v>133</v>
      </c>
      <c r="B28" s="4">
        <v>3000</v>
      </c>
      <c r="C28" s="4">
        <v>3000</v>
      </c>
      <c r="D28" s="4">
        <v>3000</v>
      </c>
      <c r="E28" s="4"/>
      <c r="F28" s="4">
        <f>SUM(D28:E28)</f>
        <v>3000</v>
      </c>
    </row>
    <row r="29" spans="1:6" x14ac:dyDescent="0.35">
      <c r="A29" s="366" t="s">
        <v>55</v>
      </c>
      <c r="B29" s="4">
        <v>1200</v>
      </c>
      <c r="C29" s="4">
        <v>1200</v>
      </c>
      <c r="D29" s="4">
        <v>1200</v>
      </c>
      <c r="E29" s="4"/>
      <c r="F29" s="4">
        <f t="shared" ref="F29:F49" si="7">SUM(D29:E29)</f>
        <v>1200</v>
      </c>
    </row>
    <row r="30" spans="1:6" x14ac:dyDescent="0.35">
      <c r="A30" s="366" t="s">
        <v>403</v>
      </c>
      <c r="B30" s="4">
        <v>3000</v>
      </c>
      <c r="C30" s="4">
        <f>3000+500</f>
        <v>3500</v>
      </c>
      <c r="D30" s="4">
        <v>3500</v>
      </c>
      <c r="E30" s="4"/>
      <c r="F30" s="4">
        <f t="shared" si="7"/>
        <v>3500</v>
      </c>
    </row>
    <row r="31" spans="1:6" x14ac:dyDescent="0.35">
      <c r="A31" s="366" t="s">
        <v>37</v>
      </c>
      <c r="B31" s="4">
        <v>4000</v>
      </c>
      <c r="C31" s="4">
        <f>4000+2000</f>
        <v>6000</v>
      </c>
      <c r="D31" s="4">
        <v>6000</v>
      </c>
      <c r="E31" s="4"/>
      <c r="F31" s="4">
        <f t="shared" si="7"/>
        <v>6000</v>
      </c>
    </row>
    <row r="32" spans="1:6" x14ac:dyDescent="0.35">
      <c r="A32" s="366" t="s">
        <v>38</v>
      </c>
      <c r="B32" s="4">
        <v>13000</v>
      </c>
      <c r="C32" s="4">
        <f>13000+3000-1000</f>
        <v>15000</v>
      </c>
      <c r="D32" s="4">
        <v>15000</v>
      </c>
      <c r="E32" s="4"/>
      <c r="F32" s="4">
        <f t="shared" si="7"/>
        <v>15000</v>
      </c>
    </row>
    <row r="33" spans="1:6" x14ac:dyDescent="0.35">
      <c r="A33" s="366" t="s">
        <v>650</v>
      </c>
      <c r="B33" s="4"/>
      <c r="C33" s="4">
        <v>1000</v>
      </c>
      <c r="D33" s="4">
        <v>1000</v>
      </c>
      <c r="E33" s="4"/>
      <c r="F33" s="4">
        <f t="shared" si="7"/>
        <v>1000</v>
      </c>
    </row>
    <row r="34" spans="1:6" x14ac:dyDescent="0.35">
      <c r="A34" s="366" t="s">
        <v>39</v>
      </c>
      <c r="B34" s="4">
        <v>1000</v>
      </c>
      <c r="C34" s="4">
        <f>1000+500</f>
        <v>1500</v>
      </c>
      <c r="D34" s="4">
        <v>1500</v>
      </c>
      <c r="E34" s="4"/>
      <c r="F34" s="4">
        <f t="shared" si="7"/>
        <v>1500</v>
      </c>
    </row>
    <row r="35" spans="1:6" x14ac:dyDescent="0.35">
      <c r="A35" s="366" t="s">
        <v>552</v>
      </c>
      <c r="B35" s="4">
        <v>3000</v>
      </c>
      <c r="C35" s="4">
        <v>3000</v>
      </c>
      <c r="D35" s="4">
        <v>3000</v>
      </c>
      <c r="E35" s="4"/>
      <c r="F35" s="4">
        <f t="shared" si="7"/>
        <v>3000</v>
      </c>
    </row>
    <row r="36" spans="1:6" x14ac:dyDescent="0.35">
      <c r="A36" s="366" t="s">
        <v>332</v>
      </c>
      <c r="B36" s="4">
        <v>2000</v>
      </c>
      <c r="C36" s="4">
        <f>2000</f>
        <v>2000</v>
      </c>
      <c r="D36" s="4">
        <v>2000</v>
      </c>
      <c r="E36" s="4"/>
      <c r="F36" s="4">
        <f t="shared" si="7"/>
        <v>2000</v>
      </c>
    </row>
    <row r="37" spans="1:6" x14ac:dyDescent="0.35">
      <c r="A37" s="366" t="s">
        <v>56</v>
      </c>
      <c r="B37" s="4">
        <v>650</v>
      </c>
      <c r="C37" s="4">
        <f>650+350</f>
        <v>1000</v>
      </c>
      <c r="D37" s="4">
        <v>1000</v>
      </c>
      <c r="E37" s="4"/>
      <c r="F37" s="4">
        <f t="shared" si="7"/>
        <v>1000</v>
      </c>
    </row>
    <row r="38" spans="1:6" x14ac:dyDescent="0.35">
      <c r="A38" s="366" t="s">
        <v>194</v>
      </c>
      <c r="B38" s="4">
        <v>2000</v>
      </c>
      <c r="C38" s="4">
        <f>2000+500</f>
        <v>2500</v>
      </c>
      <c r="D38" s="4">
        <v>2500</v>
      </c>
      <c r="E38" s="4"/>
      <c r="F38" s="4">
        <f t="shared" si="7"/>
        <v>2500</v>
      </c>
    </row>
    <row r="39" spans="1:6" x14ac:dyDescent="0.35">
      <c r="A39" s="366" t="s">
        <v>325</v>
      </c>
      <c r="B39" s="4">
        <v>6000</v>
      </c>
      <c r="C39" s="4">
        <f>6000+1000</f>
        <v>7000</v>
      </c>
      <c r="D39" s="4">
        <v>7000</v>
      </c>
      <c r="E39" s="4"/>
      <c r="F39" s="4">
        <f t="shared" si="7"/>
        <v>7000</v>
      </c>
    </row>
    <row r="40" spans="1:6" x14ac:dyDescent="0.35">
      <c r="A40" s="366" t="s">
        <v>384</v>
      </c>
      <c r="B40" s="4">
        <v>2000</v>
      </c>
      <c r="C40" s="4">
        <f>2000</f>
        <v>2000</v>
      </c>
      <c r="D40" s="4">
        <v>2000</v>
      </c>
      <c r="E40" s="4"/>
      <c r="F40" s="4">
        <f t="shared" si="7"/>
        <v>2000</v>
      </c>
    </row>
    <row r="41" spans="1:6" x14ac:dyDescent="0.35">
      <c r="A41" s="366" t="s">
        <v>125</v>
      </c>
      <c r="B41" s="5">
        <v>2000</v>
      </c>
      <c r="C41" s="4">
        <v>2000</v>
      </c>
      <c r="D41" s="4">
        <v>2000</v>
      </c>
      <c r="E41" s="4"/>
      <c r="F41" s="4">
        <f t="shared" si="7"/>
        <v>2000</v>
      </c>
    </row>
    <row r="42" spans="1:6" ht="46.5" customHeight="1" x14ac:dyDescent="0.35">
      <c r="A42" s="367" t="s">
        <v>648</v>
      </c>
      <c r="B42" s="565">
        <v>3500</v>
      </c>
      <c r="C42" s="4">
        <f>3500+700</f>
        <v>4200</v>
      </c>
      <c r="D42" s="4">
        <v>4200</v>
      </c>
      <c r="E42" s="4"/>
      <c r="F42" s="4">
        <f t="shared" si="7"/>
        <v>4200</v>
      </c>
    </row>
    <row r="43" spans="1:6" ht="37.5" customHeight="1" x14ac:dyDescent="0.35">
      <c r="A43" s="368" t="s">
        <v>333</v>
      </c>
      <c r="B43" s="558">
        <v>1200</v>
      </c>
      <c r="C43" s="4">
        <v>1200</v>
      </c>
      <c r="D43" s="4">
        <v>1200</v>
      </c>
      <c r="E43" s="4"/>
      <c r="F43" s="4">
        <f t="shared" si="7"/>
        <v>1200</v>
      </c>
    </row>
    <row r="44" spans="1:6" ht="42" x14ac:dyDescent="0.35">
      <c r="A44" s="369" t="s">
        <v>337</v>
      </c>
      <c r="B44" s="566">
        <v>1500</v>
      </c>
      <c r="C44" s="4">
        <v>1500</v>
      </c>
      <c r="D44" s="4">
        <v>1500</v>
      </c>
      <c r="E44" s="4"/>
      <c r="F44" s="4">
        <f t="shared" si="7"/>
        <v>1500</v>
      </c>
    </row>
    <row r="45" spans="1:6" x14ac:dyDescent="0.35">
      <c r="A45" s="347" t="s">
        <v>326</v>
      </c>
      <c r="B45" s="5">
        <v>1000</v>
      </c>
      <c r="C45" s="4">
        <v>1000</v>
      </c>
      <c r="D45" s="4">
        <v>1000</v>
      </c>
      <c r="E45" s="4"/>
      <c r="F45" s="4">
        <f t="shared" si="7"/>
        <v>1000</v>
      </c>
    </row>
    <row r="46" spans="1:6" x14ac:dyDescent="0.35">
      <c r="A46" s="347" t="s">
        <v>460</v>
      </c>
      <c r="B46" s="5">
        <v>1000</v>
      </c>
      <c r="C46" s="4">
        <v>1000</v>
      </c>
      <c r="D46" s="4">
        <v>1000</v>
      </c>
      <c r="E46" s="4"/>
      <c r="F46" s="4">
        <f t="shared" si="7"/>
        <v>1000</v>
      </c>
    </row>
    <row r="47" spans="1:6" x14ac:dyDescent="0.35">
      <c r="A47" s="347" t="s">
        <v>463</v>
      </c>
      <c r="B47" s="5">
        <v>1000</v>
      </c>
      <c r="C47" s="4">
        <v>1000</v>
      </c>
      <c r="D47" s="4">
        <v>1000</v>
      </c>
      <c r="E47" s="4"/>
      <c r="F47" s="4">
        <f t="shared" si="7"/>
        <v>1000</v>
      </c>
    </row>
    <row r="48" spans="1:6" x14ac:dyDescent="0.35">
      <c r="A48" s="347" t="s">
        <v>433</v>
      </c>
      <c r="B48" s="5">
        <v>1000</v>
      </c>
      <c r="C48" s="4">
        <f>1000-1000</f>
        <v>0</v>
      </c>
      <c r="D48" s="4">
        <v>0</v>
      </c>
      <c r="E48" s="4"/>
      <c r="F48" s="4">
        <f t="shared" si="7"/>
        <v>0</v>
      </c>
    </row>
    <row r="49" spans="1:6" ht="21.75" thickBot="1" x14ac:dyDescent="0.4">
      <c r="A49" s="370" t="s">
        <v>202</v>
      </c>
      <c r="B49" s="567">
        <v>300</v>
      </c>
      <c r="C49" s="67">
        <f>300+200</f>
        <v>500</v>
      </c>
      <c r="D49" s="67">
        <v>500</v>
      </c>
      <c r="E49" s="67"/>
      <c r="F49" s="4">
        <f t="shared" si="7"/>
        <v>500</v>
      </c>
    </row>
    <row r="50" spans="1:6" ht="21.75" thickBot="1" x14ac:dyDescent="0.4">
      <c r="A50" s="371" t="s">
        <v>481</v>
      </c>
      <c r="B50" s="31">
        <f>SUM(B28:B49)</f>
        <v>53350</v>
      </c>
      <c r="C50" s="31">
        <f>SUM(C28:C49)</f>
        <v>61100</v>
      </c>
      <c r="D50" s="31">
        <f t="shared" ref="D50:E50" si="8">SUM(D28:D49)</f>
        <v>61100</v>
      </c>
      <c r="E50" s="31">
        <f t="shared" si="8"/>
        <v>0</v>
      </c>
      <c r="F50" s="31">
        <f>SUM(F28:F49)</f>
        <v>61100</v>
      </c>
    </row>
    <row r="51" spans="1:6" ht="21.75" thickBot="1" x14ac:dyDescent="0.4">
      <c r="A51" s="372" t="s">
        <v>482</v>
      </c>
      <c r="B51" s="14">
        <v>2050</v>
      </c>
      <c r="C51" s="14">
        <v>0</v>
      </c>
      <c r="D51" s="14">
        <v>24814</v>
      </c>
      <c r="E51" s="14"/>
      <c r="F51" s="14">
        <f>SUM(D51:E51)</f>
        <v>24814</v>
      </c>
    </row>
    <row r="52" spans="1:6" ht="42.75" thickBot="1" x14ac:dyDescent="0.4">
      <c r="A52" s="373" t="s">
        <v>483</v>
      </c>
      <c r="B52" s="31">
        <f>B50+B51</f>
        <v>55400</v>
      </c>
      <c r="C52" s="31">
        <f>C50+C51</f>
        <v>61100</v>
      </c>
      <c r="D52" s="31">
        <f>D50+D51</f>
        <v>85914</v>
      </c>
      <c r="E52" s="31">
        <f>E50+E51</f>
        <v>0</v>
      </c>
      <c r="F52" s="31">
        <f>F50+F51</f>
        <v>85914</v>
      </c>
    </row>
    <row r="53" spans="1:6" ht="21.75" thickBot="1" x14ac:dyDescent="0.4">
      <c r="A53" s="374" t="s">
        <v>484</v>
      </c>
      <c r="B53" s="15"/>
      <c r="C53" s="15">
        <v>0</v>
      </c>
      <c r="D53" s="15">
        <v>0</v>
      </c>
      <c r="E53" s="15">
        <f>SUM(B53:D53)</f>
        <v>0</v>
      </c>
      <c r="F53" s="15">
        <f>SUM(D53:E53)</f>
        <v>0</v>
      </c>
    </row>
    <row r="54" spans="1:6" x14ac:dyDescent="0.35">
      <c r="A54" s="360" t="s">
        <v>485</v>
      </c>
      <c r="B54" s="559"/>
      <c r="C54" s="47"/>
      <c r="D54" s="47"/>
      <c r="E54" s="47"/>
      <c r="F54" s="47"/>
    </row>
    <row r="55" spans="1:6" x14ac:dyDescent="0.35">
      <c r="A55" s="361" t="s">
        <v>409</v>
      </c>
      <c r="B55" s="4">
        <v>5324</v>
      </c>
      <c r="C55" s="4">
        <f>8269+18000+300</f>
        <v>26569</v>
      </c>
      <c r="D55" s="4">
        <v>26779</v>
      </c>
      <c r="E55" s="4">
        <v>-509</v>
      </c>
      <c r="F55" s="4">
        <f>SUM(D55:E55)</f>
        <v>26270</v>
      </c>
    </row>
    <row r="56" spans="1:6" x14ac:dyDescent="0.35">
      <c r="A56" s="375" t="s">
        <v>442</v>
      </c>
      <c r="B56" s="569">
        <v>22297</v>
      </c>
      <c r="C56" s="4">
        <v>27000</v>
      </c>
      <c r="D56" s="4">
        <v>39489</v>
      </c>
      <c r="E56" s="4"/>
      <c r="F56" s="4">
        <f t="shared" ref="F56:F57" si="9">SUM(D56:E56)</f>
        <v>39489</v>
      </c>
    </row>
    <row r="57" spans="1:6" x14ac:dyDescent="0.35">
      <c r="A57" s="375" t="s">
        <v>354</v>
      </c>
      <c r="B57" s="569">
        <v>11095</v>
      </c>
      <c r="C57" s="4">
        <v>7500</v>
      </c>
      <c r="D57" s="4">
        <v>17500</v>
      </c>
      <c r="E57" s="4"/>
      <c r="F57" s="4">
        <f t="shared" si="9"/>
        <v>17500</v>
      </c>
    </row>
    <row r="58" spans="1:6" ht="21.75" thickBot="1" x14ac:dyDescent="0.4">
      <c r="A58" s="376" t="s">
        <v>486</v>
      </c>
      <c r="B58" s="14">
        <f>SUM(B55:B57)</f>
        <v>38716</v>
      </c>
      <c r="C58" s="14">
        <f>SUM(C55:C57)</f>
        <v>61069</v>
      </c>
      <c r="D58" s="14">
        <f t="shared" ref="D58:E58" si="10">SUM(D55:D57)</f>
        <v>83768</v>
      </c>
      <c r="E58" s="14">
        <f t="shared" si="10"/>
        <v>-509</v>
      </c>
      <c r="F58" s="14">
        <f>SUM(F55:F57)</f>
        <v>83259</v>
      </c>
    </row>
    <row r="59" spans="1:6" ht="21.75" thickBot="1" x14ac:dyDescent="0.4">
      <c r="A59" s="377" t="s">
        <v>487</v>
      </c>
      <c r="B59" s="14">
        <f>B53+B58</f>
        <v>38716</v>
      </c>
      <c r="C59" s="14">
        <f>C53+C58</f>
        <v>61069</v>
      </c>
      <c r="D59" s="14">
        <f t="shared" ref="D59:E59" si="11">D53+D58</f>
        <v>83768</v>
      </c>
      <c r="E59" s="14">
        <f t="shared" si="11"/>
        <v>-509</v>
      </c>
      <c r="F59" s="14">
        <f>F53+F58</f>
        <v>83259</v>
      </c>
    </row>
    <row r="60" spans="1:6" x14ac:dyDescent="0.35">
      <c r="A60" s="378" t="s">
        <v>488</v>
      </c>
      <c r="B60" s="165"/>
      <c r="C60" s="49"/>
      <c r="D60" s="49"/>
      <c r="E60" s="49"/>
      <c r="F60" s="49"/>
    </row>
    <row r="61" spans="1:6" x14ac:dyDescent="0.35">
      <c r="A61" s="379" t="s">
        <v>253</v>
      </c>
      <c r="B61" s="566">
        <v>1607</v>
      </c>
      <c r="C61" s="4">
        <v>2023</v>
      </c>
      <c r="D61" s="4">
        <v>2920</v>
      </c>
      <c r="E61" s="50"/>
      <c r="F61" s="50">
        <f>SUM(D61:E61)</f>
        <v>2920</v>
      </c>
    </row>
    <row r="62" spans="1:6" x14ac:dyDescent="0.35">
      <c r="A62" s="379" t="s">
        <v>353</v>
      </c>
      <c r="B62" s="566">
        <v>5031</v>
      </c>
      <c r="C62" s="50">
        <v>5000</v>
      </c>
      <c r="D62" s="50">
        <v>5829</v>
      </c>
      <c r="E62" s="50"/>
      <c r="F62" s="50">
        <f t="shared" ref="F62:F63" si="12">SUM(D62:E62)</f>
        <v>5829</v>
      </c>
    </row>
    <row r="63" spans="1:6" ht="21.75" thickBot="1" x14ac:dyDescent="0.4">
      <c r="A63" s="380" t="s">
        <v>434</v>
      </c>
      <c r="B63" s="570">
        <v>664</v>
      </c>
      <c r="C63" s="8">
        <v>1000</v>
      </c>
      <c r="D63" s="8">
        <v>900</v>
      </c>
      <c r="E63" s="8"/>
      <c r="F63" s="50">
        <f t="shared" si="12"/>
        <v>900</v>
      </c>
    </row>
    <row r="64" spans="1:6" ht="21.75" thickBot="1" x14ac:dyDescent="0.4">
      <c r="A64" s="381" t="s">
        <v>502</v>
      </c>
      <c r="B64" s="15">
        <f>SUM(B61:B63)</f>
        <v>7302</v>
      </c>
      <c r="C64" s="15">
        <f>SUM(C61:C63)</f>
        <v>8023</v>
      </c>
      <c r="D64" s="15">
        <f t="shared" ref="D64:E64" si="13">SUM(D61:D63)</f>
        <v>9649</v>
      </c>
      <c r="E64" s="15">
        <f t="shared" si="13"/>
        <v>0</v>
      </c>
      <c r="F64" s="15">
        <f t="shared" ref="F64" si="14">SUM(F61:F63)</f>
        <v>9649</v>
      </c>
    </row>
    <row r="65" spans="1:6" ht="21.75" thickBot="1" x14ac:dyDescent="0.4">
      <c r="A65" s="382" t="s">
        <v>489</v>
      </c>
      <c r="B65" s="31">
        <f>B52+B59+B64</f>
        <v>101418</v>
      </c>
      <c r="C65" s="31">
        <f>C52+C59+C64</f>
        <v>130192</v>
      </c>
      <c r="D65" s="31">
        <f t="shared" ref="D65:E65" si="15">D52+D59+D64</f>
        <v>179331</v>
      </c>
      <c r="E65" s="31">
        <f t="shared" si="15"/>
        <v>-509</v>
      </c>
      <c r="F65" s="31">
        <f>F52+F59+F64</f>
        <v>178822</v>
      </c>
    </row>
    <row r="66" spans="1:6" ht="21.75" thickBot="1" x14ac:dyDescent="0.4">
      <c r="A66" s="377" t="s">
        <v>490</v>
      </c>
      <c r="B66" s="14">
        <f>B25+B65</f>
        <v>3546874</v>
      </c>
      <c r="C66" s="14">
        <f>C25+C65</f>
        <v>3694119</v>
      </c>
      <c r="D66" s="14">
        <f t="shared" ref="D66:E66" si="16">D25+D65</f>
        <v>4415349</v>
      </c>
      <c r="E66" s="14">
        <f t="shared" si="16"/>
        <v>31194</v>
      </c>
      <c r="F66" s="14">
        <f>F25+F65</f>
        <v>4446543</v>
      </c>
    </row>
    <row r="67" spans="1:6" x14ac:dyDescent="0.35">
      <c r="A67" s="383"/>
      <c r="B67" s="561"/>
      <c r="C67" s="17"/>
      <c r="D67" s="17"/>
      <c r="E67" s="17"/>
      <c r="F67" s="17"/>
    </row>
    <row r="68" spans="1:6" ht="21.75" thickBot="1" x14ac:dyDescent="0.4">
      <c r="A68" s="288" t="s">
        <v>80</v>
      </c>
      <c r="B68" s="19"/>
      <c r="C68" s="19"/>
      <c r="D68" s="19"/>
      <c r="E68" s="19"/>
      <c r="F68" s="19"/>
    </row>
    <row r="69" spans="1:6" x14ac:dyDescent="0.35">
      <c r="A69" s="350" t="s">
        <v>155</v>
      </c>
      <c r="B69" s="162" t="s">
        <v>417</v>
      </c>
      <c r="C69" s="162" t="s">
        <v>438</v>
      </c>
      <c r="D69" s="162" t="s">
        <v>662</v>
      </c>
      <c r="E69" s="162" t="s">
        <v>663</v>
      </c>
      <c r="F69" s="162" t="s">
        <v>697</v>
      </c>
    </row>
    <row r="70" spans="1:6" ht="21.75" thickBot="1" x14ac:dyDescent="0.4">
      <c r="A70" s="351"/>
      <c r="B70" s="165" t="s">
        <v>665</v>
      </c>
      <c r="C70" s="342" t="s">
        <v>331</v>
      </c>
      <c r="D70" s="342" t="s">
        <v>344</v>
      </c>
      <c r="E70" s="342" t="s">
        <v>664</v>
      </c>
      <c r="F70" s="342" t="s">
        <v>344</v>
      </c>
    </row>
    <row r="71" spans="1:6" ht="21.75" thickBot="1" x14ac:dyDescent="0.4">
      <c r="A71" s="358" t="s">
        <v>97</v>
      </c>
      <c r="B71" s="11">
        <v>1877</v>
      </c>
      <c r="C71" s="11"/>
      <c r="D71" s="11">
        <v>500</v>
      </c>
      <c r="E71" s="11"/>
      <c r="F71" s="11">
        <f>SUM(C71:E71)</f>
        <v>500</v>
      </c>
    </row>
    <row r="72" spans="1:6" ht="21.75" thickBot="1" x14ac:dyDescent="0.4">
      <c r="A72" s="358" t="s">
        <v>87</v>
      </c>
      <c r="B72" s="11">
        <v>49434</v>
      </c>
      <c r="C72" s="11"/>
      <c r="D72" s="11">
        <v>57689</v>
      </c>
      <c r="E72" s="11"/>
      <c r="F72" s="11">
        <f>SUM(D72:E72)</f>
        <v>57689</v>
      </c>
    </row>
    <row r="73" spans="1:6" ht="21.75" thickBot="1" x14ac:dyDescent="0.4">
      <c r="A73" s="345" t="s">
        <v>107</v>
      </c>
      <c r="B73" s="138">
        <v>12781</v>
      </c>
      <c r="C73" s="51"/>
      <c r="D73" s="51">
        <v>12000</v>
      </c>
      <c r="E73" s="51"/>
      <c r="F73" s="51">
        <f>SUM(D73:E73)</f>
        <v>12000</v>
      </c>
    </row>
    <row r="74" spans="1:6" ht="21.75" thickBot="1" x14ac:dyDescent="0.4">
      <c r="A74" s="345" t="s">
        <v>146</v>
      </c>
      <c r="B74" s="562">
        <v>44391</v>
      </c>
      <c r="C74" s="137"/>
      <c r="D74" s="137">
        <v>9793</v>
      </c>
      <c r="E74" s="137"/>
      <c r="F74" s="137">
        <f>SUM(D74:E74)</f>
        <v>9793</v>
      </c>
    </row>
    <row r="75" spans="1:6" ht="21.75" thickBot="1" x14ac:dyDescent="0.4">
      <c r="A75" s="353" t="s">
        <v>294</v>
      </c>
      <c r="B75" s="53">
        <f>B71+B72+B73+B74</f>
        <v>108483</v>
      </c>
      <c r="C75" s="53">
        <f>C71+C72+C73+C74</f>
        <v>0</v>
      </c>
      <c r="D75" s="15">
        <f>D71+D72+D73+D74</f>
        <v>79982</v>
      </c>
      <c r="E75" s="15">
        <f>E71+E72+E73+E74</f>
        <v>0</v>
      </c>
      <c r="F75" s="15">
        <f>F71+F72+F73+F74</f>
        <v>79982</v>
      </c>
    </row>
    <row r="76" spans="1:6" ht="21.75" thickBot="1" x14ac:dyDescent="0.4">
      <c r="A76" s="45"/>
      <c r="B76" s="17"/>
      <c r="C76" s="17"/>
      <c r="D76" s="17"/>
      <c r="E76" s="17"/>
      <c r="F76" s="17"/>
    </row>
    <row r="77" spans="1:6" ht="21.75" thickBot="1" x14ac:dyDescent="0.4">
      <c r="A77" s="363" t="s">
        <v>277</v>
      </c>
      <c r="B77" s="16">
        <f>B66+B75</f>
        <v>3655357</v>
      </c>
      <c r="C77" s="16">
        <f>C66+C75</f>
        <v>3694119</v>
      </c>
      <c r="D77" s="16">
        <f>D66+D75</f>
        <v>4495331</v>
      </c>
      <c r="E77" s="16">
        <f>E66+E75</f>
        <v>31194</v>
      </c>
      <c r="F77" s="16">
        <f>F66+F75</f>
        <v>4526525</v>
      </c>
    </row>
    <row r="79" spans="1:6" x14ac:dyDescent="0.35">
      <c r="A79" s="45" t="s">
        <v>72</v>
      </c>
      <c r="B79" s="17"/>
      <c r="C79" s="17"/>
      <c r="D79" s="17"/>
      <c r="E79" s="17"/>
      <c r="F79" s="354"/>
    </row>
    <row r="80" spans="1:6" x14ac:dyDescent="0.35">
      <c r="A80" s="45" t="s">
        <v>73</v>
      </c>
      <c r="B80" s="17"/>
      <c r="C80" s="17"/>
      <c r="D80" s="17"/>
      <c r="E80" s="17"/>
      <c r="F80" s="17"/>
    </row>
  </sheetData>
  <customSheetViews>
    <customSheetView guid="{6D4B996F-8915-4E78-98C2-E7EAE9C4580C}" scale="75" showRuler="0" topLeftCell="A97">
      <selection activeCell="B111" sqref="B111"/>
      <rowBreaks count="2" manualBreakCount="2">
        <brk id="39" max="3" man="1"/>
        <brk id="81" max="3" man="1"/>
      </rowBreaks>
      <pageMargins left="0.39370078740157483" right="0.19685039370078741" top="0" bottom="0" header="0.70866141732283472" footer="0.11811023622047245"/>
      <printOptions horizontalCentered="1" verticalCentered="1"/>
      <pageSetup paperSize="9" scale="75" orientation="portrait" horizontalDpi="300" verticalDpi="300" r:id="rId1"/>
      <headerFooter alignWithMargins="0">
        <oddHeader>&amp;L&amp;F  &amp;A&amp;R&amp;"Times New Roman CE,Félkövér"&amp;14M.III/3. sz. melléklet</oddHeader>
      </headerFooter>
    </customSheetView>
    <customSheetView guid="{186732C5-520C-4E06-B066-B4F3F0A3E322}" scale="75" showRuler="0" topLeftCell="A98">
      <selection activeCell="B120" sqref="B120"/>
      <rowBreaks count="2" manualBreakCount="2">
        <brk id="39" max="3" man="1"/>
        <brk id="81" max="3" man="1"/>
      </rowBreaks>
      <pageMargins left="0.39370078740157483" right="0.19685039370078741" top="0" bottom="0" header="0.70866141732283472" footer="0.11811023622047245"/>
      <printOptions horizontalCentered="1" verticalCentered="1"/>
      <pageSetup paperSize="9" scale="75" orientation="portrait" horizontalDpi="300" verticalDpi="300" r:id="rId2"/>
      <headerFooter alignWithMargins="0">
        <oddHeader>&amp;L&amp;F  &amp;A&amp;R&amp;"Times New Roman CE,Félkövér"&amp;14M.III/3. sz. melléklet</oddHeader>
      </headerFooter>
    </customSheetView>
  </customSheetViews>
  <mergeCells count="1">
    <mergeCell ref="A2:F2"/>
  </mergeCells>
  <phoneticPr fontId="0" type="noConversion"/>
  <printOptions horizontalCentered="1" verticalCentered="1"/>
  <pageMargins left="0" right="0" top="0" bottom="0" header="0.19685039370078741" footer="0"/>
  <pageSetup paperSize="9" scale="34" orientation="portrait" r:id="rId3"/>
  <headerFooter alignWithMargins="0">
    <oddHeader xml:space="preserve">&amp;R&amp;"-,Félkövér"&amp;12 
9. melléklet a 14/2026. (IX.25.) önkormányzati rendelethe&amp;"Times New Roman CE,Félkövér"z
"9. melléklet a 3/2026.(II.27.) önkormányzati rendelethez"
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Munka11"/>
  <dimension ref="A1:F49"/>
  <sheetViews>
    <sheetView zoomScaleNormal="100" workbookViewId="0">
      <selection activeCell="A51" sqref="A51:XFD57"/>
    </sheetView>
  </sheetViews>
  <sheetFormatPr defaultColWidth="9.33203125" defaultRowHeight="21" x14ac:dyDescent="0.35"/>
  <cols>
    <col min="1" max="1" width="90.1640625" style="55" customWidth="1"/>
    <col min="2" max="2" width="37" style="150" customWidth="1"/>
    <col min="3" max="3" width="31" style="55" customWidth="1"/>
    <col min="4" max="4" width="39.6640625" style="55" customWidth="1"/>
    <col min="5" max="5" width="39.33203125" style="55" customWidth="1"/>
    <col min="6" max="6" width="43.33203125" style="55" customWidth="1"/>
    <col min="7" max="16384" width="9.33203125" style="55"/>
  </cols>
  <sheetData>
    <row r="1" spans="1:6" x14ac:dyDescent="0.35">
      <c r="A1" s="160"/>
      <c r="B1" s="571"/>
      <c r="C1" s="160"/>
      <c r="D1" s="160"/>
      <c r="E1" s="160"/>
      <c r="F1" s="160"/>
    </row>
    <row r="2" spans="1:6" x14ac:dyDescent="0.35">
      <c r="A2" s="1019" t="s">
        <v>52</v>
      </c>
      <c r="B2" s="1019"/>
      <c r="C2" s="1019"/>
      <c r="D2" s="1019"/>
      <c r="E2" s="1019"/>
      <c r="F2" s="1019"/>
    </row>
    <row r="3" spans="1:6" x14ac:dyDescent="0.35">
      <c r="A3" s="160"/>
      <c r="B3" s="571"/>
      <c r="C3" s="160"/>
      <c r="D3" s="160"/>
      <c r="E3" s="160"/>
      <c r="F3" s="160"/>
    </row>
    <row r="4" spans="1:6" ht="21.75" thickBot="1" x14ac:dyDescent="0.4">
      <c r="A4" s="293" t="s">
        <v>35</v>
      </c>
      <c r="B4" s="572"/>
      <c r="C4" s="293"/>
      <c r="D4" s="293"/>
      <c r="E4" s="293"/>
      <c r="F4" s="145" t="s">
        <v>201</v>
      </c>
    </row>
    <row r="5" spans="1:6" x14ac:dyDescent="0.35">
      <c r="A5" s="384" t="s">
        <v>155</v>
      </c>
      <c r="B5" s="162" t="s">
        <v>417</v>
      </c>
      <c r="C5" s="162" t="s">
        <v>438</v>
      </c>
      <c r="D5" s="162" t="s">
        <v>662</v>
      </c>
      <c r="E5" s="162" t="s">
        <v>663</v>
      </c>
      <c r="F5" s="162" t="s">
        <v>697</v>
      </c>
    </row>
    <row r="6" spans="1:6" ht="20.25" customHeight="1" thickBot="1" x14ac:dyDescent="0.4">
      <c r="A6" s="385"/>
      <c r="B6" s="165" t="s">
        <v>665</v>
      </c>
      <c r="C6" s="342" t="s">
        <v>331</v>
      </c>
      <c r="D6" s="342" t="s">
        <v>344</v>
      </c>
      <c r="E6" s="342" t="s">
        <v>664</v>
      </c>
      <c r="F6" s="342" t="s">
        <v>344</v>
      </c>
    </row>
    <row r="7" spans="1:6" s="2" customFormat="1" ht="42.75" thickBot="1" x14ac:dyDescent="0.4">
      <c r="A7" s="387" t="s">
        <v>469</v>
      </c>
      <c r="B7" s="575">
        <v>1939023</v>
      </c>
      <c r="C7" s="138">
        <f>1717664+71309</f>
        <v>1788973</v>
      </c>
      <c r="D7" s="138">
        <v>1984753</v>
      </c>
      <c r="E7" s="138">
        <f>73552+31089+451+1920+3665+26844</f>
        <v>137521</v>
      </c>
      <c r="F7" s="138">
        <f>SUM(D7:E7)</f>
        <v>2122274</v>
      </c>
    </row>
    <row r="8" spans="1:6" x14ac:dyDescent="0.35">
      <c r="A8" s="56" t="s">
        <v>517</v>
      </c>
      <c r="B8" s="576"/>
      <c r="C8" s="57"/>
      <c r="D8" s="56"/>
      <c r="E8" s="56"/>
      <c r="F8" s="57"/>
    </row>
    <row r="9" spans="1:6" x14ac:dyDescent="0.35">
      <c r="A9" s="388" t="s">
        <v>467</v>
      </c>
      <c r="B9" s="577">
        <v>192786</v>
      </c>
      <c r="C9" s="58">
        <v>204000</v>
      </c>
      <c r="D9" s="58">
        <v>225116</v>
      </c>
      <c r="E9" s="58">
        <f>4974+3996-240-400-120-400</f>
        <v>7810</v>
      </c>
      <c r="F9" s="58">
        <f>SUM(D9:E9)</f>
        <v>232926</v>
      </c>
    </row>
    <row r="10" spans="1:6" ht="42.75" customHeight="1" x14ac:dyDescent="0.35">
      <c r="A10" s="389" t="s">
        <v>563</v>
      </c>
      <c r="B10" s="577">
        <v>167272</v>
      </c>
      <c r="C10" s="58">
        <v>167272</v>
      </c>
      <c r="D10" s="58">
        <v>167272</v>
      </c>
      <c r="E10" s="58"/>
      <c r="F10" s="58">
        <f>SUM(D10:E10)</f>
        <v>167272</v>
      </c>
    </row>
    <row r="11" spans="1:6" ht="42" x14ac:dyDescent="0.35">
      <c r="A11" s="540" t="s">
        <v>564</v>
      </c>
      <c r="B11" s="63">
        <v>8000</v>
      </c>
      <c r="C11" s="48">
        <v>8000</v>
      </c>
      <c r="D11" s="48">
        <v>8000</v>
      </c>
      <c r="E11" s="48"/>
      <c r="F11" s="48">
        <f>SUM(D11:E11)</f>
        <v>8000</v>
      </c>
    </row>
    <row r="12" spans="1:6" x14ac:dyDescent="0.35">
      <c r="A12" s="390" t="s">
        <v>348</v>
      </c>
      <c r="B12" s="556">
        <v>250</v>
      </c>
      <c r="C12" s="48">
        <v>2000</v>
      </c>
      <c r="D12" s="48">
        <v>2000</v>
      </c>
      <c r="E12" s="48"/>
      <c r="F12" s="48">
        <f t="shared" ref="F12:F22" si="0">SUM(D12:E12)</f>
        <v>2000</v>
      </c>
    </row>
    <row r="13" spans="1:6" x14ac:dyDescent="0.35">
      <c r="A13" s="346" t="s">
        <v>255</v>
      </c>
      <c r="B13" s="556">
        <v>2119</v>
      </c>
      <c r="C13" s="48">
        <v>2055</v>
      </c>
      <c r="D13" s="48">
        <v>2190</v>
      </c>
      <c r="E13" s="48"/>
      <c r="F13" s="48">
        <f t="shared" si="0"/>
        <v>2190</v>
      </c>
    </row>
    <row r="14" spans="1:6" x14ac:dyDescent="0.35">
      <c r="A14" s="346" t="s">
        <v>20</v>
      </c>
      <c r="B14" s="556">
        <v>4</v>
      </c>
      <c r="C14" s="48">
        <v>2500</v>
      </c>
      <c r="D14" s="48">
        <v>2500</v>
      </c>
      <c r="E14" s="48"/>
      <c r="F14" s="48">
        <f t="shared" si="0"/>
        <v>2500</v>
      </c>
    </row>
    <row r="15" spans="1:6" x14ac:dyDescent="0.35">
      <c r="A15" s="346" t="s">
        <v>18</v>
      </c>
      <c r="B15" s="556">
        <v>1000</v>
      </c>
      <c r="C15" s="48">
        <v>1000</v>
      </c>
      <c r="D15" s="48">
        <v>1000</v>
      </c>
      <c r="E15" s="48"/>
      <c r="F15" s="48">
        <f t="shared" si="0"/>
        <v>1000</v>
      </c>
    </row>
    <row r="16" spans="1:6" x14ac:dyDescent="0.35">
      <c r="A16" s="346" t="s">
        <v>92</v>
      </c>
      <c r="B16" s="556">
        <v>11000</v>
      </c>
      <c r="C16" s="48">
        <v>11000</v>
      </c>
      <c r="D16" s="48">
        <v>11000</v>
      </c>
      <c r="E16" s="48"/>
      <c r="F16" s="48">
        <f t="shared" si="0"/>
        <v>11000</v>
      </c>
    </row>
    <row r="17" spans="1:6" ht="39" customHeight="1" x14ac:dyDescent="0.35">
      <c r="A17" s="346" t="s">
        <v>352</v>
      </c>
      <c r="B17" s="556">
        <v>8000</v>
      </c>
      <c r="C17" s="48">
        <v>8000</v>
      </c>
      <c r="D17" s="48">
        <v>8000</v>
      </c>
      <c r="E17" s="48"/>
      <c r="F17" s="48">
        <f t="shared" si="0"/>
        <v>8000</v>
      </c>
    </row>
    <row r="18" spans="1:6" ht="63" x14ac:dyDescent="0.35">
      <c r="A18" s="391" t="s">
        <v>351</v>
      </c>
      <c r="B18" s="48">
        <v>2200</v>
      </c>
      <c r="C18" s="48">
        <v>3300</v>
      </c>
      <c r="D18" s="48">
        <v>3300</v>
      </c>
      <c r="E18" s="48"/>
      <c r="F18" s="48">
        <f t="shared" si="0"/>
        <v>3300</v>
      </c>
    </row>
    <row r="19" spans="1:6" x14ac:dyDescent="0.35">
      <c r="A19" s="392" t="s">
        <v>0</v>
      </c>
      <c r="B19" s="556">
        <v>76343</v>
      </c>
      <c r="C19" s="48">
        <v>50000</v>
      </c>
      <c r="D19" s="48">
        <v>81297</v>
      </c>
      <c r="E19" s="48"/>
      <c r="F19" s="48">
        <f t="shared" si="0"/>
        <v>81297</v>
      </c>
    </row>
    <row r="20" spans="1:6" x14ac:dyDescent="0.35">
      <c r="A20" s="392" t="s">
        <v>350</v>
      </c>
      <c r="B20" s="556">
        <v>54998</v>
      </c>
      <c r="C20" s="48">
        <f>3000+1000</f>
        <v>4000</v>
      </c>
      <c r="D20" s="48">
        <v>24231</v>
      </c>
      <c r="E20" s="48">
        <v>21764</v>
      </c>
      <c r="F20" s="48">
        <f t="shared" si="0"/>
        <v>45995</v>
      </c>
    </row>
    <row r="21" spans="1:6" x14ac:dyDescent="0.35">
      <c r="A21" s="392" t="s">
        <v>588</v>
      </c>
      <c r="B21" s="556"/>
      <c r="C21" s="48"/>
      <c r="D21" s="48">
        <v>1000</v>
      </c>
      <c r="E21" s="48"/>
      <c r="F21" s="48">
        <f t="shared" si="0"/>
        <v>1000</v>
      </c>
    </row>
    <row r="22" spans="1:6" x14ac:dyDescent="0.35">
      <c r="A22" s="392" t="s">
        <v>410</v>
      </c>
      <c r="B22" s="556">
        <v>86</v>
      </c>
      <c r="C22" s="48"/>
      <c r="D22" s="48">
        <v>114</v>
      </c>
      <c r="E22" s="48"/>
      <c r="F22" s="48">
        <f t="shared" si="0"/>
        <v>114</v>
      </c>
    </row>
    <row r="23" spans="1:6" x14ac:dyDescent="0.35">
      <c r="A23" s="389" t="s">
        <v>251</v>
      </c>
      <c r="B23" s="577"/>
      <c r="C23" s="58">
        <f>5000+3500</f>
        <v>8500</v>
      </c>
      <c r="D23" s="58">
        <v>7987</v>
      </c>
      <c r="E23" s="58">
        <v>-3665</v>
      </c>
      <c r="F23" s="58">
        <f>SUM(D23:E23)</f>
        <v>4322</v>
      </c>
    </row>
    <row r="24" spans="1:6" ht="42" x14ac:dyDescent="0.35">
      <c r="A24" s="392" t="s">
        <v>256</v>
      </c>
      <c r="B24" s="556"/>
      <c r="C24" s="48">
        <v>0</v>
      </c>
      <c r="D24" s="48">
        <v>660</v>
      </c>
      <c r="E24" s="48"/>
      <c r="F24" s="48">
        <f>SUM(D24:E24)</f>
        <v>660</v>
      </c>
    </row>
    <row r="25" spans="1:6" ht="84" x14ac:dyDescent="0.35">
      <c r="A25" s="392" t="s">
        <v>458</v>
      </c>
      <c r="B25" s="556">
        <v>7000</v>
      </c>
      <c r="C25" s="48">
        <v>7000</v>
      </c>
      <c r="D25" s="48">
        <v>7000</v>
      </c>
      <c r="E25" s="48"/>
      <c r="F25" s="48">
        <f t="shared" ref="F25:F37" si="1">SUM(D25:E25)</f>
        <v>7000</v>
      </c>
    </row>
    <row r="26" spans="1:6" x14ac:dyDescent="0.35">
      <c r="A26" s="392" t="s">
        <v>295</v>
      </c>
      <c r="B26" s="556">
        <v>11610</v>
      </c>
      <c r="C26" s="48">
        <f>8263+5329</f>
        <v>13592</v>
      </c>
      <c r="D26" s="48">
        <v>14092</v>
      </c>
      <c r="E26" s="48"/>
      <c r="F26" s="48">
        <f t="shared" si="1"/>
        <v>14092</v>
      </c>
    </row>
    <row r="27" spans="1:6" x14ac:dyDescent="0.35">
      <c r="A27" s="392" t="s">
        <v>449</v>
      </c>
      <c r="B27" s="556">
        <v>9842</v>
      </c>
      <c r="C27" s="48">
        <v>0</v>
      </c>
      <c r="D27" s="48">
        <v>0</v>
      </c>
      <c r="E27" s="48"/>
      <c r="F27" s="48">
        <f t="shared" si="1"/>
        <v>0</v>
      </c>
    </row>
    <row r="28" spans="1:6" ht="42" x14ac:dyDescent="0.35">
      <c r="A28" s="392" t="s">
        <v>343</v>
      </c>
      <c r="B28" s="556">
        <v>3000</v>
      </c>
      <c r="C28" s="48">
        <v>3000</v>
      </c>
      <c r="D28" s="48">
        <v>3000</v>
      </c>
      <c r="E28" s="48"/>
      <c r="F28" s="48">
        <f t="shared" si="1"/>
        <v>3000</v>
      </c>
    </row>
    <row r="29" spans="1:6" ht="42" x14ac:dyDescent="0.35">
      <c r="A29" s="392" t="s">
        <v>443</v>
      </c>
      <c r="B29" s="556">
        <v>450</v>
      </c>
      <c r="C29" s="48"/>
      <c r="D29" s="48">
        <v>0</v>
      </c>
      <c r="E29" s="48"/>
      <c r="F29" s="48">
        <f t="shared" si="1"/>
        <v>0</v>
      </c>
    </row>
    <row r="30" spans="1:6" ht="42" x14ac:dyDescent="0.35">
      <c r="A30" s="392" t="s">
        <v>715</v>
      </c>
      <c r="B30" s="556"/>
      <c r="C30" s="48"/>
      <c r="D30" s="48"/>
      <c r="E30" s="48">
        <v>240</v>
      </c>
      <c r="F30" s="48">
        <f t="shared" si="1"/>
        <v>240</v>
      </c>
    </row>
    <row r="31" spans="1:6" ht="42" x14ac:dyDescent="0.35">
      <c r="A31" s="392" t="s">
        <v>718</v>
      </c>
      <c r="B31" s="556"/>
      <c r="C31" s="48"/>
      <c r="D31" s="48"/>
      <c r="E31" s="48">
        <v>400</v>
      </c>
      <c r="F31" s="48">
        <f t="shared" si="1"/>
        <v>400</v>
      </c>
    </row>
    <row r="32" spans="1:6" ht="63" x14ac:dyDescent="0.35">
      <c r="A32" s="392" t="s">
        <v>406</v>
      </c>
      <c r="B32" s="556">
        <v>1200</v>
      </c>
      <c r="C32" s="48"/>
      <c r="D32" s="48">
        <v>300</v>
      </c>
      <c r="E32" s="48"/>
      <c r="F32" s="48">
        <f t="shared" si="1"/>
        <v>300</v>
      </c>
    </row>
    <row r="33" spans="1:6" ht="42" x14ac:dyDescent="0.35">
      <c r="A33" s="368" t="s">
        <v>547</v>
      </c>
      <c r="B33" s="558">
        <v>2000</v>
      </c>
      <c r="C33" s="48"/>
      <c r="D33" s="48">
        <v>0</v>
      </c>
      <c r="E33" s="48"/>
      <c r="F33" s="48">
        <f t="shared" si="1"/>
        <v>0</v>
      </c>
    </row>
    <row r="34" spans="1:6" ht="42" x14ac:dyDescent="0.35">
      <c r="A34" s="368" t="s">
        <v>716</v>
      </c>
      <c r="B34" s="558">
        <v>400</v>
      </c>
      <c r="C34" s="48"/>
      <c r="D34" s="48">
        <v>0</v>
      </c>
      <c r="E34" s="48">
        <v>400</v>
      </c>
      <c r="F34" s="48">
        <f t="shared" si="1"/>
        <v>400</v>
      </c>
    </row>
    <row r="35" spans="1:6" ht="42" x14ac:dyDescent="0.35">
      <c r="A35" s="368" t="s">
        <v>717</v>
      </c>
      <c r="B35" s="558"/>
      <c r="C35" s="48"/>
      <c r="D35" s="48"/>
      <c r="E35" s="48">
        <v>120</v>
      </c>
      <c r="F35" s="48">
        <f t="shared" si="1"/>
        <v>120</v>
      </c>
    </row>
    <row r="36" spans="1:6" ht="42" x14ac:dyDescent="0.35">
      <c r="A36" s="392" t="s">
        <v>548</v>
      </c>
      <c r="B36" s="556">
        <v>700</v>
      </c>
      <c r="C36" s="48"/>
      <c r="D36" s="48">
        <v>0</v>
      </c>
      <c r="E36" s="48"/>
      <c r="F36" s="48">
        <f t="shared" si="1"/>
        <v>0</v>
      </c>
    </row>
    <row r="37" spans="1:6" ht="63" x14ac:dyDescent="0.35">
      <c r="A37" s="392" t="s">
        <v>425</v>
      </c>
      <c r="B37" s="578">
        <v>5858</v>
      </c>
      <c r="C37" s="59"/>
      <c r="D37" s="59">
        <v>1851</v>
      </c>
      <c r="E37" s="59">
        <v>1369</v>
      </c>
      <c r="F37" s="48">
        <f t="shared" si="1"/>
        <v>3220</v>
      </c>
    </row>
    <row r="38" spans="1:6" ht="21.75" thickBot="1" x14ac:dyDescent="0.4">
      <c r="A38" s="393" t="s">
        <v>516</v>
      </c>
      <c r="B38" s="42">
        <f>SUM(B9:B37)</f>
        <v>566118</v>
      </c>
      <c r="C38" s="60">
        <f>SUM(C9:C37)</f>
        <v>495219</v>
      </c>
      <c r="D38" s="60">
        <f t="shared" ref="D38:E38" si="2">SUM(D9:D37)</f>
        <v>571910</v>
      </c>
      <c r="E38" s="60">
        <f t="shared" si="2"/>
        <v>28438</v>
      </c>
      <c r="F38" s="60">
        <f>SUM(F9:F37)</f>
        <v>600348</v>
      </c>
    </row>
    <row r="39" spans="1:6" s="62" customFormat="1" ht="21.75" thickBot="1" x14ac:dyDescent="0.4">
      <c r="A39" s="394" t="s">
        <v>275</v>
      </c>
      <c r="B39" s="70">
        <f>B7+B38</f>
        <v>2505141</v>
      </c>
      <c r="C39" s="61">
        <f>C7+C38</f>
        <v>2284192</v>
      </c>
      <c r="D39" s="61">
        <f t="shared" ref="D39:E39" si="3">D7+D38</f>
        <v>2556663</v>
      </c>
      <c r="E39" s="61">
        <f t="shared" si="3"/>
        <v>165959</v>
      </c>
      <c r="F39" s="61">
        <f>F7+F38</f>
        <v>2722622</v>
      </c>
    </row>
    <row r="40" spans="1:6" x14ac:dyDescent="0.35">
      <c r="B40" s="145"/>
    </row>
    <row r="41" spans="1:6" ht="21.75" thickBot="1" x14ac:dyDescent="0.4">
      <c r="A41" s="293" t="s">
        <v>80</v>
      </c>
      <c r="B41" s="572"/>
      <c r="C41" s="293"/>
      <c r="D41" s="293"/>
      <c r="E41" s="293"/>
      <c r="F41" s="293"/>
    </row>
    <row r="42" spans="1:6" x14ac:dyDescent="0.35">
      <c r="A42" s="395" t="s">
        <v>155</v>
      </c>
      <c r="B42" s="162" t="s">
        <v>417</v>
      </c>
      <c r="C42" s="162" t="s">
        <v>438</v>
      </c>
      <c r="D42" s="162" t="s">
        <v>662</v>
      </c>
      <c r="E42" s="162" t="s">
        <v>663</v>
      </c>
      <c r="F42" s="162" t="s">
        <v>697</v>
      </c>
    </row>
    <row r="43" spans="1:6" ht="21.75" thickBot="1" x14ac:dyDescent="0.4">
      <c r="A43" s="396"/>
      <c r="B43" s="165" t="s">
        <v>665</v>
      </c>
      <c r="C43" s="342" t="s">
        <v>331</v>
      </c>
      <c r="D43" s="342" t="s">
        <v>344</v>
      </c>
      <c r="E43" s="342" t="s">
        <v>664</v>
      </c>
      <c r="F43" s="342" t="s">
        <v>344</v>
      </c>
    </row>
    <row r="44" spans="1:6" ht="42.75" thickBot="1" x14ac:dyDescent="0.4">
      <c r="A44" s="397" t="s">
        <v>469</v>
      </c>
      <c r="B44" s="61">
        <v>27472</v>
      </c>
      <c r="C44" s="61">
        <v>14967</v>
      </c>
      <c r="D44" s="61">
        <v>26719</v>
      </c>
      <c r="E44" s="61">
        <v>6192</v>
      </c>
      <c r="F44" s="61">
        <f>SUM(D44:E44)</f>
        <v>32911</v>
      </c>
    </row>
    <row r="45" spans="1:6" ht="21.75" thickBot="1" x14ac:dyDescent="0.4">
      <c r="A45" s="398"/>
      <c r="B45" s="573"/>
      <c r="C45" s="64"/>
      <c r="D45" s="64"/>
      <c r="E45" s="64"/>
      <c r="F45" s="64"/>
    </row>
    <row r="46" spans="1:6" ht="21.75" thickBot="1" x14ac:dyDescent="0.4">
      <c r="A46" s="398" t="s">
        <v>276</v>
      </c>
      <c r="B46" s="65">
        <f>+B44+B39</f>
        <v>2532613</v>
      </c>
      <c r="C46" s="65">
        <f>+C44+C39</f>
        <v>2299159</v>
      </c>
      <c r="D46" s="65">
        <f t="shared" ref="D46:E46" si="4">+D44+D39</f>
        <v>2583382</v>
      </c>
      <c r="E46" s="65">
        <f t="shared" si="4"/>
        <v>172151</v>
      </c>
      <c r="F46" s="65">
        <f>+F44+F39</f>
        <v>2755533</v>
      </c>
    </row>
    <row r="48" spans="1:6" x14ac:dyDescent="0.35">
      <c r="A48" s="62" t="s">
        <v>72</v>
      </c>
      <c r="B48" s="574"/>
      <c r="C48" s="62"/>
      <c r="D48" s="62"/>
      <c r="E48" s="62"/>
      <c r="F48" s="399"/>
    </row>
    <row r="49" spans="1:6" x14ac:dyDescent="0.35">
      <c r="A49" s="62" t="s">
        <v>73</v>
      </c>
      <c r="B49" s="574"/>
      <c r="C49" s="62"/>
      <c r="D49" s="62"/>
      <c r="E49" s="62"/>
      <c r="F49" s="62"/>
    </row>
  </sheetData>
  <customSheetViews>
    <customSheetView guid="{6D4B996F-8915-4E78-98C2-E7EAE9C4580C}" scale="75" printArea="1" showRuler="0" topLeftCell="A10">
      <selection activeCell="B28" sqref="B28"/>
      <pageMargins left="0.39370078740157483" right="0.39370078740157483" top="0.59055118110236227" bottom="0.59055118110236227" header="0.11811023622047245" footer="0.19685039370078741"/>
      <printOptions horizontalCentered="1" verticalCentered="1"/>
      <pageSetup paperSize="9" scale="67" orientation="portrait" horizontalDpi="300" verticalDpi="300" r:id="rId1"/>
      <headerFooter alignWithMargins="0">
        <oddHeader>&amp;L&amp;F   &amp;A&amp;RM.III/4. sz. melléklet</oddHeader>
      </headerFooter>
    </customSheetView>
    <customSheetView guid="{186732C5-520C-4E06-B066-B4F3F0A3E322}" scale="75" showRuler="0" topLeftCell="A13">
      <selection activeCell="B33" sqref="B33"/>
      <pageMargins left="0.39370078740157483" right="0.39370078740157483" top="0.59055118110236227" bottom="0.59055118110236227" header="0.11811023622047245" footer="0.19685039370078741"/>
      <printOptions horizontalCentered="1" verticalCentered="1"/>
      <pageSetup paperSize="9" scale="67" orientation="portrait" horizontalDpi="300" verticalDpi="300" r:id="rId2"/>
      <headerFooter alignWithMargins="0">
        <oddHeader>&amp;L&amp;F   &amp;A&amp;RM.III/4. sz. melléklet</oddHeader>
      </headerFooter>
    </customSheetView>
  </customSheetViews>
  <mergeCells count="1">
    <mergeCell ref="A2:F2"/>
  </mergeCells>
  <phoneticPr fontId="0" type="noConversion"/>
  <printOptions horizontalCentered="1" verticalCentered="1"/>
  <pageMargins left="0.59055118110236227" right="0.59055118110236227" top="0" bottom="0" header="0.51181102362204722" footer="0.51181102362204722"/>
  <pageSetup paperSize="9" scale="43" orientation="portrait" r:id="rId3"/>
  <headerFooter alignWithMargins="0">
    <oddHeader xml:space="preserve">&amp;R&amp;"-,Félkövér"&amp;12 
10. melléklet a 14/2026. (IX.25.) önkormányzati rendelethe&amp;"Times New Roman CE,Félkövér"z
"10. melléklet a 3/2026.(II.27.) önkormányzati rendelethez"
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Munka12"/>
  <dimension ref="A1:F30"/>
  <sheetViews>
    <sheetView zoomScale="89" zoomScaleNormal="89" workbookViewId="0">
      <selection activeCell="A33" sqref="A33:XFD41"/>
    </sheetView>
  </sheetViews>
  <sheetFormatPr defaultColWidth="9.33203125" defaultRowHeight="21" x14ac:dyDescent="0.35"/>
  <cols>
    <col min="1" max="1" width="91.1640625" style="2" customWidth="1"/>
    <col min="2" max="3" width="32.33203125" style="2" customWidth="1"/>
    <col min="4" max="4" width="39.5" style="2" customWidth="1"/>
    <col min="5" max="5" width="40.5" style="2" customWidth="1"/>
    <col min="6" max="6" width="44.83203125" style="2" customWidth="1"/>
    <col min="7" max="16384" width="9.33203125" style="2"/>
  </cols>
  <sheetData>
    <row r="1" spans="1:6" x14ac:dyDescent="0.35">
      <c r="A1" s="159"/>
      <c r="B1" s="159"/>
      <c r="C1" s="159"/>
      <c r="D1" s="159"/>
      <c r="E1" s="159"/>
      <c r="F1" s="159"/>
    </row>
    <row r="2" spans="1:6" x14ac:dyDescent="0.35">
      <c r="A2" s="973" t="s">
        <v>53</v>
      </c>
      <c r="B2" s="973"/>
      <c r="C2" s="973"/>
      <c r="D2" s="973"/>
      <c r="E2" s="973"/>
      <c r="F2" s="973"/>
    </row>
    <row r="3" spans="1:6" x14ac:dyDescent="0.35">
      <c r="A3" s="159"/>
      <c r="B3" s="159"/>
      <c r="C3" s="159"/>
      <c r="D3" s="159"/>
      <c r="E3" s="159"/>
      <c r="F3" s="159"/>
    </row>
    <row r="4" spans="1:6" ht="21.75" thickBot="1" x14ac:dyDescent="0.4">
      <c r="A4" s="288" t="s">
        <v>35</v>
      </c>
      <c r="B4" s="288"/>
      <c r="C4" s="288"/>
      <c r="D4" s="288"/>
      <c r="E4" s="288"/>
      <c r="F4" s="280" t="s">
        <v>201</v>
      </c>
    </row>
    <row r="5" spans="1:6" x14ac:dyDescent="0.35">
      <c r="A5" s="340" t="s">
        <v>155</v>
      </c>
      <c r="B5" s="162" t="s">
        <v>417</v>
      </c>
      <c r="C5" s="162" t="s">
        <v>438</v>
      </c>
      <c r="D5" s="162" t="s">
        <v>662</v>
      </c>
      <c r="E5" s="162" t="s">
        <v>663</v>
      </c>
      <c r="F5" s="162" t="s">
        <v>697</v>
      </c>
    </row>
    <row r="6" spans="1:6" ht="21.75" thickBot="1" x14ac:dyDescent="0.4">
      <c r="A6" s="341"/>
      <c r="B6" s="165" t="s">
        <v>665</v>
      </c>
      <c r="C6" s="342" t="s">
        <v>331</v>
      </c>
      <c r="D6" s="342" t="s">
        <v>344</v>
      </c>
      <c r="E6" s="342" t="s">
        <v>664</v>
      </c>
      <c r="F6" s="342" t="s">
        <v>344</v>
      </c>
    </row>
    <row r="7" spans="1:6" s="45" customFormat="1" ht="21.75" thickBot="1" x14ac:dyDescent="0.4">
      <c r="A7" s="400" t="s">
        <v>660</v>
      </c>
      <c r="B7" s="51">
        <v>892043</v>
      </c>
      <c r="C7" s="138">
        <f>844822+114357</f>
        <v>959179</v>
      </c>
      <c r="D7" s="138">
        <v>1150836</v>
      </c>
      <c r="E7" s="138">
        <f>1280+1273</f>
        <v>2553</v>
      </c>
      <c r="F7" s="138">
        <f>SUM(D7:E7)</f>
        <v>1153389</v>
      </c>
    </row>
    <row r="8" spans="1:6" x14ac:dyDescent="0.35">
      <c r="A8" s="401" t="s">
        <v>518</v>
      </c>
      <c r="B8" s="579"/>
      <c r="C8" s="148"/>
      <c r="D8" s="148"/>
      <c r="E8" s="148"/>
      <c r="F8" s="148"/>
    </row>
    <row r="9" spans="1:6" x14ac:dyDescent="0.35">
      <c r="A9" s="344" t="s">
        <v>181</v>
      </c>
      <c r="B9" s="557"/>
      <c r="C9" s="39">
        <v>12000</v>
      </c>
      <c r="D9" s="39">
        <v>0</v>
      </c>
      <c r="E9" s="39"/>
      <c r="F9" s="39">
        <f>SUM(D9:E9)</f>
        <v>0</v>
      </c>
    </row>
    <row r="10" spans="1:6" x14ac:dyDescent="0.35">
      <c r="A10" s="66" t="s">
        <v>136</v>
      </c>
      <c r="B10" s="558"/>
      <c r="C10" s="4">
        <v>500</v>
      </c>
      <c r="D10" s="4">
        <v>0</v>
      </c>
      <c r="E10" s="6"/>
      <c r="F10" s="6">
        <f t="shared" ref="F10:F17" si="0">SUM(D10:E10)</f>
        <v>0</v>
      </c>
    </row>
    <row r="11" spans="1:6" x14ac:dyDescent="0.35">
      <c r="A11" s="346" t="s">
        <v>450</v>
      </c>
      <c r="B11" s="556"/>
      <c r="C11" s="4">
        <v>0</v>
      </c>
      <c r="D11" s="4">
        <v>589</v>
      </c>
      <c r="E11" s="6"/>
      <c r="F11" s="6">
        <f t="shared" si="0"/>
        <v>589</v>
      </c>
    </row>
    <row r="12" spans="1:6" x14ac:dyDescent="0.35">
      <c r="A12" s="66" t="s">
        <v>252</v>
      </c>
      <c r="B12" s="558">
        <v>2440</v>
      </c>
      <c r="C12" s="4">
        <v>2485</v>
      </c>
      <c r="D12" s="4">
        <v>2519</v>
      </c>
      <c r="E12" s="6"/>
      <c r="F12" s="6">
        <f t="shared" si="0"/>
        <v>2519</v>
      </c>
    </row>
    <row r="13" spans="1:6" x14ac:dyDescent="0.35">
      <c r="A13" s="66" t="s">
        <v>139</v>
      </c>
      <c r="B13" s="558">
        <v>2500</v>
      </c>
      <c r="C13" s="4">
        <v>2500</v>
      </c>
      <c r="D13" s="4">
        <v>2500</v>
      </c>
      <c r="E13" s="6"/>
      <c r="F13" s="6">
        <f t="shared" si="0"/>
        <v>2500</v>
      </c>
    </row>
    <row r="14" spans="1:6" ht="42" x14ac:dyDescent="0.35">
      <c r="A14" s="368" t="s">
        <v>416</v>
      </c>
      <c r="B14" s="558">
        <v>2500</v>
      </c>
      <c r="C14" s="4">
        <v>2500</v>
      </c>
      <c r="D14" s="4">
        <v>2500</v>
      </c>
      <c r="E14" s="6"/>
      <c r="F14" s="6">
        <f t="shared" si="0"/>
        <v>2500</v>
      </c>
    </row>
    <row r="15" spans="1:6" x14ac:dyDescent="0.35">
      <c r="A15" s="66" t="s">
        <v>76</v>
      </c>
      <c r="B15" s="558">
        <v>1244</v>
      </c>
      <c r="C15" s="4">
        <f>1500-500</f>
        <v>1000</v>
      </c>
      <c r="D15" s="4">
        <v>1342</v>
      </c>
      <c r="E15" s="6"/>
      <c r="F15" s="6">
        <f t="shared" si="0"/>
        <v>1342</v>
      </c>
    </row>
    <row r="16" spans="1:6" x14ac:dyDescent="0.35">
      <c r="A16" s="368" t="s">
        <v>357</v>
      </c>
      <c r="B16" s="558">
        <v>32770</v>
      </c>
      <c r="C16" s="4">
        <f>44070+13560</f>
        <v>57630</v>
      </c>
      <c r="D16" s="4">
        <v>68930</v>
      </c>
      <c r="E16" s="6"/>
      <c r="F16" s="6">
        <f t="shared" si="0"/>
        <v>68930</v>
      </c>
    </row>
    <row r="17" spans="1:6" x14ac:dyDescent="0.35">
      <c r="A17" s="402" t="s">
        <v>360</v>
      </c>
      <c r="B17" s="63">
        <v>1270</v>
      </c>
      <c r="C17" s="4">
        <f>1500-700+200</f>
        <v>1000</v>
      </c>
      <c r="D17" s="4">
        <v>1834</v>
      </c>
      <c r="E17" s="6"/>
      <c r="F17" s="6">
        <f t="shared" si="0"/>
        <v>1834</v>
      </c>
    </row>
    <row r="18" spans="1:6" ht="21.75" thickBot="1" x14ac:dyDescent="0.4">
      <c r="A18" s="403" t="s">
        <v>519</v>
      </c>
      <c r="B18" s="568">
        <f>SUM(B9:B17)</f>
        <v>42724</v>
      </c>
      <c r="C18" s="14">
        <f>SUM(C9:C17)</f>
        <v>79615</v>
      </c>
      <c r="D18" s="14">
        <f t="shared" ref="D18:E18" si="1">SUM(D9:D17)</f>
        <v>80214</v>
      </c>
      <c r="E18" s="14">
        <f t="shared" si="1"/>
        <v>0</v>
      </c>
      <c r="F18" s="14">
        <f>SUM(F9:F17)</f>
        <v>80214</v>
      </c>
    </row>
    <row r="19" spans="1:6" s="45" customFormat="1" ht="21.75" thickBot="1" x14ac:dyDescent="0.4">
      <c r="A19" s="404" t="s">
        <v>278</v>
      </c>
      <c r="B19" s="564">
        <f>B7+B18</f>
        <v>934767</v>
      </c>
      <c r="C19" s="31">
        <f>C7+C18</f>
        <v>1038794</v>
      </c>
      <c r="D19" s="31">
        <f t="shared" ref="D19:E19" si="2">D7+D18</f>
        <v>1231050</v>
      </c>
      <c r="E19" s="31">
        <f t="shared" si="2"/>
        <v>2553</v>
      </c>
      <c r="F19" s="31">
        <f>F7+F18</f>
        <v>1233603</v>
      </c>
    </row>
    <row r="22" spans="1:6" ht="21.75" thickBot="1" x14ac:dyDescent="0.4">
      <c r="A22" s="288" t="s">
        <v>80</v>
      </c>
      <c r="B22" s="288"/>
      <c r="C22" s="288"/>
      <c r="D22" s="288"/>
      <c r="E22" s="288"/>
      <c r="F22" s="288"/>
    </row>
    <row r="23" spans="1:6" x14ac:dyDescent="0.35">
      <c r="A23" s="340" t="s">
        <v>155</v>
      </c>
      <c r="B23" s="162" t="s">
        <v>417</v>
      </c>
      <c r="C23" s="162" t="s">
        <v>438</v>
      </c>
      <c r="D23" s="162" t="s">
        <v>662</v>
      </c>
      <c r="E23" s="162" t="s">
        <v>663</v>
      </c>
      <c r="F23" s="162" t="s">
        <v>697</v>
      </c>
    </row>
    <row r="24" spans="1:6" ht="21.75" thickBot="1" x14ac:dyDescent="0.4">
      <c r="A24" s="341"/>
      <c r="B24" s="342" t="s">
        <v>665</v>
      </c>
      <c r="C24" s="342" t="s">
        <v>331</v>
      </c>
      <c r="D24" s="342" t="s">
        <v>344</v>
      </c>
      <c r="E24" s="342" t="s">
        <v>664</v>
      </c>
      <c r="F24" s="342" t="s">
        <v>344</v>
      </c>
    </row>
    <row r="25" spans="1:6" ht="21.75" thickBot="1" x14ac:dyDescent="0.4">
      <c r="A25" s="623" t="s">
        <v>660</v>
      </c>
      <c r="B25" s="624">
        <v>16562</v>
      </c>
      <c r="C25" s="624"/>
      <c r="D25" s="624">
        <v>8416</v>
      </c>
      <c r="E25" s="624"/>
      <c r="F25" s="624">
        <f>SUM(D25:E25)</f>
        <v>8416</v>
      </c>
    </row>
    <row r="26" spans="1:6" ht="21.75" thickBot="1" x14ac:dyDescent="0.4">
      <c r="A26" s="285"/>
      <c r="B26" s="45"/>
      <c r="C26" s="45"/>
      <c r="D26" s="45"/>
      <c r="E26" s="45"/>
      <c r="F26" s="45"/>
    </row>
    <row r="27" spans="1:6" ht="21.75" thickBot="1" x14ac:dyDescent="0.4">
      <c r="A27" s="353" t="s">
        <v>279</v>
      </c>
      <c r="B27" s="15">
        <f>+B19+B25</f>
        <v>951329</v>
      </c>
      <c r="C27" s="15">
        <f>+C19+C25</f>
        <v>1038794</v>
      </c>
      <c r="D27" s="15">
        <f t="shared" ref="D27:F27" si="3">+D19+D25</f>
        <v>1239466</v>
      </c>
      <c r="E27" s="15">
        <f t="shared" si="3"/>
        <v>2553</v>
      </c>
      <c r="F27" s="15">
        <f t="shared" si="3"/>
        <v>1242019</v>
      </c>
    </row>
    <row r="29" spans="1:6" x14ac:dyDescent="0.35">
      <c r="A29" s="45" t="s">
        <v>72</v>
      </c>
      <c r="B29" s="45"/>
      <c r="C29" s="45"/>
      <c r="D29" s="45"/>
      <c r="E29" s="45"/>
      <c r="F29" s="354"/>
    </row>
    <row r="30" spans="1:6" x14ac:dyDescent="0.35">
      <c r="A30" s="45" t="s">
        <v>73</v>
      </c>
      <c r="B30" s="45"/>
      <c r="C30" s="45"/>
      <c r="D30" s="45"/>
      <c r="E30" s="45"/>
      <c r="F30" s="45"/>
    </row>
  </sheetData>
  <customSheetViews>
    <customSheetView guid="{6D4B996F-8915-4E78-98C2-E7EAE9C4580C}" scale="75" showRuler="0">
      <selection activeCell="G8" sqref="G8"/>
      <pageMargins left="0.59055118110236227" right="0.59055118110236227" top="0.59055118110236227" bottom="0.39370078740157483" header="0.31496062992125984" footer="0.31496062992125984"/>
      <printOptions horizontalCentered="1" verticalCentered="1"/>
      <pageSetup paperSize="9" scale="67" orientation="portrait" horizontalDpi="300" verticalDpi="300" r:id="rId1"/>
      <headerFooter alignWithMargins="0">
        <oddHeader>&amp;L&amp;F  &amp;A&amp;RM.III/5.sz. melléklet</oddHeader>
      </headerFooter>
    </customSheetView>
    <customSheetView guid="{186732C5-520C-4E06-B066-B4F3F0A3E322}" scale="75" showRuler="0">
      <selection activeCell="G8" sqref="G8"/>
      <pageMargins left="0.59055118110236227" right="0.59055118110236227" top="0.59055118110236227" bottom="0.39370078740157483" header="0.31496062992125984" footer="0.31496062992125984"/>
      <printOptions horizontalCentered="1" verticalCentered="1"/>
      <pageSetup paperSize="9" scale="67" orientation="portrait" horizontalDpi="300" verticalDpi="300" r:id="rId2"/>
      <headerFooter alignWithMargins="0">
        <oddHeader>&amp;L&amp;F  &amp;A&amp;RM.III/5.sz. melléklet</oddHeader>
      </headerFooter>
    </customSheetView>
  </customSheetViews>
  <mergeCells count="1">
    <mergeCell ref="A2:F2"/>
  </mergeCells>
  <phoneticPr fontId="0" type="noConversion"/>
  <printOptions horizontalCentered="1" verticalCentered="1"/>
  <pageMargins left="0.59055118110236227" right="0.59055118110236227" top="0" bottom="0" header="0.51181102362204722" footer="0.51181102362204722"/>
  <pageSetup paperSize="9" scale="43" orientation="portrait" r:id="rId3"/>
  <headerFooter alignWithMargins="0">
    <oddHeader xml:space="preserve">&amp;R&amp;"Times New Roman CE,Félkövér"&amp;12 
&amp;"-,Félkövér"11. melléklet a 14/2026. (IX.25.) önkormányzati rendelethez
"11. melléklet a 3/2026.(II.27.) önkormányzati rendelethez"
 &amp;"Times New Roman CE,Félkövér"
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Munka13"/>
  <dimension ref="A1:F22"/>
  <sheetViews>
    <sheetView zoomScale="95" zoomScaleNormal="95" workbookViewId="0">
      <selection activeCell="E24" sqref="E24"/>
    </sheetView>
  </sheetViews>
  <sheetFormatPr defaultColWidth="9.33203125" defaultRowHeight="21" x14ac:dyDescent="0.35"/>
  <cols>
    <col min="1" max="1" width="101.33203125" style="2" customWidth="1"/>
    <col min="2" max="2" width="42" style="2" customWidth="1"/>
    <col min="3" max="3" width="36.6640625" style="2" customWidth="1"/>
    <col min="4" max="4" width="38.6640625" style="2" customWidth="1"/>
    <col min="5" max="5" width="36.83203125" style="2" customWidth="1"/>
    <col min="6" max="6" width="43.6640625" style="2" customWidth="1"/>
    <col min="7" max="16384" width="9.33203125" style="2"/>
  </cols>
  <sheetData>
    <row r="1" spans="1:6" x14ac:dyDescent="0.35">
      <c r="A1" s="159"/>
      <c r="B1" s="159"/>
      <c r="C1" s="159"/>
      <c r="D1" s="159"/>
      <c r="E1" s="159"/>
      <c r="F1" s="159"/>
    </row>
    <row r="2" spans="1:6" x14ac:dyDescent="0.35">
      <c r="A2" s="973" t="s">
        <v>282</v>
      </c>
      <c r="B2" s="973"/>
      <c r="C2" s="973"/>
      <c r="D2" s="973"/>
      <c r="E2" s="973"/>
      <c r="F2" s="973"/>
    </row>
    <row r="4" spans="1:6" ht="21.75" thickBot="1" x14ac:dyDescent="0.4">
      <c r="A4" s="288" t="s">
        <v>35</v>
      </c>
      <c r="B4" s="288"/>
      <c r="C4" s="288"/>
      <c r="D4" s="288"/>
      <c r="E4" s="288"/>
      <c r="F4" s="280" t="s">
        <v>201</v>
      </c>
    </row>
    <row r="5" spans="1:6" x14ac:dyDescent="0.35">
      <c r="A5" s="340" t="s">
        <v>155</v>
      </c>
      <c r="B5" s="162" t="s">
        <v>417</v>
      </c>
      <c r="C5" s="162" t="s">
        <v>438</v>
      </c>
      <c r="D5" s="162" t="s">
        <v>662</v>
      </c>
      <c r="E5" s="162" t="s">
        <v>663</v>
      </c>
      <c r="F5" s="162" t="s">
        <v>697</v>
      </c>
    </row>
    <row r="6" spans="1:6" ht="21.75" thickBot="1" x14ac:dyDescent="0.4">
      <c r="A6" s="355"/>
      <c r="B6" s="165" t="s">
        <v>665</v>
      </c>
      <c r="C6" s="342" t="s">
        <v>331</v>
      </c>
      <c r="D6" s="342" t="s">
        <v>344</v>
      </c>
      <c r="E6" s="342" t="s">
        <v>664</v>
      </c>
      <c r="F6" s="342" t="s">
        <v>344</v>
      </c>
    </row>
    <row r="7" spans="1:6" ht="21.75" thickBot="1" x14ac:dyDescent="0.4">
      <c r="A7" s="405" t="s">
        <v>515</v>
      </c>
      <c r="B7" s="581">
        <v>1998232</v>
      </c>
      <c r="C7" s="138">
        <f>1979865+160475</f>
        <v>2140340</v>
      </c>
      <c r="D7" s="138">
        <v>2263105</v>
      </c>
      <c r="E7" s="138">
        <f>11779+7097+5440+2668+6089</f>
        <v>33073</v>
      </c>
      <c r="F7" s="138">
        <f>SUM(D7:E7)</f>
        <v>2296178</v>
      </c>
    </row>
    <row r="8" spans="1:6" x14ac:dyDescent="0.35">
      <c r="A8" s="406" t="s">
        <v>520</v>
      </c>
      <c r="B8" s="582"/>
      <c r="C8" s="35"/>
      <c r="D8" s="54"/>
      <c r="E8" s="54"/>
      <c r="F8" s="35"/>
    </row>
    <row r="9" spans="1:6" x14ac:dyDescent="0.35">
      <c r="A9" s="128" t="s">
        <v>254</v>
      </c>
      <c r="B9" s="558">
        <v>226</v>
      </c>
      <c r="C9" s="4">
        <v>241</v>
      </c>
      <c r="D9" s="554">
        <v>241</v>
      </c>
      <c r="E9" s="128"/>
      <c r="F9" s="4">
        <f>SUM(D9:E9)</f>
        <v>241</v>
      </c>
    </row>
    <row r="10" spans="1:6" ht="47.25" customHeight="1" thickBot="1" x14ac:dyDescent="0.4">
      <c r="A10" s="346" t="s">
        <v>557</v>
      </c>
      <c r="B10" s="583"/>
      <c r="C10" s="6">
        <f>10000-3000</f>
        <v>7000</v>
      </c>
      <c r="D10" s="638">
        <v>7000</v>
      </c>
      <c r="E10" s="638">
        <v>-7000</v>
      </c>
      <c r="F10" s="6">
        <f>SUM(D10:E10)</f>
        <v>0</v>
      </c>
    </row>
    <row r="11" spans="1:6" ht="21.75" thickBot="1" x14ac:dyDescent="0.4">
      <c r="A11" s="353" t="s">
        <v>521</v>
      </c>
      <c r="B11" s="11">
        <f>SUM(B9:B10)</f>
        <v>226</v>
      </c>
      <c r="C11" s="15">
        <f>SUM(C9:C10)</f>
        <v>7241</v>
      </c>
      <c r="D11" s="15">
        <f t="shared" ref="D11:E11" si="0">SUM(D9:D10)</f>
        <v>7241</v>
      </c>
      <c r="E11" s="15">
        <f t="shared" si="0"/>
        <v>-7000</v>
      </c>
      <c r="F11" s="15">
        <f>SUM(F9:F10)</f>
        <v>241</v>
      </c>
    </row>
    <row r="12" spans="1:6" ht="21.75" thickBot="1" x14ac:dyDescent="0.4">
      <c r="A12" s="407" t="s">
        <v>280</v>
      </c>
      <c r="B12" s="564">
        <f>B7+B11</f>
        <v>1998458</v>
      </c>
      <c r="C12" s="31">
        <f>C7+C11</f>
        <v>2147581</v>
      </c>
      <c r="D12" s="31">
        <f t="shared" ref="D12:E12" si="1">D7+D11</f>
        <v>2270346</v>
      </c>
      <c r="E12" s="31">
        <f t="shared" si="1"/>
        <v>26073</v>
      </c>
      <c r="F12" s="31">
        <f>F7+F11</f>
        <v>2296419</v>
      </c>
    </row>
    <row r="13" spans="1:6" x14ac:dyDescent="0.35">
      <c r="A13" s="134"/>
      <c r="B13" s="580"/>
      <c r="C13" s="134"/>
      <c r="D13" s="134"/>
      <c r="E13" s="134"/>
      <c r="F13" s="134"/>
    </row>
    <row r="14" spans="1:6" ht="21.75" thickBot="1" x14ac:dyDescent="0.4">
      <c r="A14" s="288" t="s">
        <v>80</v>
      </c>
      <c r="B14" s="19"/>
      <c r="C14" s="288"/>
      <c r="D14" s="288"/>
      <c r="E14" s="288"/>
      <c r="F14" s="288"/>
    </row>
    <row r="15" spans="1:6" x14ac:dyDescent="0.35">
      <c r="A15" s="350" t="s">
        <v>155</v>
      </c>
      <c r="B15" s="162" t="s">
        <v>417</v>
      </c>
      <c r="C15" s="162" t="s">
        <v>438</v>
      </c>
      <c r="D15" s="162" t="s">
        <v>662</v>
      </c>
      <c r="E15" s="162" t="s">
        <v>663</v>
      </c>
      <c r="F15" s="162" t="s">
        <v>697</v>
      </c>
    </row>
    <row r="16" spans="1:6" ht="21.75" thickBot="1" x14ac:dyDescent="0.4">
      <c r="A16" s="351"/>
      <c r="B16" s="165" t="s">
        <v>665</v>
      </c>
      <c r="C16" s="342" t="s">
        <v>331</v>
      </c>
      <c r="D16" s="342" t="s">
        <v>344</v>
      </c>
      <c r="E16" s="342" t="s">
        <v>664</v>
      </c>
      <c r="F16" s="342" t="s">
        <v>344</v>
      </c>
    </row>
    <row r="17" spans="1:6" ht="21.75" thickBot="1" x14ac:dyDescent="0.4">
      <c r="A17" s="397" t="s">
        <v>470</v>
      </c>
      <c r="B17" s="584">
        <v>27208</v>
      </c>
      <c r="C17" s="15">
        <f>26670+24990</f>
        <v>51660</v>
      </c>
      <c r="D17" s="15">
        <v>59356</v>
      </c>
      <c r="E17" s="15">
        <f>4282+7000+1893</f>
        <v>13175</v>
      </c>
      <c r="F17" s="15">
        <f>SUM(D17:E17)</f>
        <v>72531</v>
      </c>
    </row>
    <row r="18" spans="1:6" ht="21.75" thickBot="1" x14ac:dyDescent="0.4">
      <c r="A18" s="285"/>
      <c r="B18" s="563"/>
      <c r="C18" s="45"/>
      <c r="D18" s="45"/>
      <c r="E18" s="17"/>
      <c r="F18" s="17"/>
    </row>
    <row r="19" spans="1:6" ht="21.75" thickBot="1" x14ac:dyDescent="0.4">
      <c r="A19" s="353" t="s">
        <v>281</v>
      </c>
      <c r="B19" s="585">
        <f>B12+B17</f>
        <v>2025666</v>
      </c>
      <c r="C19" s="68">
        <f>C12+C17</f>
        <v>2199241</v>
      </c>
      <c r="D19" s="68">
        <f t="shared" ref="D19:E19" si="2">D12+D17</f>
        <v>2329702</v>
      </c>
      <c r="E19" s="68">
        <f t="shared" si="2"/>
        <v>39248</v>
      </c>
      <c r="F19" s="68">
        <f>F12+F17</f>
        <v>2368950</v>
      </c>
    </row>
    <row r="21" spans="1:6" x14ac:dyDescent="0.35">
      <c r="A21" s="45" t="s">
        <v>72</v>
      </c>
      <c r="B21" s="45"/>
      <c r="C21" s="45"/>
      <c r="D21" s="45"/>
      <c r="E21" s="45"/>
      <c r="F21" s="408"/>
    </row>
    <row r="22" spans="1:6" x14ac:dyDescent="0.35">
      <c r="A22" s="45" t="s">
        <v>73</v>
      </c>
      <c r="B22" s="45"/>
      <c r="C22" s="45"/>
      <c r="D22" s="45"/>
      <c r="E22" s="45"/>
      <c r="F22" s="45"/>
    </row>
  </sheetData>
  <customSheetViews>
    <customSheetView guid="{6D4B996F-8915-4E78-98C2-E7EAE9C4580C}" scale="75" showRuler="0" topLeftCell="A13">
      <selection activeCell="B31" sqref="B31"/>
      <pageMargins left="0.59055118110236227" right="0.59055118110236227" top="0.98425196850393704" bottom="0.59055118110236227" header="0.51181102362204722" footer="0.31496062992125984"/>
      <printOptions horizontalCentered="1" verticalCentered="1"/>
      <pageSetup paperSize="9" scale="65" orientation="portrait" horizontalDpi="300" verticalDpi="300" r:id="rId1"/>
      <headerFooter alignWithMargins="0">
        <oddHeader>&amp;L&amp;F  &amp;A&amp;RM.III/6. sz. melléklet</oddHeader>
      </headerFooter>
    </customSheetView>
    <customSheetView guid="{186732C5-520C-4E06-B066-B4F3F0A3E322}" scale="75" showRuler="0" topLeftCell="A13">
      <selection activeCell="B31" sqref="B31"/>
      <pageMargins left="0.59055118110236227" right="0.59055118110236227" top="0.98425196850393704" bottom="0.59055118110236227" header="0.51181102362204722" footer="0.31496062992125984"/>
      <printOptions horizontalCentered="1" verticalCentered="1"/>
      <pageSetup paperSize="9" scale="65" orientation="portrait" horizontalDpi="300" verticalDpi="300" r:id="rId2"/>
      <headerFooter alignWithMargins="0">
        <oddHeader>&amp;L&amp;F  &amp;A&amp;RM.III/6. sz. melléklet</oddHeader>
      </headerFooter>
    </customSheetView>
  </customSheetViews>
  <mergeCells count="1">
    <mergeCell ref="A2:F2"/>
  </mergeCells>
  <phoneticPr fontId="0" type="noConversion"/>
  <printOptions horizontalCentered="1" verticalCentered="1"/>
  <pageMargins left="0.59055118110236227" right="0.59055118110236227" top="0" bottom="0" header="0.51181102362204722" footer="0.51181102362204722"/>
  <pageSetup paperSize="9" scale="41" orientation="portrait" r:id="rId3"/>
  <headerFooter alignWithMargins="0">
    <oddHeader xml:space="preserve">&amp;R&amp;"-,Félkövér"&amp;12 
12. melléklet a 14/2026. (IX.25.) önkormányzati rendelethe&amp;"Times New Roman CE,Félkövér"z
"12. melléklet a 3/2026.(II.27.) önkormányzati rendelethez"
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Munka14"/>
  <dimension ref="A2:G130"/>
  <sheetViews>
    <sheetView zoomScale="95" zoomScaleNormal="95" workbookViewId="0">
      <selection activeCell="A140" sqref="A140"/>
    </sheetView>
  </sheetViews>
  <sheetFormatPr defaultColWidth="9.33203125" defaultRowHeight="21" x14ac:dyDescent="0.35"/>
  <cols>
    <col min="1" max="1" width="111.6640625" style="430" customWidth="1"/>
    <col min="2" max="2" width="40.6640625" style="586" customWidth="1"/>
    <col min="3" max="3" width="34.1640625" style="77" customWidth="1"/>
    <col min="4" max="4" width="40.5" style="77" customWidth="1"/>
    <col min="5" max="5" width="41.1640625" style="77" customWidth="1"/>
    <col min="6" max="6" width="44.83203125" style="145" customWidth="1"/>
    <col min="7" max="7" width="9" style="2" customWidth="1"/>
    <col min="8" max="16384" width="9.33203125" style="386"/>
  </cols>
  <sheetData>
    <row r="2" spans="1:6" x14ac:dyDescent="0.35">
      <c r="A2" s="1019" t="s">
        <v>120</v>
      </c>
      <c r="B2" s="1019"/>
      <c r="C2" s="1019"/>
      <c r="D2" s="1019"/>
      <c r="E2" s="1019"/>
      <c r="F2" s="1019"/>
    </row>
    <row r="3" spans="1:6" ht="21.75" thickBot="1" x14ac:dyDescent="0.4">
      <c r="A3" s="383" t="s">
        <v>35</v>
      </c>
      <c r="B3" s="561"/>
      <c r="C3" s="409"/>
      <c r="D3" s="409"/>
      <c r="E3" s="409"/>
      <c r="F3" s="145" t="s">
        <v>201</v>
      </c>
    </row>
    <row r="4" spans="1:6" x14ac:dyDescent="0.35">
      <c r="A4" s="384" t="s">
        <v>155</v>
      </c>
      <c r="B4" s="162" t="s">
        <v>417</v>
      </c>
      <c r="C4" s="162" t="s">
        <v>438</v>
      </c>
      <c r="D4" s="162" t="s">
        <v>662</v>
      </c>
      <c r="E4" s="162" t="s">
        <v>663</v>
      </c>
      <c r="F4" s="162" t="s">
        <v>697</v>
      </c>
    </row>
    <row r="5" spans="1:6" ht="21.75" thickBot="1" x14ac:dyDescent="0.4">
      <c r="A5" s="410"/>
      <c r="B5" s="165" t="s">
        <v>665</v>
      </c>
      <c r="C5" s="342" t="s">
        <v>331</v>
      </c>
      <c r="D5" s="342" t="s">
        <v>344</v>
      </c>
      <c r="E5" s="342" t="s">
        <v>664</v>
      </c>
      <c r="F5" s="342" t="s">
        <v>344</v>
      </c>
    </row>
    <row r="6" spans="1:6" s="45" customFormat="1" ht="21.75" thickBot="1" x14ac:dyDescent="0.4">
      <c r="A6" s="411" t="s">
        <v>471</v>
      </c>
      <c r="B6" s="70">
        <v>204261</v>
      </c>
      <c r="C6" s="61">
        <f>209018+9556</f>
        <v>218574</v>
      </c>
      <c r="D6" s="61">
        <v>238434</v>
      </c>
      <c r="E6" s="61"/>
      <c r="F6" s="61">
        <f>SUM(D6:E6)</f>
        <v>238434</v>
      </c>
    </row>
    <row r="7" spans="1:6" x14ac:dyDescent="0.35">
      <c r="A7" s="412" t="s">
        <v>4</v>
      </c>
      <c r="B7" s="146">
        <v>3128108</v>
      </c>
      <c r="C7" s="146">
        <f>3134054+26149+24808+500+2260</f>
        <v>3187771</v>
      </c>
      <c r="D7" s="146">
        <v>3595817</v>
      </c>
      <c r="E7" s="146">
        <f>2652+3951+1231+4874+11100</f>
        <v>23808</v>
      </c>
      <c r="F7" s="146">
        <f>SUM(D7:E7)</f>
        <v>3619625</v>
      </c>
    </row>
    <row r="8" spans="1:6" ht="21.75" thickBot="1" x14ac:dyDescent="0.4">
      <c r="A8" s="413" t="s">
        <v>115</v>
      </c>
      <c r="B8" s="42">
        <f>SUM(B6:B7)</f>
        <v>3332369</v>
      </c>
      <c r="C8" s="42">
        <f>SUM(C6:C7)</f>
        <v>3406345</v>
      </c>
      <c r="D8" s="42">
        <f t="shared" ref="D8:E8" si="0">SUM(D6:D7)</f>
        <v>3834251</v>
      </c>
      <c r="E8" s="42">
        <f t="shared" si="0"/>
        <v>23808</v>
      </c>
      <c r="F8" s="42">
        <f>SUM(F6:F7)</f>
        <v>3858059</v>
      </c>
    </row>
    <row r="9" spans="1:6" x14ac:dyDescent="0.35">
      <c r="A9" s="414" t="s">
        <v>175</v>
      </c>
      <c r="B9" s="587"/>
      <c r="C9" s="71"/>
      <c r="D9" s="71"/>
      <c r="E9" s="71"/>
      <c r="F9" s="71"/>
    </row>
    <row r="10" spans="1:6" x14ac:dyDescent="0.35">
      <c r="A10" s="415" t="s">
        <v>191</v>
      </c>
      <c r="B10" s="72">
        <v>278996</v>
      </c>
      <c r="C10" s="72">
        <v>400000</v>
      </c>
      <c r="D10" s="72">
        <v>536972</v>
      </c>
      <c r="E10" s="72"/>
      <c r="F10" s="72">
        <f>SUM(D10:E10)</f>
        <v>536972</v>
      </c>
    </row>
    <row r="11" spans="1:6" x14ac:dyDescent="0.35">
      <c r="A11" s="416" t="s">
        <v>196</v>
      </c>
      <c r="B11" s="72">
        <v>1007376</v>
      </c>
      <c r="C11" s="72">
        <v>700000</v>
      </c>
      <c r="D11" s="72">
        <v>700322</v>
      </c>
      <c r="E11" s="72"/>
      <c r="F11" s="72">
        <f t="shared" ref="F11:F13" si="1">SUM(D11:E11)</f>
        <v>700322</v>
      </c>
    </row>
    <row r="12" spans="1:6" x14ac:dyDescent="0.35">
      <c r="A12" s="416" t="s">
        <v>250</v>
      </c>
      <c r="B12" s="72"/>
      <c r="C12" s="72">
        <v>160000</v>
      </c>
      <c r="D12" s="72">
        <v>160000</v>
      </c>
      <c r="E12" s="72"/>
      <c r="F12" s="72">
        <f t="shared" si="1"/>
        <v>160000</v>
      </c>
    </row>
    <row r="13" spans="1:6" x14ac:dyDescent="0.35">
      <c r="A13" s="416" t="s">
        <v>126</v>
      </c>
      <c r="B13" s="72">
        <v>554736</v>
      </c>
      <c r="C13" s="72">
        <v>554736</v>
      </c>
      <c r="D13" s="72">
        <v>554736</v>
      </c>
      <c r="E13" s="72"/>
      <c r="F13" s="72">
        <f t="shared" si="1"/>
        <v>554736</v>
      </c>
    </row>
    <row r="14" spans="1:6" x14ac:dyDescent="0.35">
      <c r="A14" s="417" t="s">
        <v>186</v>
      </c>
      <c r="B14" s="73">
        <f>SUM(B9:B13)</f>
        <v>1841108</v>
      </c>
      <c r="C14" s="73">
        <f>SUM(C9:C13)</f>
        <v>1814736</v>
      </c>
      <c r="D14" s="73">
        <f t="shared" ref="D14:E14" si="2">SUM(D9:D13)</f>
        <v>1952030</v>
      </c>
      <c r="E14" s="73">
        <f t="shared" si="2"/>
        <v>0</v>
      </c>
      <c r="F14" s="73">
        <f>SUM(F9:F13)</f>
        <v>1952030</v>
      </c>
    </row>
    <row r="15" spans="1:6" x14ac:dyDescent="0.35">
      <c r="A15" s="418" t="s">
        <v>5</v>
      </c>
      <c r="B15" s="587"/>
      <c r="C15" s="71"/>
      <c r="D15" s="71"/>
      <c r="E15" s="71"/>
      <c r="F15" s="71"/>
    </row>
    <row r="16" spans="1:6" x14ac:dyDescent="0.35">
      <c r="A16" s="415" t="s">
        <v>358</v>
      </c>
      <c r="B16" s="72">
        <v>88044</v>
      </c>
      <c r="C16" s="72">
        <v>80000</v>
      </c>
      <c r="D16" s="72">
        <v>80000</v>
      </c>
      <c r="E16" s="72"/>
      <c r="F16" s="72">
        <f>SUM(D16:E16)</f>
        <v>80000</v>
      </c>
    </row>
    <row r="17" spans="1:6" x14ac:dyDescent="0.35">
      <c r="A17" s="415" t="s">
        <v>345</v>
      </c>
      <c r="B17" s="72">
        <v>60330</v>
      </c>
      <c r="C17" s="72">
        <f>63000-10000</f>
        <v>53000</v>
      </c>
      <c r="D17" s="72">
        <v>53000</v>
      </c>
      <c r="E17" s="72"/>
      <c r="F17" s="72">
        <f t="shared" ref="F17:F84" si="3">SUM(D17:E17)</f>
        <v>53000</v>
      </c>
    </row>
    <row r="18" spans="1:6" x14ac:dyDescent="0.35">
      <c r="A18" s="419" t="s">
        <v>207</v>
      </c>
      <c r="B18" s="63">
        <v>17001</v>
      </c>
      <c r="C18" s="63">
        <v>17500</v>
      </c>
      <c r="D18" s="63">
        <v>28078</v>
      </c>
      <c r="E18" s="63"/>
      <c r="F18" s="63">
        <f t="shared" si="3"/>
        <v>28078</v>
      </c>
    </row>
    <row r="19" spans="1:6" x14ac:dyDescent="0.35">
      <c r="A19" s="416" t="s">
        <v>192</v>
      </c>
      <c r="B19" s="72">
        <v>14877</v>
      </c>
      <c r="C19" s="72">
        <v>15000</v>
      </c>
      <c r="D19" s="72">
        <v>16955</v>
      </c>
      <c r="E19" s="72"/>
      <c r="F19" s="72">
        <f t="shared" si="3"/>
        <v>16955</v>
      </c>
    </row>
    <row r="20" spans="1:6" ht="42" x14ac:dyDescent="0.35">
      <c r="A20" s="416" t="s">
        <v>554</v>
      </c>
      <c r="B20" s="72">
        <v>466527</v>
      </c>
      <c r="C20" s="72">
        <f>472625+5921+7890-7890</f>
        <v>478546</v>
      </c>
      <c r="D20" s="72">
        <v>503347</v>
      </c>
      <c r="E20" s="72"/>
      <c r="F20" s="72">
        <f t="shared" si="3"/>
        <v>503347</v>
      </c>
    </row>
    <row r="21" spans="1:6" x14ac:dyDescent="0.35">
      <c r="A21" s="420" t="s">
        <v>638</v>
      </c>
      <c r="B21" s="63"/>
      <c r="C21" s="63">
        <v>20000</v>
      </c>
      <c r="D21" s="63">
        <v>0</v>
      </c>
      <c r="E21" s="63"/>
      <c r="F21" s="63">
        <f t="shared" si="3"/>
        <v>0</v>
      </c>
    </row>
    <row r="22" spans="1:6" x14ac:dyDescent="0.35">
      <c r="A22" s="420" t="s">
        <v>134</v>
      </c>
      <c r="B22" s="63">
        <v>13753</v>
      </c>
      <c r="C22" s="63">
        <v>10000</v>
      </c>
      <c r="D22" s="63">
        <v>16158</v>
      </c>
      <c r="E22" s="63"/>
      <c r="F22" s="63">
        <f t="shared" si="3"/>
        <v>16158</v>
      </c>
    </row>
    <row r="23" spans="1:6" x14ac:dyDescent="0.35">
      <c r="A23" s="420" t="s">
        <v>189</v>
      </c>
      <c r="B23" s="63"/>
      <c r="C23" s="63">
        <v>0</v>
      </c>
      <c r="D23" s="63">
        <v>453</v>
      </c>
      <c r="E23" s="63"/>
      <c r="F23" s="63">
        <f t="shared" si="3"/>
        <v>453</v>
      </c>
    </row>
    <row r="24" spans="1:6" x14ac:dyDescent="0.35">
      <c r="A24" s="419" t="s">
        <v>415</v>
      </c>
      <c r="B24" s="63">
        <v>660</v>
      </c>
      <c r="C24" s="63">
        <v>1000</v>
      </c>
      <c r="D24" s="63">
        <v>3036</v>
      </c>
      <c r="E24" s="63"/>
      <c r="F24" s="63">
        <f t="shared" si="3"/>
        <v>3036</v>
      </c>
    </row>
    <row r="25" spans="1:6" x14ac:dyDescent="0.35">
      <c r="A25" s="415" t="s">
        <v>121</v>
      </c>
      <c r="B25" s="72">
        <v>13040</v>
      </c>
      <c r="C25" s="72">
        <v>13040</v>
      </c>
      <c r="D25" s="72">
        <v>13040</v>
      </c>
      <c r="E25" s="72"/>
      <c r="F25" s="72">
        <f t="shared" si="3"/>
        <v>13040</v>
      </c>
    </row>
    <row r="26" spans="1:6" x14ac:dyDescent="0.35">
      <c r="A26" s="420" t="s">
        <v>147</v>
      </c>
      <c r="B26" s="63">
        <v>1200</v>
      </c>
      <c r="C26" s="63">
        <v>1200</v>
      </c>
      <c r="D26" s="63">
        <v>1200</v>
      </c>
      <c r="E26" s="63"/>
      <c r="F26" s="63">
        <f t="shared" si="3"/>
        <v>1200</v>
      </c>
    </row>
    <row r="27" spans="1:6" x14ac:dyDescent="0.35">
      <c r="A27" s="419" t="s">
        <v>418</v>
      </c>
      <c r="B27" s="63">
        <v>1500</v>
      </c>
      <c r="C27" s="63">
        <v>0</v>
      </c>
      <c r="D27" s="63">
        <v>1500</v>
      </c>
      <c r="E27" s="63"/>
      <c r="F27" s="63">
        <f t="shared" si="3"/>
        <v>1500</v>
      </c>
    </row>
    <row r="28" spans="1:6" x14ac:dyDescent="0.35">
      <c r="A28" s="361" t="s">
        <v>508</v>
      </c>
      <c r="B28" s="5">
        <v>3000</v>
      </c>
      <c r="C28" s="63">
        <v>0</v>
      </c>
      <c r="D28" s="63">
        <v>0</v>
      </c>
      <c r="E28" s="63"/>
      <c r="F28" s="63">
        <f t="shared" si="3"/>
        <v>0</v>
      </c>
    </row>
    <row r="29" spans="1:6" x14ac:dyDescent="0.35">
      <c r="A29" s="361" t="s">
        <v>728</v>
      </c>
      <c r="B29" s="5"/>
      <c r="C29" s="63"/>
      <c r="D29" s="63"/>
      <c r="E29" s="63">
        <v>5000</v>
      </c>
      <c r="F29" s="63">
        <f t="shared" si="3"/>
        <v>5000</v>
      </c>
    </row>
    <row r="30" spans="1:6" x14ac:dyDescent="0.35">
      <c r="A30" s="419" t="s">
        <v>198</v>
      </c>
      <c r="B30" s="63">
        <v>3401</v>
      </c>
      <c r="C30" s="63">
        <v>3154</v>
      </c>
      <c r="D30" s="63">
        <v>3154</v>
      </c>
      <c r="E30" s="63" t="s">
        <v>725</v>
      </c>
      <c r="F30" s="63">
        <f t="shared" si="3"/>
        <v>3154</v>
      </c>
    </row>
    <row r="31" spans="1:6" x14ac:dyDescent="0.35">
      <c r="A31" s="420" t="s">
        <v>197</v>
      </c>
      <c r="B31" s="63">
        <v>3764</v>
      </c>
      <c r="C31" s="63">
        <v>4200</v>
      </c>
      <c r="D31" s="63">
        <v>4636</v>
      </c>
      <c r="E31" s="63"/>
      <c r="F31" s="63">
        <f t="shared" si="3"/>
        <v>4636</v>
      </c>
    </row>
    <row r="32" spans="1:6" x14ac:dyDescent="0.35">
      <c r="A32" s="420" t="s">
        <v>402</v>
      </c>
      <c r="B32" s="63">
        <v>1520804</v>
      </c>
      <c r="C32" s="63"/>
      <c r="D32" s="63">
        <v>0</v>
      </c>
      <c r="E32" s="63"/>
      <c r="F32" s="63">
        <f t="shared" si="3"/>
        <v>0</v>
      </c>
    </row>
    <row r="33" spans="1:6" ht="44.25" customHeight="1" x14ac:dyDescent="0.35">
      <c r="A33" s="420" t="s">
        <v>589</v>
      </c>
      <c r="B33" s="63">
        <v>2100</v>
      </c>
      <c r="C33" s="63">
        <v>0</v>
      </c>
      <c r="D33" s="63">
        <v>400</v>
      </c>
      <c r="E33" s="63">
        <v>2500</v>
      </c>
      <c r="F33" s="63">
        <f t="shared" si="3"/>
        <v>2900</v>
      </c>
    </row>
    <row r="34" spans="1:6" x14ac:dyDescent="0.35">
      <c r="A34" s="420" t="s">
        <v>561</v>
      </c>
      <c r="B34" s="63">
        <v>50000</v>
      </c>
      <c r="C34" s="63">
        <v>100000</v>
      </c>
      <c r="D34" s="63">
        <v>100000</v>
      </c>
      <c r="E34" s="63"/>
      <c r="F34" s="63">
        <f t="shared" si="3"/>
        <v>100000</v>
      </c>
    </row>
    <row r="35" spans="1:6" ht="42" x14ac:dyDescent="0.35">
      <c r="A35" s="420" t="s">
        <v>590</v>
      </c>
      <c r="B35" s="63">
        <v>10516</v>
      </c>
      <c r="C35" s="63">
        <v>0</v>
      </c>
      <c r="D35" s="63">
        <v>0</v>
      </c>
      <c r="E35" s="63"/>
      <c r="F35" s="63">
        <f t="shared" si="3"/>
        <v>0</v>
      </c>
    </row>
    <row r="36" spans="1:6" ht="42" x14ac:dyDescent="0.35">
      <c r="A36" s="420" t="s">
        <v>459</v>
      </c>
      <c r="B36" s="63">
        <v>3810</v>
      </c>
      <c r="C36" s="63">
        <v>3810</v>
      </c>
      <c r="D36" s="63">
        <v>3810</v>
      </c>
      <c r="E36" s="63"/>
      <c r="F36" s="63">
        <f t="shared" si="3"/>
        <v>3810</v>
      </c>
    </row>
    <row r="37" spans="1:6" ht="42" x14ac:dyDescent="0.35">
      <c r="A37" s="420" t="s">
        <v>393</v>
      </c>
      <c r="B37" s="63"/>
      <c r="C37" s="63">
        <v>2500</v>
      </c>
      <c r="D37" s="63">
        <v>2500</v>
      </c>
      <c r="E37" s="63">
        <v>-2500</v>
      </c>
      <c r="F37" s="63">
        <f t="shared" si="3"/>
        <v>0</v>
      </c>
    </row>
    <row r="38" spans="1:6" x14ac:dyDescent="0.35">
      <c r="A38" s="416" t="s">
        <v>501</v>
      </c>
      <c r="B38" s="72">
        <v>3833106</v>
      </c>
      <c r="C38" s="72">
        <f>3833106+355177</f>
        <v>4188283</v>
      </c>
      <c r="D38" s="72">
        <v>4188283</v>
      </c>
      <c r="E38" s="72"/>
      <c r="F38" s="72">
        <f t="shared" si="3"/>
        <v>4188283</v>
      </c>
    </row>
    <row r="39" spans="1:6" ht="42" x14ac:dyDescent="0.35">
      <c r="A39" s="416" t="s">
        <v>591</v>
      </c>
      <c r="B39" s="72">
        <v>1556901</v>
      </c>
      <c r="C39" s="72"/>
      <c r="D39" s="72">
        <v>0</v>
      </c>
      <c r="E39" s="72"/>
      <c r="F39" s="72">
        <f t="shared" si="3"/>
        <v>0</v>
      </c>
    </row>
    <row r="40" spans="1:6" x14ac:dyDescent="0.35">
      <c r="A40" s="420" t="s">
        <v>493</v>
      </c>
      <c r="B40" s="63"/>
      <c r="C40" s="63">
        <v>0</v>
      </c>
      <c r="D40" s="63">
        <v>5000</v>
      </c>
      <c r="E40" s="63"/>
      <c r="F40" s="63">
        <f t="shared" si="3"/>
        <v>5000</v>
      </c>
    </row>
    <row r="41" spans="1:6" x14ac:dyDescent="0.35">
      <c r="A41" s="420" t="s">
        <v>494</v>
      </c>
      <c r="B41" s="63">
        <v>2500</v>
      </c>
      <c r="C41" s="63">
        <v>0</v>
      </c>
      <c r="D41" s="63">
        <v>2100</v>
      </c>
      <c r="E41" s="63"/>
      <c r="F41" s="63">
        <f t="shared" si="3"/>
        <v>2100</v>
      </c>
    </row>
    <row r="42" spans="1:6" ht="42" x14ac:dyDescent="0.35">
      <c r="A42" s="420" t="s">
        <v>592</v>
      </c>
      <c r="B42" s="63">
        <v>11916</v>
      </c>
      <c r="C42" s="63">
        <v>0</v>
      </c>
      <c r="D42" s="63">
        <v>17332</v>
      </c>
      <c r="E42" s="63">
        <v>30000</v>
      </c>
      <c r="F42" s="63">
        <f t="shared" si="3"/>
        <v>47332</v>
      </c>
    </row>
    <row r="43" spans="1:6" x14ac:dyDescent="0.35">
      <c r="A43" s="420" t="s">
        <v>709</v>
      </c>
      <c r="B43" s="63"/>
      <c r="C43" s="63"/>
      <c r="D43" s="63"/>
      <c r="E43" s="63">
        <v>600</v>
      </c>
      <c r="F43" s="63">
        <f t="shared" si="3"/>
        <v>600</v>
      </c>
    </row>
    <row r="44" spans="1:6" x14ac:dyDescent="0.35">
      <c r="A44" s="414" t="s">
        <v>373</v>
      </c>
      <c r="B44" s="588"/>
      <c r="C44" s="71"/>
      <c r="D44" s="71"/>
      <c r="E44" s="71"/>
      <c r="F44" s="71"/>
    </row>
    <row r="45" spans="1:6" x14ac:dyDescent="0.35">
      <c r="A45" s="419" t="s">
        <v>374</v>
      </c>
      <c r="B45" s="63">
        <v>184000</v>
      </c>
      <c r="C45" s="63">
        <v>127000</v>
      </c>
      <c r="D45" s="63">
        <v>127000</v>
      </c>
      <c r="E45" s="63"/>
      <c r="F45" s="63">
        <f t="shared" si="3"/>
        <v>127000</v>
      </c>
    </row>
    <row r="46" spans="1:6" ht="42" x14ac:dyDescent="0.35">
      <c r="A46" s="419" t="s">
        <v>426</v>
      </c>
      <c r="B46" s="63">
        <v>84998</v>
      </c>
      <c r="C46" s="63">
        <f>67000+63000</f>
        <v>130000</v>
      </c>
      <c r="D46" s="63">
        <v>133259</v>
      </c>
      <c r="E46" s="63">
        <v>509</v>
      </c>
      <c r="F46" s="63">
        <f t="shared" si="3"/>
        <v>133768</v>
      </c>
    </row>
    <row r="47" spans="1:6" x14ac:dyDescent="0.35">
      <c r="A47" s="414" t="s">
        <v>359</v>
      </c>
      <c r="B47" s="587"/>
      <c r="C47" s="74"/>
      <c r="D47" s="74"/>
      <c r="E47" s="74"/>
      <c r="F47" s="74"/>
    </row>
    <row r="48" spans="1:6" ht="42" x14ac:dyDescent="0.35">
      <c r="A48" s="419" t="s">
        <v>427</v>
      </c>
      <c r="B48" s="63">
        <v>1000</v>
      </c>
      <c r="C48" s="63">
        <v>1000</v>
      </c>
      <c r="D48" s="63">
        <v>1000</v>
      </c>
      <c r="E48" s="63"/>
      <c r="F48" s="63">
        <f t="shared" si="3"/>
        <v>1000</v>
      </c>
    </row>
    <row r="49" spans="1:6" x14ac:dyDescent="0.35">
      <c r="A49" s="419" t="s">
        <v>119</v>
      </c>
      <c r="B49" s="63">
        <v>8000</v>
      </c>
      <c r="C49" s="63">
        <v>8000</v>
      </c>
      <c r="D49" s="63">
        <v>8000</v>
      </c>
      <c r="E49" s="63"/>
      <c r="F49" s="63">
        <f t="shared" si="3"/>
        <v>8000</v>
      </c>
    </row>
    <row r="50" spans="1:6" x14ac:dyDescent="0.35">
      <c r="A50" s="420" t="s">
        <v>79</v>
      </c>
      <c r="B50" s="63">
        <v>2000</v>
      </c>
      <c r="C50" s="63">
        <v>2000</v>
      </c>
      <c r="D50" s="63">
        <v>2000</v>
      </c>
      <c r="E50" s="63"/>
      <c r="F50" s="63">
        <f t="shared" si="3"/>
        <v>2000</v>
      </c>
    </row>
    <row r="51" spans="1:6" x14ac:dyDescent="0.35">
      <c r="A51" s="420" t="s">
        <v>468</v>
      </c>
      <c r="B51" s="63">
        <v>2000</v>
      </c>
      <c r="C51" s="63">
        <v>2000</v>
      </c>
      <c r="D51" s="63">
        <v>2000</v>
      </c>
      <c r="E51" s="63"/>
      <c r="F51" s="63">
        <f t="shared" si="3"/>
        <v>2000</v>
      </c>
    </row>
    <row r="52" spans="1:6" x14ac:dyDescent="0.35">
      <c r="A52" s="414" t="s">
        <v>361</v>
      </c>
      <c r="B52" s="587"/>
      <c r="C52" s="74"/>
      <c r="D52" s="74"/>
      <c r="E52" s="74"/>
      <c r="F52" s="74">
        <f t="shared" si="3"/>
        <v>0</v>
      </c>
    </row>
    <row r="53" spans="1:6" x14ac:dyDescent="0.35">
      <c r="A53" s="419" t="s">
        <v>364</v>
      </c>
      <c r="B53" s="63"/>
      <c r="C53" s="63">
        <v>70000</v>
      </c>
      <c r="D53" s="63">
        <v>70000</v>
      </c>
      <c r="E53" s="63"/>
      <c r="F53" s="63">
        <f t="shared" si="3"/>
        <v>70000</v>
      </c>
    </row>
    <row r="54" spans="1:6" ht="42" x14ac:dyDescent="0.35">
      <c r="A54" s="414" t="s">
        <v>368</v>
      </c>
      <c r="B54" s="587"/>
      <c r="C54" s="69"/>
      <c r="D54" s="69"/>
      <c r="E54" s="69"/>
      <c r="F54" s="69"/>
    </row>
    <row r="55" spans="1:6" x14ac:dyDescent="0.35">
      <c r="A55" s="415" t="s">
        <v>435</v>
      </c>
      <c r="B55" s="72">
        <v>5685</v>
      </c>
      <c r="C55" s="72">
        <f>6000+3000</f>
        <v>9000</v>
      </c>
      <c r="D55" s="72">
        <v>13574</v>
      </c>
      <c r="E55" s="72"/>
      <c r="F55" s="72">
        <f t="shared" si="3"/>
        <v>13574</v>
      </c>
    </row>
    <row r="56" spans="1:6" ht="42" x14ac:dyDescent="0.35">
      <c r="A56" s="420" t="s">
        <v>369</v>
      </c>
      <c r="B56" s="63">
        <v>2241</v>
      </c>
      <c r="C56" s="63">
        <f>2241-1120</f>
        <v>1121</v>
      </c>
      <c r="D56" s="63">
        <v>1121</v>
      </c>
      <c r="E56" s="63"/>
      <c r="F56" s="63">
        <f t="shared" si="3"/>
        <v>1121</v>
      </c>
    </row>
    <row r="57" spans="1:6" x14ac:dyDescent="0.35">
      <c r="A57" s="420" t="s">
        <v>355</v>
      </c>
      <c r="B57" s="63">
        <v>2631</v>
      </c>
      <c r="C57" s="63">
        <v>5500</v>
      </c>
      <c r="D57" s="63">
        <v>9204</v>
      </c>
      <c r="E57" s="63"/>
      <c r="F57" s="63">
        <f t="shared" si="3"/>
        <v>9204</v>
      </c>
    </row>
    <row r="58" spans="1:6" x14ac:dyDescent="0.35">
      <c r="A58" s="420" t="s">
        <v>514</v>
      </c>
      <c r="B58" s="63"/>
      <c r="C58" s="63">
        <v>0</v>
      </c>
      <c r="D58" s="63">
        <v>3300</v>
      </c>
      <c r="E58" s="63"/>
      <c r="F58" s="63">
        <f t="shared" si="3"/>
        <v>3300</v>
      </c>
    </row>
    <row r="59" spans="1:6" ht="42" x14ac:dyDescent="0.35">
      <c r="A59" s="420" t="s">
        <v>538</v>
      </c>
      <c r="B59" s="63">
        <v>200000</v>
      </c>
      <c r="C59" s="63">
        <f>100000+100000-200000</f>
        <v>0</v>
      </c>
      <c r="D59" s="63">
        <v>0</v>
      </c>
      <c r="E59" s="63"/>
      <c r="F59" s="63">
        <f t="shared" si="3"/>
        <v>0</v>
      </c>
    </row>
    <row r="60" spans="1:6" ht="42" x14ac:dyDescent="0.35">
      <c r="A60" s="420" t="s">
        <v>436</v>
      </c>
      <c r="B60" s="63">
        <v>18288</v>
      </c>
      <c r="C60" s="63">
        <v>18500</v>
      </c>
      <c r="D60" s="63">
        <v>21336</v>
      </c>
      <c r="E60" s="63"/>
      <c r="F60" s="63">
        <f t="shared" si="3"/>
        <v>21336</v>
      </c>
    </row>
    <row r="61" spans="1:6" x14ac:dyDescent="0.35">
      <c r="A61" s="420" t="s">
        <v>338</v>
      </c>
      <c r="B61" s="63">
        <v>50000</v>
      </c>
      <c r="C61" s="63">
        <v>50000</v>
      </c>
      <c r="D61" s="63">
        <v>50000</v>
      </c>
      <c r="E61" s="63"/>
      <c r="F61" s="63">
        <f t="shared" si="3"/>
        <v>50000</v>
      </c>
    </row>
    <row r="62" spans="1:6" x14ac:dyDescent="0.35">
      <c r="A62" s="420" t="s">
        <v>703</v>
      </c>
      <c r="B62" s="63"/>
      <c r="C62" s="63"/>
      <c r="D62" s="63"/>
      <c r="E62" s="63">
        <v>3079</v>
      </c>
      <c r="F62" s="63">
        <f t="shared" si="3"/>
        <v>3079</v>
      </c>
    </row>
    <row r="63" spans="1:6" x14ac:dyDescent="0.35">
      <c r="A63" s="420" t="s">
        <v>509</v>
      </c>
      <c r="B63" s="63">
        <v>60021</v>
      </c>
      <c r="C63" s="63"/>
      <c r="D63" s="63">
        <v>0</v>
      </c>
      <c r="E63" s="63">
        <v>47719</v>
      </c>
      <c r="F63" s="63">
        <f t="shared" si="3"/>
        <v>47719</v>
      </c>
    </row>
    <row r="64" spans="1:6" x14ac:dyDescent="0.35">
      <c r="A64" s="420" t="s">
        <v>593</v>
      </c>
      <c r="B64" s="63"/>
      <c r="C64" s="63"/>
      <c r="D64" s="63">
        <v>10000</v>
      </c>
      <c r="E64" s="63"/>
      <c r="F64" s="63">
        <f t="shared" si="3"/>
        <v>10000</v>
      </c>
    </row>
    <row r="65" spans="1:6" ht="42.75" thickBot="1" x14ac:dyDescent="0.4">
      <c r="A65" s="421" t="s">
        <v>594</v>
      </c>
      <c r="B65" s="155">
        <v>40000</v>
      </c>
      <c r="C65" s="155"/>
      <c r="D65" s="155">
        <v>0</v>
      </c>
      <c r="E65" s="155"/>
      <c r="F65" s="155">
        <f t="shared" si="3"/>
        <v>0</v>
      </c>
    </row>
    <row r="66" spans="1:6" x14ac:dyDescent="0.35">
      <c r="A66" s="414" t="s">
        <v>8</v>
      </c>
      <c r="B66" s="587"/>
      <c r="C66" s="74"/>
      <c r="D66" s="74"/>
      <c r="E66" s="74"/>
      <c r="F66" s="74"/>
    </row>
    <row r="67" spans="1:6" ht="42" x14ac:dyDescent="0.35">
      <c r="A67" s="415" t="s">
        <v>34</v>
      </c>
      <c r="B67" s="72">
        <v>7849</v>
      </c>
      <c r="C67" s="72">
        <v>8000</v>
      </c>
      <c r="D67" s="72">
        <v>8000</v>
      </c>
      <c r="E67" s="72">
        <v>-63</v>
      </c>
      <c r="F67" s="72">
        <f t="shared" si="3"/>
        <v>7937</v>
      </c>
    </row>
    <row r="68" spans="1:6" ht="42" x14ac:dyDescent="0.35">
      <c r="A68" s="415" t="s">
        <v>705</v>
      </c>
      <c r="B68" s="72"/>
      <c r="C68" s="72"/>
      <c r="D68" s="72"/>
      <c r="E68" s="72">
        <v>63</v>
      </c>
      <c r="F68" s="72">
        <f t="shared" si="3"/>
        <v>63</v>
      </c>
    </row>
    <row r="69" spans="1:6" x14ac:dyDescent="0.35">
      <c r="A69" s="422" t="s">
        <v>46</v>
      </c>
      <c r="B69" s="63">
        <v>25421</v>
      </c>
      <c r="C69" s="63">
        <f>25500+4500</f>
        <v>30000</v>
      </c>
      <c r="D69" s="63">
        <v>30000</v>
      </c>
      <c r="E69" s="63"/>
      <c r="F69" s="63">
        <f t="shared" si="3"/>
        <v>30000</v>
      </c>
    </row>
    <row r="70" spans="1:6" x14ac:dyDescent="0.35">
      <c r="A70" s="422" t="s">
        <v>28</v>
      </c>
      <c r="B70" s="63">
        <v>6560</v>
      </c>
      <c r="C70" s="63">
        <v>7000</v>
      </c>
      <c r="D70" s="63">
        <v>7338</v>
      </c>
      <c r="E70" s="63"/>
      <c r="F70" s="63">
        <f t="shared" si="3"/>
        <v>7338</v>
      </c>
    </row>
    <row r="71" spans="1:6" ht="42" x14ac:dyDescent="0.35">
      <c r="A71" s="422" t="s">
        <v>334</v>
      </c>
      <c r="B71" s="63">
        <v>30504</v>
      </c>
      <c r="C71" s="63">
        <f>30000+5000</f>
        <v>35000</v>
      </c>
      <c r="D71" s="63">
        <v>36268</v>
      </c>
      <c r="E71" s="63"/>
      <c r="F71" s="63">
        <f t="shared" si="3"/>
        <v>36268</v>
      </c>
    </row>
    <row r="72" spans="1:6" x14ac:dyDescent="0.35">
      <c r="A72" s="422" t="s">
        <v>214</v>
      </c>
      <c r="B72" s="63">
        <v>300</v>
      </c>
      <c r="C72" s="63">
        <v>300</v>
      </c>
      <c r="D72" s="63">
        <v>300</v>
      </c>
      <c r="E72" s="63"/>
      <c r="F72" s="63">
        <f t="shared" si="3"/>
        <v>300</v>
      </c>
    </row>
    <row r="73" spans="1:6" x14ac:dyDescent="0.35">
      <c r="A73" s="422" t="s">
        <v>122</v>
      </c>
      <c r="B73" s="63">
        <v>7407</v>
      </c>
      <c r="C73" s="63">
        <v>8300</v>
      </c>
      <c r="D73" s="63">
        <v>10675</v>
      </c>
      <c r="E73" s="63"/>
      <c r="F73" s="63">
        <f t="shared" si="3"/>
        <v>10675</v>
      </c>
    </row>
    <row r="74" spans="1:6" ht="42" x14ac:dyDescent="0.35">
      <c r="A74" s="420" t="s">
        <v>340</v>
      </c>
      <c r="B74" s="63">
        <v>3426</v>
      </c>
      <c r="C74" s="63">
        <v>3500</v>
      </c>
      <c r="D74" s="63">
        <v>3500</v>
      </c>
      <c r="E74" s="63"/>
      <c r="F74" s="63">
        <f t="shared" si="3"/>
        <v>3500</v>
      </c>
    </row>
    <row r="75" spans="1:6" x14ac:dyDescent="0.35">
      <c r="A75" s="420" t="s">
        <v>375</v>
      </c>
      <c r="B75" s="63">
        <v>3810</v>
      </c>
      <c r="C75" s="63">
        <v>3810</v>
      </c>
      <c r="D75" s="63">
        <v>4160</v>
      </c>
      <c r="E75" s="63"/>
      <c r="F75" s="63">
        <f t="shared" si="3"/>
        <v>4160</v>
      </c>
    </row>
    <row r="76" spans="1:6" x14ac:dyDescent="0.35">
      <c r="A76" s="420" t="s">
        <v>356</v>
      </c>
      <c r="B76" s="63">
        <v>175</v>
      </c>
      <c r="C76" s="63">
        <v>500</v>
      </c>
      <c r="D76" s="63">
        <v>825</v>
      </c>
      <c r="E76" s="63"/>
      <c r="F76" s="63">
        <f t="shared" si="3"/>
        <v>825</v>
      </c>
    </row>
    <row r="77" spans="1:6" x14ac:dyDescent="0.35">
      <c r="A77" s="420" t="s">
        <v>446</v>
      </c>
      <c r="B77" s="63">
        <v>7315</v>
      </c>
      <c r="C77" s="63">
        <v>7500</v>
      </c>
      <c r="D77" s="63">
        <v>8719</v>
      </c>
      <c r="E77" s="63"/>
      <c r="F77" s="63">
        <f t="shared" si="3"/>
        <v>8719</v>
      </c>
    </row>
    <row r="78" spans="1:6" x14ac:dyDescent="0.35">
      <c r="A78" s="420" t="s">
        <v>447</v>
      </c>
      <c r="B78" s="63">
        <v>2779</v>
      </c>
      <c r="C78" s="63">
        <v>2500</v>
      </c>
      <c r="D78" s="63">
        <v>2820</v>
      </c>
      <c r="E78" s="63"/>
      <c r="F78" s="63">
        <f t="shared" si="3"/>
        <v>2820</v>
      </c>
    </row>
    <row r="79" spans="1:6" x14ac:dyDescent="0.35">
      <c r="A79" s="420" t="s">
        <v>448</v>
      </c>
      <c r="B79" s="63">
        <v>2779</v>
      </c>
      <c r="C79" s="63">
        <v>2500</v>
      </c>
      <c r="D79" s="63">
        <v>2820</v>
      </c>
      <c r="E79" s="63"/>
      <c r="F79" s="63">
        <f t="shared" si="3"/>
        <v>2820</v>
      </c>
    </row>
    <row r="80" spans="1:6" x14ac:dyDescent="0.35">
      <c r="A80" s="420" t="s">
        <v>639</v>
      </c>
      <c r="B80" s="63"/>
      <c r="C80" s="63">
        <v>1000</v>
      </c>
      <c r="D80" s="63">
        <v>3600</v>
      </c>
      <c r="E80" s="63"/>
      <c r="F80" s="63">
        <f t="shared" si="3"/>
        <v>3600</v>
      </c>
    </row>
    <row r="81" spans="1:6" x14ac:dyDescent="0.35">
      <c r="A81" s="414" t="s">
        <v>7</v>
      </c>
      <c r="B81" s="74"/>
      <c r="C81" s="74"/>
      <c r="D81" s="74"/>
      <c r="E81" s="74"/>
      <c r="F81" s="74"/>
    </row>
    <row r="82" spans="1:6" x14ac:dyDescent="0.35">
      <c r="A82" s="419" t="s">
        <v>40</v>
      </c>
      <c r="B82" s="63">
        <v>46555</v>
      </c>
      <c r="C82" s="63">
        <f>15000+10000</f>
        <v>25000</v>
      </c>
      <c r="D82" s="63">
        <v>74172</v>
      </c>
      <c r="E82" s="63">
        <v>2187</v>
      </c>
      <c r="F82" s="63">
        <f t="shared" si="3"/>
        <v>76359</v>
      </c>
    </row>
    <row r="83" spans="1:6" x14ac:dyDescent="0.35">
      <c r="A83" s="422" t="s">
        <v>335</v>
      </c>
      <c r="B83" s="63"/>
      <c r="C83" s="63">
        <v>1500</v>
      </c>
      <c r="D83" s="63">
        <v>1500</v>
      </c>
      <c r="E83" s="63"/>
      <c r="F83" s="63">
        <f t="shared" si="3"/>
        <v>1500</v>
      </c>
    </row>
    <row r="84" spans="1:6" x14ac:dyDescent="0.35">
      <c r="A84" s="422" t="s">
        <v>472</v>
      </c>
      <c r="B84" s="63">
        <v>350</v>
      </c>
      <c r="C84" s="63">
        <v>1000</v>
      </c>
      <c r="D84" s="63">
        <v>1000</v>
      </c>
      <c r="E84" s="63"/>
      <c r="F84" s="63">
        <f t="shared" si="3"/>
        <v>1000</v>
      </c>
    </row>
    <row r="85" spans="1:6" x14ac:dyDescent="0.35">
      <c r="A85" s="422" t="s">
        <v>413</v>
      </c>
      <c r="B85" s="63">
        <v>350</v>
      </c>
      <c r="C85" s="63">
        <v>1000</v>
      </c>
      <c r="D85" s="63">
        <v>1000</v>
      </c>
      <c r="E85" s="63"/>
      <c r="F85" s="63">
        <f t="shared" ref="F85:F114" si="4">SUM(D85:E85)</f>
        <v>1000</v>
      </c>
    </row>
    <row r="86" spans="1:6" ht="63" x14ac:dyDescent="0.35">
      <c r="A86" s="422" t="s">
        <v>347</v>
      </c>
      <c r="B86" s="63">
        <v>4500</v>
      </c>
      <c r="C86" s="63">
        <v>4500</v>
      </c>
      <c r="D86" s="63">
        <v>4500</v>
      </c>
      <c r="E86" s="63"/>
      <c r="F86" s="63">
        <f t="shared" si="4"/>
        <v>4500</v>
      </c>
    </row>
    <row r="87" spans="1:6" x14ac:dyDescent="0.35">
      <c r="A87" s="423" t="s">
        <v>6</v>
      </c>
      <c r="B87" s="69"/>
      <c r="C87" s="69"/>
      <c r="D87" s="69"/>
      <c r="E87" s="69"/>
      <c r="F87" s="69"/>
    </row>
    <row r="88" spans="1:6" x14ac:dyDescent="0.35">
      <c r="A88" s="419" t="s">
        <v>268</v>
      </c>
      <c r="B88" s="63">
        <v>12091</v>
      </c>
      <c r="C88" s="63">
        <v>0</v>
      </c>
      <c r="D88" s="63">
        <v>3022</v>
      </c>
      <c r="E88" s="63"/>
      <c r="F88" s="63">
        <f t="shared" si="4"/>
        <v>3022</v>
      </c>
    </row>
    <row r="89" spans="1:6" s="160" customFormat="1" ht="21.75" thickBot="1" x14ac:dyDescent="0.4">
      <c r="A89" s="413" t="s">
        <v>199</v>
      </c>
      <c r="B89" s="42">
        <f>SUM(B16:B88)</f>
        <v>8501785</v>
      </c>
      <c r="C89" s="42">
        <f>SUM(C16:C88)</f>
        <v>5558264</v>
      </c>
      <c r="D89" s="42">
        <f>SUM(D16:D88)</f>
        <v>5699995</v>
      </c>
      <c r="E89" s="42">
        <f>SUM(E16:E88)</f>
        <v>89094</v>
      </c>
      <c r="F89" s="42">
        <f t="shared" si="4"/>
        <v>5789089</v>
      </c>
    </row>
    <row r="90" spans="1:6" x14ac:dyDescent="0.35">
      <c r="A90" s="424" t="s">
        <v>93</v>
      </c>
      <c r="B90" s="587"/>
      <c r="C90" s="71"/>
      <c r="D90" s="71"/>
      <c r="E90" s="71"/>
      <c r="F90" s="71"/>
    </row>
    <row r="91" spans="1:6" x14ac:dyDescent="0.35">
      <c r="A91" s="425" t="s">
        <v>380</v>
      </c>
      <c r="B91" s="589"/>
      <c r="C91" s="63">
        <f>76672-76672+1940747</f>
        <v>1940747</v>
      </c>
      <c r="D91" s="63">
        <v>0</v>
      </c>
      <c r="E91" s="63"/>
      <c r="F91" s="63">
        <f t="shared" si="4"/>
        <v>0</v>
      </c>
    </row>
    <row r="92" spans="1:6" x14ac:dyDescent="0.35">
      <c r="A92" s="425" t="s">
        <v>719</v>
      </c>
      <c r="B92" s="589">
        <v>13613</v>
      </c>
      <c r="C92" s="63"/>
      <c r="D92" s="63">
        <v>8088</v>
      </c>
      <c r="E92" s="63">
        <v>2313</v>
      </c>
      <c r="F92" s="63">
        <f t="shared" si="4"/>
        <v>10401</v>
      </c>
    </row>
    <row r="93" spans="1:6" x14ac:dyDescent="0.35">
      <c r="A93" s="425" t="s">
        <v>677</v>
      </c>
      <c r="B93" s="589"/>
      <c r="C93" s="63"/>
      <c r="D93" s="63">
        <v>2313</v>
      </c>
      <c r="E93" s="63">
        <v>-2313</v>
      </c>
      <c r="F93" s="63">
        <f t="shared" si="4"/>
        <v>0</v>
      </c>
    </row>
    <row r="94" spans="1:6" x14ac:dyDescent="0.35">
      <c r="A94" s="425" t="s">
        <v>492</v>
      </c>
      <c r="B94" s="589">
        <v>9278</v>
      </c>
      <c r="C94" s="63"/>
      <c r="D94" s="63">
        <v>0</v>
      </c>
      <c r="E94" s="63"/>
      <c r="F94" s="63">
        <f t="shared" si="4"/>
        <v>0</v>
      </c>
    </row>
    <row r="95" spans="1:6" x14ac:dyDescent="0.35">
      <c r="A95" s="426" t="s">
        <v>444</v>
      </c>
      <c r="B95" s="589">
        <v>1687</v>
      </c>
      <c r="C95" s="63"/>
      <c r="D95" s="63">
        <v>13530</v>
      </c>
      <c r="E95" s="63">
        <v>-3951</v>
      </c>
      <c r="F95" s="63">
        <f t="shared" si="4"/>
        <v>9579</v>
      </c>
    </row>
    <row r="96" spans="1:6" ht="42" x14ac:dyDescent="0.35">
      <c r="A96" s="425" t="s">
        <v>503</v>
      </c>
      <c r="B96" s="589">
        <v>1999</v>
      </c>
      <c r="C96" s="63"/>
      <c r="D96" s="63">
        <v>0</v>
      </c>
      <c r="E96" s="63"/>
      <c r="F96" s="63">
        <f t="shared" si="4"/>
        <v>0</v>
      </c>
    </row>
    <row r="97" spans="1:6" x14ac:dyDescent="0.35">
      <c r="A97" s="425" t="s">
        <v>506</v>
      </c>
      <c r="B97" s="589">
        <v>2143</v>
      </c>
      <c r="C97" s="63"/>
      <c r="D97" s="63">
        <v>0</v>
      </c>
      <c r="E97" s="63"/>
      <c r="F97" s="63">
        <f t="shared" si="4"/>
        <v>0</v>
      </c>
    </row>
    <row r="98" spans="1:6" x14ac:dyDescent="0.35">
      <c r="A98" s="425" t="s">
        <v>507</v>
      </c>
      <c r="B98" s="589">
        <v>562</v>
      </c>
      <c r="C98" s="63"/>
      <c r="D98" s="63">
        <v>4440</v>
      </c>
      <c r="E98" s="63"/>
      <c r="F98" s="63">
        <f t="shared" si="4"/>
        <v>4440</v>
      </c>
    </row>
    <row r="99" spans="1:6" x14ac:dyDescent="0.35">
      <c r="A99" s="426" t="s">
        <v>439</v>
      </c>
      <c r="B99" s="589">
        <v>13856</v>
      </c>
      <c r="C99" s="63"/>
      <c r="D99" s="63">
        <v>6972</v>
      </c>
      <c r="E99" s="63"/>
      <c r="F99" s="63">
        <f t="shared" si="4"/>
        <v>6972</v>
      </c>
    </row>
    <row r="100" spans="1:6" x14ac:dyDescent="0.35">
      <c r="A100" s="426" t="s">
        <v>595</v>
      </c>
      <c r="B100" s="589"/>
      <c r="C100" s="63"/>
      <c r="D100" s="63">
        <v>6681</v>
      </c>
      <c r="E100" s="63"/>
      <c r="F100" s="63">
        <f t="shared" si="4"/>
        <v>6681</v>
      </c>
    </row>
    <row r="101" spans="1:6" ht="63" x14ac:dyDescent="0.35">
      <c r="A101" s="426" t="s">
        <v>706</v>
      </c>
      <c r="B101" s="589"/>
      <c r="C101" s="63"/>
      <c r="D101" s="63">
        <v>37585</v>
      </c>
      <c r="E101" s="63"/>
      <c r="F101" s="63">
        <f t="shared" si="4"/>
        <v>37585</v>
      </c>
    </row>
    <row r="102" spans="1:6" x14ac:dyDescent="0.35">
      <c r="A102" s="426" t="s">
        <v>580</v>
      </c>
      <c r="B102" s="589">
        <v>605</v>
      </c>
      <c r="C102" s="63"/>
      <c r="D102" s="63">
        <v>1021</v>
      </c>
      <c r="E102" s="63"/>
      <c r="F102" s="63">
        <f t="shared" si="4"/>
        <v>1021</v>
      </c>
    </row>
    <row r="103" spans="1:6" x14ac:dyDescent="0.35">
      <c r="A103" s="426" t="s">
        <v>700</v>
      </c>
      <c r="B103" s="589"/>
      <c r="C103" s="63"/>
      <c r="D103" s="63">
        <v>59209</v>
      </c>
      <c r="E103" s="63">
        <v>3116</v>
      </c>
      <c r="F103" s="63">
        <f t="shared" si="4"/>
        <v>62325</v>
      </c>
    </row>
    <row r="104" spans="1:6" x14ac:dyDescent="0.35">
      <c r="A104" s="426" t="s">
        <v>597</v>
      </c>
      <c r="B104" s="589"/>
      <c r="C104" s="63"/>
      <c r="D104" s="63">
        <v>3116</v>
      </c>
      <c r="E104" s="63">
        <v>-3116</v>
      </c>
      <c r="F104" s="63">
        <f t="shared" si="4"/>
        <v>0</v>
      </c>
    </row>
    <row r="105" spans="1:6" x14ac:dyDescent="0.35">
      <c r="A105" s="426" t="s">
        <v>582</v>
      </c>
      <c r="B105" s="589"/>
      <c r="C105" s="63"/>
      <c r="D105" s="63">
        <v>660352</v>
      </c>
      <c r="E105" s="63"/>
      <c r="F105" s="63">
        <f t="shared" si="4"/>
        <v>660352</v>
      </c>
    </row>
    <row r="106" spans="1:6" ht="42" x14ac:dyDescent="0.35">
      <c r="A106" s="426" t="s">
        <v>583</v>
      </c>
      <c r="B106" s="589"/>
      <c r="C106" s="63"/>
      <c r="D106" s="63">
        <v>638723</v>
      </c>
      <c r="E106" s="63"/>
      <c r="F106" s="63">
        <f t="shared" si="4"/>
        <v>638723</v>
      </c>
    </row>
    <row r="107" spans="1:6" ht="42" x14ac:dyDescent="0.35">
      <c r="A107" s="426" t="s">
        <v>584</v>
      </c>
      <c r="B107" s="589"/>
      <c r="C107" s="63"/>
      <c r="D107" s="63">
        <v>500925</v>
      </c>
      <c r="E107" s="63"/>
      <c r="F107" s="63">
        <f t="shared" si="4"/>
        <v>500925</v>
      </c>
    </row>
    <row r="108" spans="1:6" x14ac:dyDescent="0.35">
      <c r="A108" s="426" t="s">
        <v>701</v>
      </c>
      <c r="B108" s="589"/>
      <c r="C108" s="63">
        <v>1732</v>
      </c>
      <c r="D108" s="63">
        <v>1732</v>
      </c>
      <c r="E108" s="63"/>
      <c r="F108" s="63">
        <f t="shared" si="4"/>
        <v>1732</v>
      </c>
    </row>
    <row r="109" spans="1:6" ht="42" x14ac:dyDescent="0.35">
      <c r="A109" s="426" t="s">
        <v>635</v>
      </c>
      <c r="B109" s="589"/>
      <c r="C109" s="63">
        <v>1000</v>
      </c>
      <c r="D109" s="63">
        <v>1000</v>
      </c>
      <c r="E109" s="63"/>
      <c r="F109" s="63">
        <f t="shared" si="4"/>
        <v>1000</v>
      </c>
    </row>
    <row r="110" spans="1:6" ht="42" x14ac:dyDescent="0.35">
      <c r="A110" s="426" t="s">
        <v>636</v>
      </c>
      <c r="B110" s="589"/>
      <c r="C110" s="63">
        <v>2050</v>
      </c>
      <c r="D110" s="63">
        <v>2050</v>
      </c>
      <c r="E110" s="63"/>
      <c r="F110" s="63">
        <f t="shared" si="4"/>
        <v>2050</v>
      </c>
    </row>
    <row r="111" spans="1:6" x14ac:dyDescent="0.35">
      <c r="A111" s="426" t="s">
        <v>637</v>
      </c>
      <c r="B111" s="589"/>
      <c r="C111" s="63">
        <v>1246</v>
      </c>
      <c r="D111" s="63">
        <v>1246</v>
      </c>
      <c r="E111" s="63"/>
      <c r="F111" s="63">
        <f t="shared" si="4"/>
        <v>1246</v>
      </c>
    </row>
    <row r="112" spans="1:6" ht="42" x14ac:dyDescent="0.35">
      <c r="A112" s="639" t="s">
        <v>699</v>
      </c>
      <c r="B112" s="589"/>
      <c r="C112" s="63"/>
      <c r="D112" s="63"/>
      <c r="E112" s="63">
        <v>120710</v>
      </c>
      <c r="F112" s="63">
        <f t="shared" si="4"/>
        <v>120710</v>
      </c>
    </row>
    <row r="113" spans="1:6" x14ac:dyDescent="0.35">
      <c r="A113" s="317" t="s">
        <v>721</v>
      </c>
      <c r="B113" s="589"/>
      <c r="C113" s="63"/>
      <c r="D113" s="63"/>
      <c r="E113" s="63">
        <v>43274</v>
      </c>
      <c r="F113" s="63">
        <f t="shared" si="4"/>
        <v>43274</v>
      </c>
    </row>
    <row r="114" spans="1:6" x14ac:dyDescent="0.35">
      <c r="A114" s="426" t="s">
        <v>598</v>
      </c>
      <c r="B114" s="589">
        <v>347</v>
      </c>
      <c r="C114" s="63"/>
      <c r="D114" s="63">
        <v>182</v>
      </c>
      <c r="E114" s="63">
        <v>101</v>
      </c>
      <c r="F114" s="63">
        <f t="shared" si="4"/>
        <v>283</v>
      </c>
    </row>
    <row r="115" spans="1:6" ht="63" x14ac:dyDescent="0.35">
      <c r="A115" s="426" t="s">
        <v>596</v>
      </c>
      <c r="B115" s="589"/>
      <c r="C115" s="63"/>
      <c r="D115" s="63"/>
      <c r="E115" s="63">
        <f>1700+20399</f>
        <v>22099</v>
      </c>
      <c r="F115" s="63">
        <f>SUM(D115:E115)</f>
        <v>22099</v>
      </c>
    </row>
    <row r="116" spans="1:6" s="160" customFormat="1" ht="21.75" thickBot="1" x14ac:dyDescent="0.4">
      <c r="A116" s="413" t="s">
        <v>199</v>
      </c>
      <c r="B116" s="42">
        <f>SUM(B91:B115)</f>
        <v>44090</v>
      </c>
      <c r="C116" s="42">
        <f t="shared" ref="C116:F116" si="5">SUM(C91:C115)</f>
        <v>1946775</v>
      </c>
      <c r="D116" s="42">
        <f t="shared" si="5"/>
        <v>1949165</v>
      </c>
      <c r="E116" s="42">
        <f t="shared" si="5"/>
        <v>182233</v>
      </c>
      <c r="F116" s="42">
        <f t="shared" si="5"/>
        <v>2131398</v>
      </c>
    </row>
    <row r="117" spans="1:6" s="160" customFormat="1" ht="21.75" thickBot="1" x14ac:dyDescent="0.4">
      <c r="A117" s="427" t="s">
        <v>116</v>
      </c>
      <c r="B117" s="75">
        <f>B14+B89+B116</f>
        <v>10386983</v>
      </c>
      <c r="C117" s="75">
        <f>C14+C89+C116</f>
        <v>9319775</v>
      </c>
      <c r="D117" s="75">
        <f>D14+D89+D116</f>
        <v>9601190</v>
      </c>
      <c r="E117" s="75">
        <f>E14+E89+E116</f>
        <v>271327</v>
      </c>
      <c r="F117" s="75">
        <f>F14+F89+F116</f>
        <v>9872517</v>
      </c>
    </row>
    <row r="118" spans="1:6" s="429" customFormat="1" ht="44.25" customHeight="1" thickBot="1" x14ac:dyDescent="0.4">
      <c r="A118" s="428" t="s">
        <v>286</v>
      </c>
      <c r="B118" s="76">
        <f>B117+B8</f>
        <v>13719352</v>
      </c>
      <c r="C118" s="76">
        <f>C117+C8</f>
        <v>12726120</v>
      </c>
      <c r="D118" s="76">
        <f>D117+D8</f>
        <v>13435441</v>
      </c>
      <c r="E118" s="76">
        <f>E117+E8</f>
        <v>295135</v>
      </c>
      <c r="F118" s="76">
        <f>F117+F8</f>
        <v>13730576</v>
      </c>
    </row>
    <row r="119" spans="1:6" x14ac:dyDescent="0.35">
      <c r="F119" s="77"/>
    </row>
    <row r="120" spans="1:6" ht="21.75" thickBot="1" x14ac:dyDescent="0.4">
      <c r="A120" s="383" t="s">
        <v>80</v>
      </c>
      <c r="B120" s="561"/>
      <c r="C120" s="409"/>
      <c r="D120" s="409"/>
      <c r="E120" s="409"/>
      <c r="F120" s="409"/>
    </row>
    <row r="121" spans="1:6" x14ac:dyDescent="0.35">
      <c r="A121" s="395" t="s">
        <v>155</v>
      </c>
      <c r="B121" s="162" t="s">
        <v>417</v>
      </c>
      <c r="C121" s="162" t="s">
        <v>438</v>
      </c>
      <c r="D121" s="162" t="s">
        <v>662</v>
      </c>
      <c r="E121" s="162" t="s">
        <v>663</v>
      </c>
      <c r="F121" s="162" t="s">
        <v>697</v>
      </c>
    </row>
    <row r="122" spans="1:6" ht="21.75" thickBot="1" x14ac:dyDescent="0.4">
      <c r="A122" s="431"/>
      <c r="B122" s="165" t="s">
        <v>665</v>
      </c>
      <c r="C122" s="342" t="s">
        <v>331</v>
      </c>
      <c r="D122" s="342" t="s">
        <v>344</v>
      </c>
      <c r="E122" s="342" t="s">
        <v>664</v>
      </c>
      <c r="F122" s="342" t="s">
        <v>344</v>
      </c>
    </row>
    <row r="123" spans="1:6" x14ac:dyDescent="0.35">
      <c r="A123" s="432" t="s">
        <v>471</v>
      </c>
      <c r="B123" s="590">
        <v>7139</v>
      </c>
      <c r="C123" s="142">
        <v>0</v>
      </c>
      <c r="D123" s="142">
        <v>14571</v>
      </c>
      <c r="E123" s="142"/>
      <c r="F123" s="142">
        <f>SUM(D123:E123)</f>
        <v>14571</v>
      </c>
    </row>
    <row r="124" spans="1:6" ht="21.75" thickBot="1" x14ac:dyDescent="0.4">
      <c r="A124" s="419" t="s">
        <v>4</v>
      </c>
      <c r="B124" s="63">
        <v>84434</v>
      </c>
      <c r="C124" s="63">
        <f>75200+19955</f>
        <v>95155</v>
      </c>
      <c r="D124" s="63">
        <v>102775</v>
      </c>
      <c r="E124" s="63">
        <v>187</v>
      </c>
      <c r="F124" s="63">
        <f>SUM(D124:E124)</f>
        <v>102962</v>
      </c>
    </row>
    <row r="125" spans="1:6" s="160" customFormat="1" ht="42.75" customHeight="1" thickBot="1" x14ac:dyDescent="0.4">
      <c r="A125" s="433" t="s">
        <v>285</v>
      </c>
      <c r="B125" s="70">
        <f>B123+B124</f>
        <v>91573</v>
      </c>
      <c r="C125" s="70">
        <f>C123+C124</f>
        <v>95155</v>
      </c>
      <c r="D125" s="70">
        <f t="shared" ref="D125:E125" si="6">D123+D124</f>
        <v>117346</v>
      </c>
      <c r="E125" s="70">
        <f t="shared" si="6"/>
        <v>187</v>
      </c>
      <c r="F125" s="70">
        <f>F123+F124</f>
        <v>117533</v>
      </c>
    </row>
    <row r="126" spans="1:6" ht="21.75" thickBot="1" x14ac:dyDescent="0.4">
      <c r="A126" s="434"/>
      <c r="B126" s="145"/>
      <c r="F126" s="77"/>
    </row>
    <row r="127" spans="1:6" s="160" customFormat="1" ht="41.25" customHeight="1" thickBot="1" x14ac:dyDescent="0.4">
      <c r="A127" s="433" t="s">
        <v>287</v>
      </c>
      <c r="B127" s="70">
        <f>B118+B125</f>
        <v>13810925</v>
      </c>
      <c r="C127" s="70">
        <f>C118+C125</f>
        <v>12821275</v>
      </c>
      <c r="D127" s="70">
        <f t="shared" ref="D127:E127" si="7">D118+D125</f>
        <v>13552787</v>
      </c>
      <c r="E127" s="70">
        <f t="shared" si="7"/>
        <v>295322</v>
      </c>
      <c r="F127" s="70">
        <f>F118+F125</f>
        <v>13848109</v>
      </c>
    </row>
    <row r="129" spans="1:6" x14ac:dyDescent="0.35">
      <c r="A129" s="430" t="s">
        <v>72</v>
      </c>
      <c r="F129" s="399"/>
    </row>
    <row r="130" spans="1:6" x14ac:dyDescent="0.35">
      <c r="A130" s="430" t="s">
        <v>73</v>
      </c>
    </row>
  </sheetData>
  <customSheetViews>
    <customSheetView guid="{6D4B996F-8915-4E78-98C2-E7EAE9C4580C}" scale="75" showRuler="0" topLeftCell="A49">
      <selection activeCell="B69" sqref="B69"/>
      <pageMargins left="0.39370078740157483" right="0.39370078740157483" top="0.39370078740157483" bottom="0.39370078740157483" header="0.11811023622047245" footer="0.11811023622047245"/>
      <printOptions horizontalCentered="1" verticalCentered="1"/>
      <pageSetup paperSize="9" scale="59" orientation="portrait" horizontalDpi="300" verticalDpi="300" r:id="rId1"/>
      <headerFooter alignWithMargins="0">
        <oddHeader>&amp;L&amp;F   &amp;A&amp;RM.III.7. sz. melléklet</oddHeader>
      </headerFooter>
    </customSheetView>
    <customSheetView guid="{186732C5-520C-4E06-B066-B4F3F0A3E322}" scale="75" showRuler="0" topLeftCell="A49">
      <selection activeCell="B69" sqref="B69"/>
      <pageMargins left="0.39370078740157483" right="0.39370078740157483" top="0.39370078740157483" bottom="0.39370078740157483" header="0.11811023622047245" footer="0.11811023622047245"/>
      <printOptions horizontalCentered="1" verticalCentered="1"/>
      <pageSetup paperSize="9" scale="59" orientation="portrait" horizontalDpi="300" verticalDpi="300" r:id="rId2"/>
      <headerFooter alignWithMargins="0">
        <oddHeader>&amp;L&amp;F   &amp;A&amp;RM.III.7. sz. melléklet</oddHeader>
      </headerFooter>
    </customSheetView>
  </customSheetViews>
  <mergeCells count="1">
    <mergeCell ref="A2:F2"/>
  </mergeCells>
  <phoneticPr fontId="0" type="noConversion"/>
  <printOptions horizontalCentered="1" verticalCentered="1"/>
  <pageMargins left="0.39370078740157483" right="0.39370078740157483" top="0" bottom="0" header="0" footer="0.51181102362204722"/>
  <pageSetup paperSize="9" scale="34" orientation="portrait" r:id="rId3"/>
  <headerFooter alignWithMargins="0">
    <oddHeader xml:space="preserve">&amp;R&amp;"-,Félkövér"&amp;12 
13. melléklet a 14/2026. (IX.25.) önkormányzati rendelethe&amp;"Times New Roman CE,Félkövér"z
"13. melléklet a 3/2026.(II.27.) önkormányzati rendelethez"
</oddHeader>
  </headerFooter>
  <rowBreaks count="1" manualBreakCount="1">
    <brk id="65" max="4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6"/>
  <sheetViews>
    <sheetView zoomScale="89" zoomScaleNormal="89" workbookViewId="0">
      <selection activeCell="K15" sqref="K15"/>
    </sheetView>
  </sheetViews>
  <sheetFormatPr defaultColWidth="9.33203125" defaultRowHeight="21" x14ac:dyDescent="0.35"/>
  <cols>
    <col min="1" max="1" width="88.6640625" style="2" customWidth="1"/>
    <col min="2" max="2" width="40.33203125" style="2" customWidth="1"/>
    <col min="3" max="3" width="39.6640625" style="2" customWidth="1"/>
    <col min="4" max="4" width="41.33203125" style="2" customWidth="1"/>
    <col min="5" max="5" width="39.1640625" style="2" customWidth="1"/>
    <col min="6" max="6" width="44.5" style="2" customWidth="1"/>
    <col min="7" max="7" width="11.33203125" style="2" bestFit="1" customWidth="1"/>
    <col min="8" max="8" width="11" style="2" bestFit="1" customWidth="1"/>
    <col min="9" max="16384" width="9.33203125" style="2"/>
  </cols>
  <sheetData>
    <row r="1" spans="1:6" x14ac:dyDescent="0.35">
      <c r="A1" s="159"/>
      <c r="B1" s="159"/>
      <c r="C1" s="159"/>
      <c r="D1" s="159"/>
      <c r="E1" s="159"/>
      <c r="F1" s="159"/>
    </row>
    <row r="2" spans="1:6" x14ac:dyDescent="0.35">
      <c r="A2" s="973" t="s">
        <v>533</v>
      </c>
      <c r="B2" s="973"/>
      <c r="C2" s="973"/>
      <c r="D2" s="973"/>
      <c r="E2" s="973"/>
      <c r="F2" s="973"/>
    </row>
    <row r="3" spans="1:6" x14ac:dyDescent="0.35">
      <c r="A3" s="45" t="s">
        <v>12</v>
      </c>
      <c r="B3" s="45"/>
      <c r="C3" s="45"/>
      <c r="D3" s="45"/>
      <c r="E3" s="45"/>
      <c r="F3" s="45"/>
    </row>
    <row r="4" spans="1:6" ht="21.75" thickBot="1" x14ac:dyDescent="0.4">
      <c r="F4" s="280" t="s">
        <v>201</v>
      </c>
    </row>
    <row r="5" spans="1:6" x14ac:dyDescent="0.35">
      <c r="A5" s="350" t="s">
        <v>155</v>
      </c>
      <c r="B5" s="162" t="s">
        <v>417</v>
      </c>
      <c r="C5" s="162" t="s">
        <v>438</v>
      </c>
      <c r="D5" s="162" t="s">
        <v>662</v>
      </c>
      <c r="E5" s="162" t="s">
        <v>663</v>
      </c>
      <c r="F5" s="162" t="s">
        <v>697</v>
      </c>
    </row>
    <row r="6" spans="1:6" ht="21.75" thickBot="1" x14ac:dyDescent="0.4">
      <c r="A6" s="351"/>
      <c r="B6" s="165" t="s">
        <v>665</v>
      </c>
      <c r="C6" s="342" t="s">
        <v>331</v>
      </c>
      <c r="D6" s="342" t="s">
        <v>344</v>
      </c>
      <c r="E6" s="342" t="s">
        <v>664</v>
      </c>
      <c r="F6" s="342" t="s">
        <v>344</v>
      </c>
    </row>
    <row r="7" spans="1:6" x14ac:dyDescent="0.35">
      <c r="A7" s="435" t="s">
        <v>532</v>
      </c>
      <c r="B7" s="591">
        <v>18263</v>
      </c>
      <c r="C7" s="40">
        <f>18500+2000</f>
        <v>20500</v>
      </c>
      <c r="D7" s="40">
        <v>28118</v>
      </c>
      <c r="E7" s="40"/>
      <c r="F7" s="40">
        <f>SUM(D7:E7)</f>
        <v>28118</v>
      </c>
    </row>
    <row r="8" spans="1:6" x14ac:dyDescent="0.35">
      <c r="A8" s="402" t="s">
        <v>411</v>
      </c>
      <c r="B8" s="592">
        <v>4000</v>
      </c>
      <c r="C8" s="6">
        <f>4000+2000</f>
        <v>6000</v>
      </c>
      <c r="D8" s="6">
        <v>6000</v>
      </c>
      <c r="E8" s="6"/>
      <c r="F8" s="6">
        <f>SUM(D8:E8)</f>
        <v>6000</v>
      </c>
    </row>
    <row r="9" spans="1:6" x14ac:dyDescent="0.35">
      <c r="A9" s="402" t="s">
        <v>646</v>
      </c>
      <c r="B9" s="63">
        <v>15700</v>
      </c>
      <c r="C9" s="4">
        <v>9200</v>
      </c>
      <c r="D9" s="4">
        <v>9200</v>
      </c>
      <c r="E9" s="4">
        <v>6500</v>
      </c>
      <c r="F9" s="6">
        <f t="shared" ref="F9:F25" si="0">SUM(D9:E9)</f>
        <v>15700</v>
      </c>
    </row>
    <row r="10" spans="1:6" x14ac:dyDescent="0.35">
      <c r="A10" s="361" t="s">
        <v>531</v>
      </c>
      <c r="B10" s="5">
        <v>560000</v>
      </c>
      <c r="C10" s="4">
        <v>420000</v>
      </c>
      <c r="D10" s="4">
        <v>420000</v>
      </c>
      <c r="E10" s="4">
        <v>118030</v>
      </c>
      <c r="F10" s="6">
        <f t="shared" si="0"/>
        <v>538030</v>
      </c>
    </row>
    <row r="11" spans="1:6" ht="42.6" customHeight="1" x14ac:dyDescent="0.35">
      <c r="A11" s="402" t="s">
        <v>530</v>
      </c>
      <c r="B11" s="592">
        <v>297000</v>
      </c>
      <c r="C11" s="6">
        <f>297000-15000</f>
        <v>282000</v>
      </c>
      <c r="D11" s="6">
        <v>282000</v>
      </c>
      <c r="E11" s="6">
        <v>21560</v>
      </c>
      <c r="F11" s="6">
        <f t="shared" si="0"/>
        <v>303560</v>
      </c>
    </row>
    <row r="12" spans="1:6" x14ac:dyDescent="0.35">
      <c r="A12" s="436" t="s">
        <v>265</v>
      </c>
      <c r="B12" s="5">
        <v>40000</v>
      </c>
      <c r="C12" s="4">
        <f>40000-20000</f>
        <v>20000</v>
      </c>
      <c r="D12" s="4">
        <v>20000</v>
      </c>
      <c r="E12" s="4"/>
      <c r="F12" s="6">
        <f t="shared" si="0"/>
        <v>20000</v>
      </c>
    </row>
    <row r="13" spans="1:6" x14ac:dyDescent="0.35">
      <c r="A13" s="347" t="s">
        <v>378</v>
      </c>
      <c r="B13" s="7">
        <v>55500</v>
      </c>
      <c r="C13" s="6">
        <v>55500</v>
      </c>
      <c r="D13" s="6">
        <v>57500</v>
      </c>
      <c r="E13" s="6"/>
      <c r="F13" s="6">
        <f t="shared" si="0"/>
        <v>57500</v>
      </c>
    </row>
    <row r="14" spans="1:6" x14ac:dyDescent="0.35">
      <c r="A14" s="347" t="s">
        <v>535</v>
      </c>
      <c r="B14" s="7">
        <v>98000</v>
      </c>
      <c r="C14" s="6">
        <f>50000+50000</f>
        <v>100000</v>
      </c>
      <c r="D14" s="6">
        <v>100000</v>
      </c>
      <c r="E14" s="6"/>
      <c r="F14" s="6">
        <f t="shared" si="0"/>
        <v>100000</v>
      </c>
    </row>
    <row r="15" spans="1:6" ht="42" x14ac:dyDescent="0.35">
      <c r="A15" s="347" t="s">
        <v>529</v>
      </c>
      <c r="B15" s="7">
        <v>8268</v>
      </c>
      <c r="C15" s="6">
        <v>8268</v>
      </c>
      <c r="D15" s="6">
        <v>8268</v>
      </c>
      <c r="E15" s="6"/>
      <c r="F15" s="6">
        <f t="shared" si="0"/>
        <v>8268</v>
      </c>
    </row>
    <row r="16" spans="1:6" ht="42" x14ac:dyDescent="0.35">
      <c r="A16" s="347" t="s">
        <v>528</v>
      </c>
      <c r="B16" s="7">
        <v>8220</v>
      </c>
      <c r="C16" s="6">
        <v>8220</v>
      </c>
      <c r="D16" s="6">
        <v>8220</v>
      </c>
      <c r="E16" s="6"/>
      <c r="F16" s="6">
        <f t="shared" si="0"/>
        <v>8220</v>
      </c>
    </row>
    <row r="17" spans="1:6" ht="42" x14ac:dyDescent="0.35">
      <c r="A17" s="347" t="s">
        <v>407</v>
      </c>
      <c r="B17" s="52">
        <v>1307</v>
      </c>
      <c r="C17" s="9">
        <v>200</v>
      </c>
      <c r="D17" s="9">
        <v>612</v>
      </c>
      <c r="E17" s="9">
        <v>695</v>
      </c>
      <c r="F17" s="6">
        <f t="shared" si="0"/>
        <v>1307</v>
      </c>
    </row>
    <row r="18" spans="1:6" x14ac:dyDescent="0.35">
      <c r="A18" s="347" t="s">
        <v>527</v>
      </c>
      <c r="B18" s="52">
        <v>5000</v>
      </c>
      <c r="C18" s="9">
        <f>5000+5000</f>
        <v>10000</v>
      </c>
      <c r="D18" s="9">
        <v>10000</v>
      </c>
      <c r="E18" s="9"/>
      <c r="F18" s="6">
        <f t="shared" si="0"/>
        <v>10000</v>
      </c>
    </row>
    <row r="19" spans="1:6" x14ac:dyDescent="0.35">
      <c r="A19" s="366" t="s">
        <v>526</v>
      </c>
      <c r="B19" s="7">
        <v>1138</v>
      </c>
      <c r="C19" s="6">
        <v>1089</v>
      </c>
      <c r="D19" s="6">
        <v>1141</v>
      </c>
      <c r="E19" s="6"/>
      <c r="F19" s="6">
        <f t="shared" si="0"/>
        <v>1141</v>
      </c>
    </row>
    <row r="20" spans="1:6" x14ac:dyDescent="0.35">
      <c r="A20" s="366" t="s">
        <v>510</v>
      </c>
      <c r="B20" s="7">
        <v>7000</v>
      </c>
      <c r="C20" s="6">
        <v>0</v>
      </c>
      <c r="D20" s="6">
        <v>0</v>
      </c>
      <c r="E20" s="6"/>
      <c r="F20" s="6">
        <f t="shared" si="0"/>
        <v>0</v>
      </c>
    </row>
    <row r="21" spans="1:6" x14ac:dyDescent="0.35">
      <c r="A21" s="366" t="s">
        <v>536</v>
      </c>
      <c r="B21" s="7">
        <v>83000</v>
      </c>
      <c r="C21" s="6">
        <v>20000</v>
      </c>
      <c r="D21" s="6">
        <v>20000</v>
      </c>
      <c r="E21" s="6"/>
      <c r="F21" s="6">
        <f t="shared" si="0"/>
        <v>20000</v>
      </c>
    </row>
    <row r="22" spans="1:6" x14ac:dyDescent="0.35">
      <c r="A22" s="366" t="s">
        <v>432</v>
      </c>
      <c r="B22" s="7">
        <v>1000</v>
      </c>
      <c r="C22" s="6">
        <f>1000-1000+1000</f>
        <v>1000</v>
      </c>
      <c r="D22" s="6">
        <v>1000</v>
      </c>
      <c r="E22" s="6"/>
      <c r="F22" s="6">
        <f t="shared" si="0"/>
        <v>1000</v>
      </c>
    </row>
    <row r="23" spans="1:6" x14ac:dyDescent="0.35">
      <c r="A23" s="366" t="s">
        <v>656</v>
      </c>
      <c r="B23" s="7"/>
      <c r="C23" s="6">
        <v>4000</v>
      </c>
      <c r="D23" s="6">
        <v>4000</v>
      </c>
      <c r="E23" s="6"/>
      <c r="F23" s="6">
        <f t="shared" si="0"/>
        <v>4000</v>
      </c>
    </row>
    <row r="24" spans="1:6" x14ac:dyDescent="0.35">
      <c r="A24" s="366" t="s">
        <v>690</v>
      </c>
      <c r="B24" s="7"/>
      <c r="C24" s="6"/>
      <c r="D24" s="6">
        <v>500</v>
      </c>
      <c r="E24" s="6"/>
      <c r="F24" s="6">
        <f t="shared" si="0"/>
        <v>500</v>
      </c>
    </row>
    <row r="25" spans="1:6" ht="21.75" thickBot="1" x14ac:dyDescent="0.4">
      <c r="A25" s="366" t="s">
        <v>550</v>
      </c>
      <c r="B25" s="7">
        <v>19000</v>
      </c>
      <c r="C25" s="6">
        <v>19000</v>
      </c>
      <c r="D25" s="6">
        <v>19000</v>
      </c>
      <c r="E25" s="6"/>
      <c r="F25" s="6">
        <f t="shared" si="0"/>
        <v>19000</v>
      </c>
    </row>
    <row r="26" spans="1:6" ht="21.75" thickBot="1" x14ac:dyDescent="0.4">
      <c r="A26" s="353" t="s">
        <v>525</v>
      </c>
      <c r="B26" s="11">
        <f>SUM(B7:B25)</f>
        <v>1222396</v>
      </c>
      <c r="C26" s="15">
        <f>SUM(C7:C25)</f>
        <v>984977</v>
      </c>
      <c r="D26" s="15">
        <f t="shared" ref="D26:E26" si="1">SUM(D7:D25)</f>
        <v>995559</v>
      </c>
      <c r="E26" s="15">
        <f t="shared" si="1"/>
        <v>146785</v>
      </c>
      <c r="F26" s="15">
        <f>SUM(F7:F25)</f>
        <v>1142344</v>
      </c>
    </row>
    <row r="28" spans="1:6" x14ac:dyDescent="0.35">
      <c r="A28" s="45" t="s">
        <v>72</v>
      </c>
      <c r="B28" s="45"/>
      <c r="C28" s="45"/>
      <c r="D28" s="45"/>
      <c r="E28" s="45"/>
      <c r="F28" s="354"/>
    </row>
    <row r="29" spans="1:6" x14ac:dyDescent="0.35">
      <c r="A29" s="45" t="s">
        <v>73</v>
      </c>
      <c r="B29" s="45"/>
      <c r="C29" s="45"/>
      <c r="D29" s="45"/>
      <c r="E29" s="45"/>
      <c r="F29" s="45"/>
    </row>
    <row r="31" spans="1:6" x14ac:dyDescent="0.35">
      <c r="F31" s="3"/>
    </row>
    <row r="32" spans="1:6" x14ac:dyDescent="0.35">
      <c r="F32" s="3"/>
    </row>
    <row r="33" spans="6:6" x14ac:dyDescent="0.35">
      <c r="F33" s="3"/>
    </row>
    <row r="34" spans="6:6" x14ac:dyDescent="0.35">
      <c r="F34" s="3"/>
    </row>
    <row r="35" spans="6:6" x14ac:dyDescent="0.35">
      <c r="F35" s="17"/>
    </row>
    <row r="36" spans="6:6" x14ac:dyDescent="0.35">
      <c r="F36" s="3"/>
    </row>
    <row r="37" spans="6:6" x14ac:dyDescent="0.35">
      <c r="F37" s="3"/>
    </row>
    <row r="38" spans="6:6" x14ac:dyDescent="0.35">
      <c r="F38" s="3"/>
    </row>
    <row r="39" spans="6:6" x14ac:dyDescent="0.35">
      <c r="F39" s="3"/>
    </row>
    <row r="42" spans="6:6" x14ac:dyDescent="0.35">
      <c r="F42" s="3"/>
    </row>
    <row r="46" spans="6:6" x14ac:dyDescent="0.35">
      <c r="F46" s="437"/>
    </row>
  </sheetData>
  <mergeCells count="1">
    <mergeCell ref="A2:F2"/>
  </mergeCells>
  <printOptions horizontalCentered="1" verticalCentered="1"/>
  <pageMargins left="0.59055118110236227" right="0.59055118110236227" top="0" bottom="0" header="0.51181102362204722" footer="0.51181102362204722"/>
  <pageSetup paperSize="9" scale="42" orientation="portrait" r:id="rId1"/>
  <headerFooter alignWithMargins="0">
    <oddHeader xml:space="preserve">&amp;R&amp;"-,Félkövér"&amp;12 14. melléklet a 14/2026. (IX.25.) önkormányzati rendelethez
"14. melléklet a 3/2026.(II.27.) önkormányzati rendelethez"
&amp;"Times New Roman CE,Félkövér"
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Munka18"/>
  <dimension ref="A1:O41"/>
  <sheetViews>
    <sheetView zoomScale="87" zoomScaleNormal="87" workbookViewId="0">
      <selection activeCell="A46" sqref="A46"/>
    </sheetView>
  </sheetViews>
  <sheetFormatPr defaultColWidth="9.33203125" defaultRowHeight="21" x14ac:dyDescent="0.35"/>
  <cols>
    <col min="1" max="1" width="141.33203125" style="2" bestFit="1" customWidth="1"/>
    <col min="2" max="2" width="45.5" style="2" customWidth="1"/>
    <col min="3" max="3" width="38.83203125" style="2" customWidth="1"/>
    <col min="4" max="4" width="40.83203125" style="2" customWidth="1"/>
    <col min="5" max="5" width="39.1640625" style="2" customWidth="1"/>
    <col min="6" max="6" width="44.6640625" style="2" customWidth="1"/>
    <col min="7" max="14" width="9.33203125" style="2"/>
    <col min="15" max="15" width="38" style="3" customWidth="1"/>
    <col min="16" max="16384" width="9.33203125" style="2"/>
  </cols>
  <sheetData>
    <row r="1" spans="1:6" x14ac:dyDescent="0.35">
      <c r="A1" s="159"/>
      <c r="B1" s="159"/>
      <c r="C1" s="159"/>
      <c r="D1" s="159"/>
      <c r="E1" s="159"/>
      <c r="F1" s="159"/>
    </row>
    <row r="2" spans="1:6" x14ac:dyDescent="0.35">
      <c r="A2" s="973" t="s">
        <v>88</v>
      </c>
      <c r="B2" s="973"/>
      <c r="C2" s="973"/>
      <c r="D2" s="973"/>
      <c r="E2" s="973"/>
      <c r="F2" s="973"/>
    </row>
    <row r="3" spans="1:6" x14ac:dyDescent="0.35">
      <c r="C3" s="159"/>
      <c r="D3" s="159"/>
      <c r="E3" s="159"/>
      <c r="F3" s="159"/>
    </row>
    <row r="4" spans="1:6" ht="21.75" thickBot="1" x14ac:dyDescent="0.4">
      <c r="A4" s="278"/>
      <c r="F4" s="438" t="s">
        <v>201</v>
      </c>
    </row>
    <row r="5" spans="1:6" x14ac:dyDescent="0.35">
      <c r="A5" s="350" t="s">
        <v>155</v>
      </c>
      <c r="B5" s="162" t="s">
        <v>417</v>
      </c>
      <c r="C5" s="162" t="s">
        <v>438</v>
      </c>
      <c r="D5" s="162" t="s">
        <v>662</v>
      </c>
      <c r="E5" s="162" t="s">
        <v>663</v>
      </c>
      <c r="F5" s="162" t="s">
        <v>697</v>
      </c>
    </row>
    <row r="6" spans="1:6" ht="21.75" thickBot="1" x14ac:dyDescent="0.4">
      <c r="A6" s="351"/>
      <c r="B6" s="342" t="s">
        <v>665</v>
      </c>
      <c r="C6" s="342" t="s">
        <v>331</v>
      </c>
      <c r="D6" s="342" t="s">
        <v>344</v>
      </c>
      <c r="E6" s="342" t="s">
        <v>664</v>
      </c>
      <c r="F6" s="342" t="s">
        <v>344</v>
      </c>
    </row>
    <row r="7" spans="1:6" ht="21.75" thickBot="1" x14ac:dyDescent="0.4">
      <c r="A7" s="633" t="s">
        <v>565</v>
      </c>
      <c r="B7" s="632"/>
      <c r="C7" s="630">
        <v>513503</v>
      </c>
      <c r="D7" s="630">
        <v>529919</v>
      </c>
      <c r="E7" s="630">
        <v>3134</v>
      </c>
      <c r="F7" s="630">
        <f>SUM(D7:E7)</f>
        <v>533053</v>
      </c>
    </row>
    <row r="8" spans="1:6" x14ac:dyDescent="0.35">
      <c r="A8" s="631" t="s">
        <v>346</v>
      </c>
      <c r="B8" s="593">
        <v>318345</v>
      </c>
      <c r="C8" s="79">
        <f>300000+40000</f>
        <v>340000</v>
      </c>
      <c r="D8" s="79">
        <v>396566</v>
      </c>
      <c r="E8" s="79"/>
      <c r="F8" s="79">
        <f>SUM(D8:E8)</f>
        <v>396566</v>
      </c>
    </row>
    <row r="9" spans="1:6" x14ac:dyDescent="0.35">
      <c r="A9" s="439" t="s">
        <v>402</v>
      </c>
      <c r="B9" s="593"/>
      <c r="C9" s="79">
        <f>1414000+100000+73651</f>
        <v>1587651</v>
      </c>
      <c r="D9" s="79">
        <v>1599940</v>
      </c>
      <c r="E9" s="79"/>
      <c r="F9" s="79">
        <f t="shared" ref="F9:F24" si="0">SUM(D9:E9)</f>
        <v>1599940</v>
      </c>
    </row>
    <row r="10" spans="1:6" x14ac:dyDescent="0.35">
      <c r="A10" s="439" t="s">
        <v>524</v>
      </c>
      <c r="B10" s="593">
        <v>555565</v>
      </c>
      <c r="C10" s="79">
        <v>500000</v>
      </c>
      <c r="D10" s="79">
        <v>517000</v>
      </c>
      <c r="E10" s="79"/>
      <c r="F10" s="79">
        <f t="shared" si="0"/>
        <v>517000</v>
      </c>
    </row>
    <row r="11" spans="1:6" x14ac:dyDescent="0.35">
      <c r="A11" s="439" t="s">
        <v>297</v>
      </c>
      <c r="B11" s="593">
        <v>8782</v>
      </c>
      <c r="C11" s="79">
        <v>5000</v>
      </c>
      <c r="D11" s="79">
        <v>6203</v>
      </c>
      <c r="E11" s="79"/>
      <c r="F11" s="79">
        <f t="shared" si="0"/>
        <v>6203</v>
      </c>
    </row>
    <row r="12" spans="1:6" x14ac:dyDescent="0.35">
      <c r="A12" s="439" t="s">
        <v>74</v>
      </c>
      <c r="B12" s="593"/>
      <c r="C12" s="79">
        <v>0</v>
      </c>
      <c r="D12" s="79">
        <v>3933</v>
      </c>
      <c r="E12" s="79"/>
      <c r="F12" s="79">
        <f t="shared" si="0"/>
        <v>3933</v>
      </c>
    </row>
    <row r="13" spans="1:6" x14ac:dyDescent="0.35">
      <c r="A13" s="439" t="s">
        <v>379</v>
      </c>
      <c r="B13" s="593">
        <v>609162</v>
      </c>
      <c r="C13" s="79">
        <f>550000-550000</f>
        <v>0</v>
      </c>
      <c r="D13" s="79">
        <v>0</v>
      </c>
      <c r="E13" s="79"/>
      <c r="F13" s="79">
        <f t="shared" si="0"/>
        <v>0</v>
      </c>
    </row>
    <row r="14" spans="1:6" x14ac:dyDescent="0.35">
      <c r="A14" s="440" t="s">
        <v>454</v>
      </c>
      <c r="B14" s="594">
        <v>5998</v>
      </c>
      <c r="C14" s="24">
        <v>11000</v>
      </c>
      <c r="D14" s="24">
        <v>12982</v>
      </c>
      <c r="E14" s="24">
        <v>1000</v>
      </c>
      <c r="F14" s="24">
        <f t="shared" si="0"/>
        <v>13982</v>
      </c>
    </row>
    <row r="15" spans="1:6" x14ac:dyDescent="0.35">
      <c r="A15" s="343" t="s">
        <v>643</v>
      </c>
      <c r="B15" s="593">
        <v>877</v>
      </c>
      <c r="C15" s="79">
        <f>1200+2800</f>
        <v>4000</v>
      </c>
      <c r="D15" s="79">
        <v>5842</v>
      </c>
      <c r="E15" s="79"/>
      <c r="F15" s="79">
        <f t="shared" si="0"/>
        <v>5842</v>
      </c>
    </row>
    <row r="16" spans="1:6" x14ac:dyDescent="0.35">
      <c r="A16" s="343" t="s">
        <v>82</v>
      </c>
      <c r="B16" s="593">
        <v>6135</v>
      </c>
      <c r="C16" s="79">
        <v>2600</v>
      </c>
      <c r="D16" s="79">
        <v>3601</v>
      </c>
      <c r="E16" s="79"/>
      <c r="F16" s="79">
        <f t="shared" si="0"/>
        <v>3601</v>
      </c>
    </row>
    <row r="17" spans="1:6" x14ac:dyDescent="0.35">
      <c r="A17" s="343" t="s">
        <v>113</v>
      </c>
      <c r="B17" s="593">
        <v>2424</v>
      </c>
      <c r="C17" s="79">
        <v>3000</v>
      </c>
      <c r="D17" s="79">
        <v>5000</v>
      </c>
      <c r="E17" s="79"/>
      <c r="F17" s="79">
        <f t="shared" si="0"/>
        <v>5000</v>
      </c>
    </row>
    <row r="18" spans="1:6" x14ac:dyDescent="0.35">
      <c r="A18" s="343" t="s">
        <v>336</v>
      </c>
      <c r="B18" s="593">
        <v>8691</v>
      </c>
      <c r="C18" s="79">
        <v>6500</v>
      </c>
      <c r="D18" s="79">
        <v>6746</v>
      </c>
      <c r="E18" s="79"/>
      <c r="F18" s="79">
        <f t="shared" si="0"/>
        <v>6746</v>
      </c>
    </row>
    <row r="19" spans="1:6" x14ac:dyDescent="0.35">
      <c r="A19" s="343" t="s">
        <v>182</v>
      </c>
      <c r="B19" s="593">
        <v>349</v>
      </c>
      <c r="C19" s="79">
        <v>4000</v>
      </c>
      <c r="D19" s="79">
        <v>4000</v>
      </c>
      <c r="E19" s="79"/>
      <c r="F19" s="79">
        <f t="shared" si="0"/>
        <v>4000</v>
      </c>
    </row>
    <row r="20" spans="1:6" x14ac:dyDescent="0.35">
      <c r="A20" s="66" t="s">
        <v>695</v>
      </c>
      <c r="B20" s="594"/>
      <c r="C20" s="24"/>
      <c r="D20" s="24">
        <v>800</v>
      </c>
      <c r="E20" s="24"/>
      <c r="F20" s="24">
        <f t="shared" si="0"/>
        <v>800</v>
      </c>
    </row>
    <row r="21" spans="1:6" x14ac:dyDescent="0.35">
      <c r="A21" s="343" t="s">
        <v>42</v>
      </c>
      <c r="B21" s="593">
        <v>73051</v>
      </c>
      <c r="C21" s="79">
        <v>66000</v>
      </c>
      <c r="D21" s="79">
        <v>90754</v>
      </c>
      <c r="E21" s="79"/>
      <c r="F21" s="79">
        <f t="shared" si="0"/>
        <v>90754</v>
      </c>
    </row>
    <row r="22" spans="1:6" x14ac:dyDescent="0.35">
      <c r="A22" s="66" t="s">
        <v>599</v>
      </c>
      <c r="B22" s="594">
        <v>109244</v>
      </c>
      <c r="C22" s="24"/>
      <c r="D22" s="24">
        <v>12803</v>
      </c>
      <c r="E22" s="24">
        <v>16463</v>
      </c>
      <c r="F22" s="24">
        <f t="shared" si="0"/>
        <v>29266</v>
      </c>
    </row>
    <row r="23" spans="1:6" ht="49.5" customHeight="1" x14ac:dyDescent="0.35">
      <c r="A23" s="346" t="s">
        <v>495</v>
      </c>
      <c r="B23" s="594">
        <v>28632</v>
      </c>
      <c r="C23" s="24">
        <v>28632</v>
      </c>
      <c r="D23" s="24">
        <v>28632</v>
      </c>
      <c r="E23" s="24"/>
      <c r="F23" s="24">
        <f t="shared" si="0"/>
        <v>28632</v>
      </c>
    </row>
    <row r="24" spans="1:6" ht="21.75" thickBot="1" x14ac:dyDescent="0.4">
      <c r="A24" s="346" t="s">
        <v>682</v>
      </c>
      <c r="B24" s="594"/>
      <c r="C24" s="24"/>
      <c r="D24" s="24">
        <v>209</v>
      </c>
      <c r="E24" s="24"/>
      <c r="F24" s="24">
        <f t="shared" si="0"/>
        <v>209</v>
      </c>
    </row>
    <row r="25" spans="1:6" ht="21.75" thickBot="1" x14ac:dyDescent="0.4">
      <c r="A25" s="441" t="s">
        <v>89</v>
      </c>
      <c r="B25" s="11">
        <f>SUM(B8:B24)</f>
        <v>1727255</v>
      </c>
      <c r="C25" s="11">
        <f>SUM(C8:C24)</f>
        <v>2558383</v>
      </c>
      <c r="D25" s="11">
        <f t="shared" ref="D25:E25" si="1">SUM(D8:D24)</f>
        <v>2695011</v>
      </c>
      <c r="E25" s="11">
        <f t="shared" si="1"/>
        <v>17463</v>
      </c>
      <c r="F25" s="11">
        <f>SUM(F8:F24)</f>
        <v>2712474</v>
      </c>
    </row>
    <row r="26" spans="1:6" x14ac:dyDescent="0.35">
      <c r="A26" s="127" t="s">
        <v>90</v>
      </c>
      <c r="B26" s="595">
        <v>1217</v>
      </c>
      <c r="C26" s="80">
        <v>1000</v>
      </c>
      <c r="D26" s="80">
        <v>1113</v>
      </c>
      <c r="E26" s="80"/>
      <c r="F26" s="80">
        <f>SUM(D26:E26)</f>
        <v>1113</v>
      </c>
    </row>
    <row r="27" spans="1:6" x14ac:dyDescent="0.35">
      <c r="A27" s="346" t="s">
        <v>455</v>
      </c>
      <c r="B27" s="596">
        <v>5283</v>
      </c>
      <c r="C27" s="25">
        <v>5000</v>
      </c>
      <c r="D27" s="24">
        <v>10409</v>
      </c>
      <c r="E27" s="24"/>
      <c r="F27" s="24">
        <f t="shared" ref="F27:F29" si="2">SUM(D27:E27)</f>
        <v>10409</v>
      </c>
    </row>
    <row r="28" spans="1:6" x14ac:dyDescent="0.35">
      <c r="A28" s="346" t="s">
        <v>249</v>
      </c>
      <c r="B28" s="597"/>
      <c r="C28" s="36">
        <v>1900</v>
      </c>
      <c r="D28" s="27">
        <v>1900</v>
      </c>
      <c r="E28" s="24"/>
      <c r="F28" s="24">
        <f t="shared" si="2"/>
        <v>1900</v>
      </c>
    </row>
    <row r="29" spans="1:6" ht="21.75" thickBot="1" x14ac:dyDescent="0.4">
      <c r="A29" s="442" t="s">
        <v>496</v>
      </c>
      <c r="B29" s="597">
        <v>2915</v>
      </c>
      <c r="C29" s="36"/>
      <c r="D29" s="27">
        <v>0</v>
      </c>
      <c r="E29" s="27"/>
      <c r="F29" s="27">
        <f t="shared" si="2"/>
        <v>0</v>
      </c>
    </row>
    <row r="30" spans="1:6" ht="21.75" thickBot="1" x14ac:dyDescent="0.4">
      <c r="A30" s="441" t="s">
        <v>681</v>
      </c>
      <c r="B30" s="11">
        <f>SUM(B26:B29)</f>
        <v>9415</v>
      </c>
      <c r="C30" s="11">
        <f t="shared" ref="C30:F30" si="3">SUM(C26:C29)</f>
        <v>7900</v>
      </c>
      <c r="D30" s="11">
        <f t="shared" si="3"/>
        <v>13422</v>
      </c>
      <c r="E30" s="11">
        <f t="shared" si="3"/>
        <v>0</v>
      </c>
      <c r="F30" s="11">
        <f t="shared" si="3"/>
        <v>13422</v>
      </c>
    </row>
    <row r="31" spans="1:6" ht="56.25" customHeight="1" thickBot="1" x14ac:dyDescent="0.4">
      <c r="A31" s="433" t="s">
        <v>685</v>
      </c>
      <c r="B31" s="11">
        <f>B7+B25+B30</f>
        <v>1736670</v>
      </c>
      <c r="C31" s="11">
        <f>C7+C25+C30</f>
        <v>3079786</v>
      </c>
      <c r="D31" s="11">
        <f t="shared" ref="D31:E31" si="4">D7+D25+D30</f>
        <v>3238352</v>
      </c>
      <c r="E31" s="11">
        <f t="shared" si="4"/>
        <v>20597</v>
      </c>
      <c r="F31" s="11">
        <f>F7+F25+F30</f>
        <v>3258949</v>
      </c>
    </row>
    <row r="33" spans="1:15" ht="21.75" thickBot="1" x14ac:dyDescent="0.4">
      <c r="A33" s="288" t="s">
        <v>80</v>
      </c>
      <c r="B33" s="19"/>
      <c r="C33" s="288"/>
      <c r="D33" s="288"/>
      <c r="E33" s="288"/>
      <c r="F33" s="288"/>
      <c r="O33" s="2"/>
    </row>
    <row r="34" spans="1:15" x14ac:dyDescent="0.35">
      <c r="A34" s="350" t="s">
        <v>155</v>
      </c>
      <c r="B34" s="162" t="s">
        <v>417</v>
      </c>
      <c r="C34" s="162" t="s">
        <v>438</v>
      </c>
      <c r="D34" s="162" t="s">
        <v>662</v>
      </c>
      <c r="E34" s="162" t="s">
        <v>663</v>
      </c>
      <c r="F34" s="162" t="s">
        <v>697</v>
      </c>
      <c r="O34" s="2"/>
    </row>
    <row r="35" spans="1:15" ht="21.75" thickBot="1" x14ac:dyDescent="0.4">
      <c r="A35" s="351"/>
      <c r="B35" s="165" t="s">
        <v>665</v>
      </c>
      <c r="C35" s="165" t="s">
        <v>331</v>
      </c>
      <c r="D35" s="342" t="s">
        <v>344</v>
      </c>
      <c r="E35" s="342" t="s">
        <v>664</v>
      </c>
      <c r="F35" s="342" t="s">
        <v>344</v>
      </c>
      <c r="O35" s="2"/>
    </row>
    <row r="36" spans="1:15" ht="21.75" thickBot="1" x14ac:dyDescent="0.4">
      <c r="A36" s="345" t="s">
        <v>565</v>
      </c>
      <c r="B36" s="629"/>
      <c r="C36" s="630"/>
      <c r="D36" s="630">
        <v>1000</v>
      </c>
      <c r="E36" s="630">
        <v>1000</v>
      </c>
      <c r="F36" s="630">
        <f>SUM(D36:E36)</f>
        <v>2000</v>
      </c>
      <c r="O36" s="2"/>
    </row>
    <row r="37" spans="1:15" ht="21.75" thickBot="1" x14ac:dyDescent="0.4">
      <c r="A37" s="285"/>
      <c r="B37" s="563"/>
      <c r="C37" s="45"/>
      <c r="D37" s="45"/>
      <c r="E37" s="17"/>
      <c r="F37" s="17"/>
      <c r="O37" s="2"/>
    </row>
    <row r="38" spans="1:15" ht="21.75" thickBot="1" x14ac:dyDescent="0.4">
      <c r="A38" s="433" t="s">
        <v>288</v>
      </c>
      <c r="B38" s="585">
        <f>B31+B36</f>
        <v>1736670</v>
      </c>
      <c r="C38" s="585">
        <f t="shared" ref="C38:F38" si="5">C31+C36</f>
        <v>3079786</v>
      </c>
      <c r="D38" s="585">
        <f t="shared" si="5"/>
        <v>3239352</v>
      </c>
      <c r="E38" s="585">
        <f t="shared" si="5"/>
        <v>21597</v>
      </c>
      <c r="F38" s="585">
        <f t="shared" si="5"/>
        <v>3260949</v>
      </c>
      <c r="O38" s="2"/>
    </row>
    <row r="39" spans="1:15" x14ac:dyDescent="0.35">
      <c r="O39" s="2"/>
    </row>
    <row r="40" spans="1:15" x14ac:dyDescent="0.35">
      <c r="A40" s="45" t="s">
        <v>72</v>
      </c>
      <c r="B40" s="45"/>
      <c r="C40" s="45"/>
      <c r="D40" s="45"/>
      <c r="E40" s="45"/>
      <c r="F40" s="408"/>
      <c r="O40" s="2"/>
    </row>
    <row r="41" spans="1:15" x14ac:dyDescent="0.35">
      <c r="A41" s="45" t="s">
        <v>73</v>
      </c>
      <c r="B41" s="45"/>
      <c r="C41" s="45"/>
      <c r="D41" s="45"/>
      <c r="E41" s="45"/>
      <c r="F41" s="45"/>
      <c r="O41" s="2"/>
    </row>
  </sheetData>
  <customSheetViews>
    <customSheetView guid="{6D4B996F-8915-4E78-98C2-E7EAE9C4580C}" scale="75" showRuler="0" topLeftCell="A4">
      <selection activeCell="F26" sqref="F26"/>
      <pageMargins left="0.59055118110236227" right="0" top="0.59055118110236227" bottom="0.59055118110236227" header="0.31496062992125984" footer="0.31496062992125984"/>
      <printOptions horizontalCentered="1" verticalCentered="1"/>
      <pageSetup paperSize="9" scale="66" orientation="portrait" horizontalDpi="300" verticalDpi="300" r:id="rId1"/>
      <headerFooter alignWithMargins="0">
        <oddHeader>&amp;L&amp;F   &amp;A&amp;R&amp;"Times New Roman CE,Félkövér"&amp;16M.III/11.sz.melléklet</oddHeader>
      </headerFooter>
    </customSheetView>
    <customSheetView guid="{186732C5-520C-4E06-B066-B4F3F0A3E322}" scale="75" showRuler="0" topLeftCell="A4">
      <selection activeCell="F26" sqref="F26"/>
      <pageMargins left="0.59055118110236227" right="0" top="0.59055118110236227" bottom="0.59055118110236227" header="0.31496062992125984" footer="0.31496062992125984"/>
      <printOptions horizontalCentered="1" verticalCentered="1"/>
      <pageSetup paperSize="9" scale="66" orientation="portrait" horizontalDpi="300" verticalDpi="300" r:id="rId2"/>
      <headerFooter alignWithMargins="0">
        <oddHeader>&amp;L&amp;F   &amp;A&amp;R&amp;"Times New Roman CE,Félkövér"&amp;16M.III/11.sz.melléklet</oddHeader>
      </headerFooter>
    </customSheetView>
  </customSheetViews>
  <mergeCells count="1">
    <mergeCell ref="A2:F2"/>
  </mergeCells>
  <phoneticPr fontId="0" type="noConversion"/>
  <printOptions horizontalCentered="1" verticalCentered="1"/>
  <pageMargins left="0.59055118110236227" right="0.59055118110236227" top="0" bottom="0" header="0.51181102362204722" footer="0.51181102362204722"/>
  <pageSetup paperSize="9" scale="34" orientation="portrait" r:id="rId3"/>
  <headerFooter alignWithMargins="0">
    <oddHeader xml:space="preserve">&amp;R&amp;"Times New Roman CE,Félkövér"&amp;12 
&amp;"-,Félkövér"15. melléklet a 14/2026. (IX.25.) önkormányzati rendelethez
"15. melléklet a 3/2026.(II.27.) önkormányzati rendelethez"
 &amp;"Times New Roman CE,Félkövér"
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Munka19"/>
  <dimension ref="A1:F36"/>
  <sheetViews>
    <sheetView zoomScale="87" zoomScaleNormal="87" workbookViewId="0">
      <selection activeCell="K15" sqref="K15"/>
    </sheetView>
  </sheetViews>
  <sheetFormatPr defaultColWidth="12" defaultRowHeight="21" x14ac:dyDescent="0.35"/>
  <cols>
    <col min="1" max="1" width="90" style="2" customWidth="1"/>
    <col min="2" max="2" width="41.1640625" style="2" customWidth="1"/>
    <col min="3" max="3" width="34" style="2" customWidth="1"/>
    <col min="4" max="4" width="44.33203125" style="2" customWidth="1"/>
    <col min="5" max="5" width="39.1640625" style="2" customWidth="1"/>
    <col min="6" max="6" width="42.5" style="2" customWidth="1"/>
    <col min="7" max="16384" width="12" style="2"/>
  </cols>
  <sheetData>
    <row r="1" spans="1:6" x14ac:dyDescent="0.35">
      <c r="A1" s="159"/>
      <c r="B1" s="159"/>
      <c r="C1" s="159"/>
      <c r="D1" s="159"/>
      <c r="E1" s="159"/>
      <c r="F1" s="159"/>
    </row>
    <row r="2" spans="1:6" x14ac:dyDescent="0.35">
      <c r="A2" s="973" t="s">
        <v>101</v>
      </c>
      <c r="B2" s="973"/>
      <c r="C2" s="973"/>
      <c r="D2" s="973"/>
      <c r="E2" s="973"/>
      <c r="F2" s="973"/>
    </row>
    <row r="3" spans="1:6" x14ac:dyDescent="0.35">
      <c r="A3" s="159"/>
      <c r="B3" s="159"/>
      <c r="C3" s="159"/>
      <c r="D3" s="159"/>
      <c r="E3" s="159"/>
      <c r="F3" s="159"/>
    </row>
    <row r="4" spans="1:6" ht="21.75" thickBot="1" x14ac:dyDescent="0.4">
      <c r="A4" s="279"/>
      <c r="B4" s="45"/>
      <c r="C4" s="45"/>
      <c r="D4" s="45"/>
      <c r="E4" s="45"/>
      <c r="F4" s="280" t="s">
        <v>201</v>
      </c>
    </row>
    <row r="5" spans="1:6" s="55" customFormat="1" x14ac:dyDescent="0.35">
      <c r="A5" s="444" t="s">
        <v>155</v>
      </c>
      <c r="B5" s="162" t="s">
        <v>417</v>
      </c>
      <c r="C5" s="162" t="s">
        <v>438</v>
      </c>
      <c r="D5" s="162" t="s">
        <v>662</v>
      </c>
      <c r="E5" s="162" t="s">
        <v>663</v>
      </c>
      <c r="F5" s="162" t="s">
        <v>697</v>
      </c>
    </row>
    <row r="6" spans="1:6" s="55" customFormat="1" ht="21.75" thickBot="1" x14ac:dyDescent="0.4">
      <c r="A6" s="445"/>
      <c r="B6" s="342" t="s">
        <v>665</v>
      </c>
      <c r="C6" s="342" t="s">
        <v>331</v>
      </c>
      <c r="D6" s="342" t="s">
        <v>344</v>
      </c>
      <c r="E6" s="342" t="s">
        <v>664</v>
      </c>
      <c r="F6" s="342" t="s">
        <v>344</v>
      </c>
    </row>
    <row r="7" spans="1:6" x14ac:dyDescent="0.35">
      <c r="A7" s="79" t="s">
        <v>75</v>
      </c>
      <c r="B7" s="593">
        <v>8720</v>
      </c>
      <c r="C7" s="144">
        <v>40000</v>
      </c>
      <c r="D7" s="144">
        <v>40313</v>
      </c>
      <c r="E7" s="79"/>
      <c r="F7" s="144">
        <f>SUM(D7:E7)</f>
        <v>40313</v>
      </c>
    </row>
    <row r="8" spans="1:6" x14ac:dyDescent="0.35">
      <c r="A8" s="446" t="s">
        <v>177</v>
      </c>
      <c r="B8" s="598">
        <v>26922</v>
      </c>
      <c r="C8" s="82">
        <v>15000</v>
      </c>
      <c r="D8" s="82">
        <v>15227</v>
      </c>
      <c r="E8" s="81"/>
      <c r="F8" s="144">
        <f t="shared" ref="F8:F27" si="0">SUM(D8:E8)</f>
        <v>15227</v>
      </c>
    </row>
    <row r="9" spans="1:6" x14ac:dyDescent="0.35">
      <c r="A9" s="446" t="s">
        <v>1</v>
      </c>
      <c r="B9" s="598"/>
      <c r="C9" s="82">
        <v>5000</v>
      </c>
      <c r="D9" s="82">
        <v>5000</v>
      </c>
      <c r="E9" s="81"/>
      <c r="F9" s="144">
        <f t="shared" si="0"/>
        <v>5000</v>
      </c>
    </row>
    <row r="10" spans="1:6" x14ac:dyDescent="0.35">
      <c r="A10" s="446" t="s">
        <v>327</v>
      </c>
      <c r="B10" s="598">
        <v>69451</v>
      </c>
      <c r="C10" s="82">
        <v>100000</v>
      </c>
      <c r="D10" s="82">
        <v>105596</v>
      </c>
      <c r="E10" s="81">
        <v>25000</v>
      </c>
      <c r="F10" s="144">
        <f t="shared" si="0"/>
        <v>130596</v>
      </c>
    </row>
    <row r="11" spans="1:6" x14ac:dyDescent="0.35">
      <c r="A11" s="446" t="s">
        <v>292</v>
      </c>
      <c r="B11" s="598">
        <v>12208</v>
      </c>
      <c r="C11" s="82">
        <v>20000</v>
      </c>
      <c r="D11" s="82">
        <v>20000</v>
      </c>
      <c r="E11" s="81"/>
      <c r="F11" s="144">
        <f t="shared" si="0"/>
        <v>20000</v>
      </c>
    </row>
    <row r="12" spans="1:6" x14ac:dyDescent="0.35">
      <c r="A12" s="447" t="s">
        <v>362</v>
      </c>
      <c r="B12" s="599">
        <v>10312</v>
      </c>
      <c r="C12" s="82">
        <v>6000</v>
      </c>
      <c r="D12" s="82">
        <v>10024</v>
      </c>
      <c r="E12" s="81"/>
      <c r="F12" s="144">
        <f t="shared" si="0"/>
        <v>10024</v>
      </c>
    </row>
    <row r="13" spans="1:6" x14ac:dyDescent="0.35">
      <c r="A13" s="448" t="s">
        <v>363</v>
      </c>
      <c r="B13" s="598"/>
      <c r="C13" s="82">
        <v>5000</v>
      </c>
      <c r="D13" s="82">
        <v>5000</v>
      </c>
      <c r="E13" s="81"/>
      <c r="F13" s="144">
        <f t="shared" si="0"/>
        <v>5000</v>
      </c>
    </row>
    <row r="14" spans="1:6" x14ac:dyDescent="0.35">
      <c r="A14" s="446" t="s">
        <v>43</v>
      </c>
      <c r="B14" s="598">
        <v>2178</v>
      </c>
      <c r="C14" s="82">
        <v>800</v>
      </c>
      <c r="D14" s="82">
        <v>2833</v>
      </c>
      <c r="E14" s="81"/>
      <c r="F14" s="144">
        <f t="shared" si="0"/>
        <v>2833</v>
      </c>
    </row>
    <row r="15" spans="1:6" x14ac:dyDescent="0.35">
      <c r="A15" s="446" t="s">
        <v>2</v>
      </c>
      <c r="B15" s="598">
        <v>7490</v>
      </c>
      <c r="C15" s="82">
        <v>6000</v>
      </c>
      <c r="D15" s="82">
        <v>6000</v>
      </c>
      <c r="E15" s="81"/>
      <c r="F15" s="144">
        <f t="shared" si="0"/>
        <v>6000</v>
      </c>
    </row>
    <row r="16" spans="1:6" x14ac:dyDescent="0.35">
      <c r="A16" s="446" t="s">
        <v>94</v>
      </c>
      <c r="B16" s="598">
        <v>6783</v>
      </c>
      <c r="C16" s="82">
        <v>0</v>
      </c>
      <c r="D16" s="82">
        <v>0</v>
      </c>
      <c r="E16" s="81"/>
      <c r="F16" s="144">
        <f t="shared" si="0"/>
        <v>0</v>
      </c>
    </row>
    <row r="17" spans="1:6" x14ac:dyDescent="0.35">
      <c r="A17" s="446" t="s">
        <v>178</v>
      </c>
      <c r="B17" s="598">
        <v>16300</v>
      </c>
      <c r="C17" s="82">
        <v>0</v>
      </c>
      <c r="D17" s="82">
        <v>2368</v>
      </c>
      <c r="E17" s="81">
        <v>75000</v>
      </c>
      <c r="F17" s="144">
        <f t="shared" si="0"/>
        <v>77368</v>
      </c>
    </row>
    <row r="18" spans="1:6" x14ac:dyDescent="0.35">
      <c r="A18" s="446" t="s">
        <v>456</v>
      </c>
      <c r="B18" s="598">
        <v>30327</v>
      </c>
      <c r="C18" s="82">
        <v>35000</v>
      </c>
      <c r="D18" s="82">
        <v>50709</v>
      </c>
      <c r="E18" s="81"/>
      <c r="F18" s="144">
        <f t="shared" si="0"/>
        <v>50709</v>
      </c>
    </row>
    <row r="19" spans="1:6" x14ac:dyDescent="0.35">
      <c r="A19" s="446" t="s">
        <v>86</v>
      </c>
      <c r="B19" s="598">
        <v>23612</v>
      </c>
      <c r="C19" s="82">
        <v>21000</v>
      </c>
      <c r="D19" s="82">
        <v>23388</v>
      </c>
      <c r="E19" s="81">
        <v>14000</v>
      </c>
      <c r="F19" s="144">
        <f t="shared" si="0"/>
        <v>37388</v>
      </c>
    </row>
    <row r="20" spans="1:6" ht="42" x14ac:dyDescent="0.35">
      <c r="A20" s="449" t="s">
        <v>383</v>
      </c>
      <c r="B20" s="600">
        <v>6185</v>
      </c>
      <c r="C20" s="82">
        <v>6000</v>
      </c>
      <c r="D20" s="82">
        <v>8374</v>
      </c>
      <c r="E20" s="81">
        <v>6000</v>
      </c>
      <c r="F20" s="144">
        <f t="shared" si="0"/>
        <v>14374</v>
      </c>
    </row>
    <row r="21" spans="1:6" x14ac:dyDescent="0.35">
      <c r="A21" s="446" t="s">
        <v>457</v>
      </c>
      <c r="B21" s="598">
        <v>6575</v>
      </c>
      <c r="C21" s="82">
        <f>4000+12700+5000</f>
        <v>21700</v>
      </c>
      <c r="D21" s="82">
        <v>27694</v>
      </c>
      <c r="E21" s="81">
        <v>736</v>
      </c>
      <c r="F21" s="144">
        <f t="shared" si="0"/>
        <v>28430</v>
      </c>
    </row>
    <row r="22" spans="1:6" ht="42" x14ac:dyDescent="0.35">
      <c r="A22" s="448" t="s">
        <v>293</v>
      </c>
      <c r="B22" s="598"/>
      <c r="C22" s="82">
        <v>3000</v>
      </c>
      <c r="D22" s="82">
        <v>3000</v>
      </c>
      <c r="E22" s="81"/>
      <c r="F22" s="144">
        <f t="shared" si="0"/>
        <v>3000</v>
      </c>
    </row>
    <row r="23" spans="1:6" x14ac:dyDescent="0.35">
      <c r="A23" s="343" t="s">
        <v>647</v>
      </c>
      <c r="B23" s="598">
        <v>27306</v>
      </c>
      <c r="C23" s="82">
        <v>0</v>
      </c>
      <c r="D23" s="82">
        <v>31969</v>
      </c>
      <c r="E23" s="81"/>
      <c r="F23" s="144">
        <f t="shared" si="0"/>
        <v>31969</v>
      </c>
    </row>
    <row r="24" spans="1:6" x14ac:dyDescent="0.35">
      <c r="A24" s="446" t="s">
        <v>215</v>
      </c>
      <c r="B24" s="598"/>
      <c r="C24" s="82">
        <v>1500</v>
      </c>
      <c r="D24" s="82">
        <v>1500</v>
      </c>
      <c r="E24" s="81"/>
      <c r="F24" s="144">
        <f t="shared" si="0"/>
        <v>1500</v>
      </c>
    </row>
    <row r="25" spans="1:6" x14ac:dyDescent="0.35">
      <c r="A25" s="449" t="s">
        <v>428</v>
      </c>
      <c r="B25" s="600">
        <v>5169</v>
      </c>
      <c r="C25" s="82">
        <v>10000</v>
      </c>
      <c r="D25" s="82">
        <v>20100</v>
      </c>
      <c r="E25" s="81"/>
      <c r="F25" s="144">
        <f t="shared" si="0"/>
        <v>20100</v>
      </c>
    </row>
    <row r="26" spans="1:6" x14ac:dyDescent="0.35">
      <c r="A26" s="449" t="s">
        <v>600</v>
      </c>
      <c r="B26" s="600"/>
      <c r="C26" s="82"/>
      <c r="D26" s="82">
        <v>15875</v>
      </c>
      <c r="E26" s="81"/>
      <c r="F26" s="144">
        <f t="shared" si="0"/>
        <v>15875</v>
      </c>
    </row>
    <row r="27" spans="1:6" ht="21.75" thickBot="1" x14ac:dyDescent="0.4">
      <c r="A27" s="450" t="s">
        <v>553</v>
      </c>
      <c r="B27" s="601">
        <v>94267</v>
      </c>
      <c r="C27" s="84">
        <f>79000+21000+60000-60000</f>
        <v>100000</v>
      </c>
      <c r="D27" s="84">
        <v>319850</v>
      </c>
      <c r="E27" s="83">
        <f>-120000+300000</f>
        <v>180000</v>
      </c>
      <c r="F27" s="144">
        <f t="shared" si="0"/>
        <v>499850</v>
      </c>
    </row>
    <row r="28" spans="1:6" ht="21.75" thickBot="1" x14ac:dyDescent="0.4">
      <c r="A28" s="443" t="s">
        <v>289</v>
      </c>
      <c r="B28" s="11">
        <f>SUM(B7:B27)</f>
        <v>353805</v>
      </c>
      <c r="C28" s="15">
        <f>SUM(C7:C27)</f>
        <v>396000</v>
      </c>
      <c r="D28" s="15">
        <f t="shared" ref="D28:E28" si="1">SUM(D7:D27)</f>
        <v>714820</v>
      </c>
      <c r="E28" s="15">
        <f t="shared" si="1"/>
        <v>300736</v>
      </c>
      <c r="F28" s="15">
        <f>SUM(F7:F27)</f>
        <v>1015556</v>
      </c>
    </row>
    <row r="31" spans="1:6" x14ac:dyDescent="0.35">
      <c r="A31" s="45" t="s">
        <v>72</v>
      </c>
      <c r="B31" s="45"/>
      <c r="C31" s="45"/>
      <c r="D31" s="45"/>
      <c r="E31" s="45"/>
      <c r="F31" s="451"/>
    </row>
    <row r="32" spans="1:6" x14ac:dyDescent="0.35">
      <c r="A32" s="45" t="s">
        <v>73</v>
      </c>
      <c r="B32" s="45"/>
      <c r="C32" s="45"/>
      <c r="D32" s="45"/>
      <c r="E32" s="45"/>
      <c r="F32" s="45"/>
    </row>
    <row r="36" spans="3:4" x14ac:dyDescent="0.35">
      <c r="C36" s="150"/>
      <c r="D36" s="150"/>
    </row>
  </sheetData>
  <customSheetViews>
    <customSheetView guid="{6D4B996F-8915-4E78-98C2-E7EAE9C4580C}" scale="75" showRuler="0">
      <selection activeCell="H24" sqref="H24"/>
      <pageMargins left="0.19685039370078741" right="0.19685039370078741" top="0.19685039370078741" bottom="0.19685039370078741" header="0.11811023622047245" footer="0.11811023622047245"/>
      <printOptions horizontalCentered="1" verticalCentered="1"/>
      <pageSetup paperSize="9" scale="78" orientation="portrait" horizontalDpi="300" verticalDpi="300" r:id="rId1"/>
      <headerFooter alignWithMargins="0">
        <oddHeader>&amp;L&amp;F   &amp;A&amp;R&amp;"Times New Roman CE,Félkövér"&amp;16 M.III.12.sz.melléklet</oddHeader>
        <oddFooter xml:space="preserve">&amp;C </oddFooter>
      </headerFooter>
    </customSheetView>
    <customSheetView guid="{186732C5-520C-4E06-B066-B4F3F0A3E322}" scale="75" showRuler="0">
      <selection activeCell="H24" sqref="H24"/>
      <pageMargins left="0.19685039370078741" right="0.19685039370078741" top="0.19685039370078741" bottom="0.19685039370078741" header="0.11811023622047245" footer="0.11811023622047245"/>
      <printOptions horizontalCentered="1" verticalCentered="1"/>
      <pageSetup paperSize="9" scale="78" orientation="portrait" horizontalDpi="300" verticalDpi="300" r:id="rId2"/>
      <headerFooter alignWithMargins="0">
        <oddHeader>&amp;L&amp;F   &amp;A&amp;R&amp;"Times New Roman CE,Félkövér"&amp;16 M.III.12.sz.melléklet</oddHeader>
        <oddFooter xml:space="preserve">&amp;C </oddFooter>
      </headerFooter>
    </customSheetView>
  </customSheetViews>
  <mergeCells count="1">
    <mergeCell ref="A2:F2"/>
  </mergeCells>
  <phoneticPr fontId="0" type="noConversion"/>
  <printOptions horizontalCentered="1" verticalCentered="1"/>
  <pageMargins left="0.59055118110236227" right="0.59055118110236227" top="0" bottom="0" header="0.51181102362204722" footer="0.51181102362204722"/>
  <pageSetup paperSize="9" scale="41" orientation="portrait" r:id="rId3"/>
  <headerFooter alignWithMargins="0">
    <oddHeader xml:space="preserve">&amp;R&amp;"-,Félkövér"&amp;12 16. melléklet a 14/2026. (IX.25.) önkormányzati rendelethez
"16. melléklet a 3/2026.(II.27.) önkormányzati rendelethez"
 &amp;"Times New Roman CE,Félkövér"
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Munka32"/>
  <dimension ref="A1:G60"/>
  <sheetViews>
    <sheetView zoomScale="89" zoomScaleNormal="89" workbookViewId="0">
      <selection activeCell="K15" sqref="K15"/>
    </sheetView>
  </sheetViews>
  <sheetFormatPr defaultColWidth="10.6640625" defaultRowHeight="21" x14ac:dyDescent="0.35"/>
  <cols>
    <col min="1" max="1" width="6" style="133" customWidth="1"/>
    <col min="2" max="2" width="138.1640625" style="13" customWidth="1"/>
    <col min="3" max="3" width="53.5" style="13" customWidth="1"/>
    <col min="4" max="4" width="37.83203125" style="133" customWidth="1"/>
    <col min="5" max="5" width="41.5" style="133" customWidth="1"/>
    <col min="6" max="6" width="39.1640625" style="133" customWidth="1"/>
    <col min="7" max="7" width="44.33203125" style="474" customWidth="1"/>
    <col min="8" max="16384" width="10.6640625" style="133"/>
  </cols>
  <sheetData>
    <row r="1" spans="1:7" x14ac:dyDescent="0.35">
      <c r="A1" s="1026" t="s">
        <v>132</v>
      </c>
      <c r="B1" s="1026"/>
      <c r="C1" s="1026"/>
      <c r="D1" s="1026"/>
      <c r="E1" s="1026"/>
      <c r="F1" s="1026"/>
      <c r="G1" s="1026"/>
    </row>
    <row r="2" spans="1:7" ht="21.75" thickBot="1" x14ac:dyDescent="0.4">
      <c r="B2" s="463"/>
      <c r="C2" s="463"/>
      <c r="D2" s="452"/>
      <c r="E2" s="452"/>
      <c r="F2" s="452"/>
      <c r="G2" s="280" t="s">
        <v>201</v>
      </c>
    </row>
    <row r="3" spans="1:7" ht="24" customHeight="1" x14ac:dyDescent="0.35">
      <c r="A3" s="453"/>
      <c r="B3" s="161" t="s">
        <v>155</v>
      </c>
      <c r="C3" s="162" t="s">
        <v>417</v>
      </c>
      <c r="D3" s="162" t="s">
        <v>438</v>
      </c>
      <c r="E3" s="162" t="s">
        <v>662</v>
      </c>
      <c r="F3" s="162" t="s">
        <v>663</v>
      </c>
      <c r="G3" s="162" t="s">
        <v>697</v>
      </c>
    </row>
    <row r="4" spans="1:7" ht="21.75" thickBot="1" x14ac:dyDescent="0.4">
      <c r="A4" s="454"/>
      <c r="B4" s="464"/>
      <c r="C4" s="342" t="s">
        <v>665</v>
      </c>
      <c r="D4" s="342" t="s">
        <v>331</v>
      </c>
      <c r="E4" s="342" t="s">
        <v>344</v>
      </c>
      <c r="F4" s="342" t="s">
        <v>664</v>
      </c>
      <c r="G4" s="342" t="s">
        <v>344</v>
      </c>
    </row>
    <row r="5" spans="1:7" x14ac:dyDescent="0.35">
      <c r="A5" s="455" t="s">
        <v>59</v>
      </c>
      <c r="B5" s="465"/>
      <c r="C5" s="602"/>
      <c r="D5" s="544"/>
      <c r="E5" s="544"/>
      <c r="F5" s="544"/>
      <c r="G5" s="544"/>
    </row>
    <row r="6" spans="1:7" x14ac:dyDescent="0.35">
      <c r="A6" s="153"/>
      <c r="B6" s="466" t="s">
        <v>601</v>
      </c>
      <c r="C6" s="603"/>
      <c r="D6" s="85"/>
      <c r="E6" s="85">
        <v>225150</v>
      </c>
      <c r="F6" s="85"/>
      <c r="G6" s="85">
        <f>SUM(E6:F6)</f>
        <v>225150</v>
      </c>
    </row>
    <row r="7" spans="1:7" x14ac:dyDescent="0.35">
      <c r="A7" s="153"/>
      <c r="B7" s="467" t="s">
        <v>602</v>
      </c>
      <c r="C7" s="603"/>
      <c r="D7" s="85"/>
      <c r="E7" s="85">
        <v>194800</v>
      </c>
      <c r="F7" s="85"/>
      <c r="G7" s="85">
        <f t="shared" ref="G7:G26" si="0">SUM(E7:F7)</f>
        <v>194800</v>
      </c>
    </row>
    <row r="8" spans="1:7" x14ac:dyDescent="0.35">
      <c r="A8" s="153"/>
      <c r="B8" s="467" t="s">
        <v>603</v>
      </c>
      <c r="C8" s="603"/>
      <c r="D8" s="85"/>
      <c r="E8" s="85">
        <v>358920</v>
      </c>
      <c r="F8" s="85"/>
      <c r="G8" s="85">
        <f t="shared" si="0"/>
        <v>358920</v>
      </c>
    </row>
    <row r="9" spans="1:7" x14ac:dyDescent="0.35">
      <c r="A9" s="153"/>
      <c r="B9" s="467" t="s">
        <v>604</v>
      </c>
      <c r="C9" s="603"/>
      <c r="D9" s="85"/>
      <c r="E9" s="85">
        <v>109473</v>
      </c>
      <c r="F9" s="85"/>
      <c r="G9" s="85">
        <f t="shared" si="0"/>
        <v>109473</v>
      </c>
    </row>
    <row r="10" spans="1:7" x14ac:dyDescent="0.35">
      <c r="A10" s="153"/>
      <c r="B10" s="467" t="s">
        <v>605</v>
      </c>
      <c r="C10" s="603"/>
      <c r="D10" s="85"/>
      <c r="E10" s="85">
        <v>647071</v>
      </c>
      <c r="F10" s="85"/>
      <c r="G10" s="85">
        <f t="shared" si="0"/>
        <v>647071</v>
      </c>
    </row>
    <row r="11" spans="1:7" x14ac:dyDescent="0.35">
      <c r="A11" s="153"/>
      <c r="B11" s="467" t="s">
        <v>606</v>
      </c>
      <c r="C11" s="603"/>
      <c r="D11" s="85"/>
      <c r="E11" s="85">
        <v>544045</v>
      </c>
      <c r="F11" s="85"/>
      <c r="G11" s="85">
        <f t="shared" si="0"/>
        <v>544045</v>
      </c>
    </row>
    <row r="12" spans="1:7" x14ac:dyDescent="0.35">
      <c r="A12" s="153"/>
      <c r="B12" s="467" t="s">
        <v>607</v>
      </c>
      <c r="C12" s="603"/>
      <c r="D12" s="85"/>
      <c r="E12" s="85">
        <v>194065</v>
      </c>
      <c r="F12" s="85"/>
      <c r="G12" s="85">
        <f t="shared" si="0"/>
        <v>194065</v>
      </c>
    </row>
    <row r="13" spans="1:7" ht="36" customHeight="1" x14ac:dyDescent="0.35">
      <c r="A13" s="153"/>
      <c r="B13" s="538" t="s">
        <v>608</v>
      </c>
      <c r="C13" s="604"/>
      <c r="D13" s="85"/>
      <c r="E13" s="85">
        <v>393968</v>
      </c>
      <c r="F13" s="85"/>
      <c r="G13" s="85">
        <f t="shared" si="0"/>
        <v>393968</v>
      </c>
    </row>
    <row r="14" spans="1:7" x14ac:dyDescent="0.35">
      <c r="A14" s="153"/>
      <c r="B14" s="467" t="s">
        <v>609</v>
      </c>
      <c r="C14" s="603"/>
      <c r="D14" s="85"/>
      <c r="E14" s="85">
        <v>44024</v>
      </c>
      <c r="F14" s="85"/>
      <c r="G14" s="85">
        <f t="shared" si="0"/>
        <v>44024</v>
      </c>
    </row>
    <row r="15" spans="1:7" x14ac:dyDescent="0.35">
      <c r="A15" s="153"/>
      <c r="B15" s="467" t="s">
        <v>610</v>
      </c>
      <c r="C15" s="603"/>
      <c r="D15" s="85"/>
      <c r="E15" s="85">
        <v>423301</v>
      </c>
      <c r="F15" s="85"/>
      <c r="G15" s="85">
        <f t="shared" si="0"/>
        <v>423301</v>
      </c>
    </row>
    <row r="16" spans="1:7" x14ac:dyDescent="0.35">
      <c r="A16" s="153"/>
      <c r="B16" s="467" t="s">
        <v>611</v>
      </c>
      <c r="C16" s="603">
        <v>4515</v>
      </c>
      <c r="D16" s="85"/>
      <c r="E16" s="85">
        <v>0</v>
      </c>
      <c r="F16" s="85"/>
      <c r="G16" s="85">
        <f t="shared" si="0"/>
        <v>0</v>
      </c>
    </row>
    <row r="17" spans="1:7" x14ac:dyDescent="0.35">
      <c r="A17" s="153"/>
      <c r="B17" s="467" t="s">
        <v>612</v>
      </c>
      <c r="C17" s="603"/>
      <c r="D17" s="85"/>
      <c r="E17" s="85">
        <v>589110</v>
      </c>
      <c r="F17" s="85"/>
      <c r="G17" s="85">
        <f t="shared" si="0"/>
        <v>589110</v>
      </c>
    </row>
    <row r="18" spans="1:7" x14ac:dyDescent="0.35">
      <c r="A18" s="153"/>
      <c r="B18" s="467" t="s">
        <v>613</v>
      </c>
      <c r="C18" s="603"/>
      <c r="D18" s="85"/>
      <c r="E18" s="85">
        <v>449186</v>
      </c>
      <c r="F18" s="85"/>
      <c r="G18" s="85">
        <f t="shared" si="0"/>
        <v>449186</v>
      </c>
    </row>
    <row r="19" spans="1:7" x14ac:dyDescent="0.35">
      <c r="A19" s="153"/>
      <c r="B19" s="467" t="s">
        <v>614</v>
      </c>
      <c r="C19" s="603"/>
      <c r="D19" s="85"/>
      <c r="E19" s="85">
        <v>460184</v>
      </c>
      <c r="F19" s="85"/>
      <c r="G19" s="85">
        <f t="shared" si="0"/>
        <v>460184</v>
      </c>
    </row>
    <row r="20" spans="1:7" x14ac:dyDescent="0.35">
      <c r="A20" s="153"/>
      <c r="B20" s="467" t="s">
        <v>615</v>
      </c>
      <c r="C20" s="603">
        <v>4198</v>
      </c>
      <c r="D20" s="85"/>
      <c r="E20" s="85">
        <v>0</v>
      </c>
      <c r="F20" s="85"/>
      <c r="G20" s="85">
        <f t="shared" si="0"/>
        <v>0</v>
      </c>
    </row>
    <row r="21" spans="1:7" x14ac:dyDescent="0.35">
      <c r="A21" s="153"/>
      <c r="B21" s="467" t="s">
        <v>616</v>
      </c>
      <c r="C21" s="603">
        <v>3429</v>
      </c>
      <c r="D21" s="85"/>
      <c r="E21" s="85">
        <v>5080</v>
      </c>
      <c r="F21" s="85"/>
      <c r="G21" s="85">
        <f t="shared" si="0"/>
        <v>5080</v>
      </c>
    </row>
    <row r="22" spans="1:7" x14ac:dyDescent="0.35">
      <c r="A22" s="153"/>
      <c r="B22" s="467" t="s">
        <v>617</v>
      </c>
      <c r="C22" s="603">
        <v>3222</v>
      </c>
      <c r="D22" s="85"/>
      <c r="E22" s="85">
        <v>1651</v>
      </c>
      <c r="F22" s="85"/>
      <c r="G22" s="85">
        <f t="shared" si="0"/>
        <v>1651</v>
      </c>
    </row>
    <row r="23" spans="1:7" x14ac:dyDescent="0.35">
      <c r="A23" s="153"/>
      <c r="B23" s="467" t="s">
        <v>618</v>
      </c>
      <c r="C23" s="603"/>
      <c r="D23" s="85"/>
      <c r="E23" s="85">
        <v>474062</v>
      </c>
      <c r="F23" s="85"/>
      <c r="G23" s="85">
        <f t="shared" si="0"/>
        <v>474062</v>
      </c>
    </row>
    <row r="24" spans="1:7" x14ac:dyDescent="0.35">
      <c r="A24" s="153"/>
      <c r="B24" s="467" t="s">
        <v>619</v>
      </c>
      <c r="C24" s="603"/>
      <c r="D24" s="85"/>
      <c r="E24" s="85">
        <v>662601</v>
      </c>
      <c r="F24" s="85"/>
      <c r="G24" s="85">
        <f t="shared" si="0"/>
        <v>662601</v>
      </c>
    </row>
    <row r="25" spans="1:7" x14ac:dyDescent="0.35">
      <c r="A25" s="153"/>
      <c r="B25" s="467" t="s">
        <v>620</v>
      </c>
      <c r="C25" s="603"/>
      <c r="D25" s="85"/>
      <c r="E25" s="85">
        <v>1666437</v>
      </c>
      <c r="F25" s="85"/>
      <c r="G25" s="85">
        <f t="shared" si="0"/>
        <v>1666437</v>
      </c>
    </row>
    <row r="26" spans="1:7" ht="21.75" customHeight="1" thickBot="1" x14ac:dyDescent="0.4">
      <c r="A26" s="153"/>
      <c r="B26" s="467" t="s">
        <v>621</v>
      </c>
      <c r="C26" s="603"/>
      <c r="D26" s="85"/>
      <c r="E26" s="85">
        <v>514871</v>
      </c>
      <c r="F26" s="86"/>
      <c r="G26" s="85">
        <f t="shared" si="0"/>
        <v>514871</v>
      </c>
    </row>
    <row r="27" spans="1:7" ht="21.75" thickBot="1" x14ac:dyDescent="0.4">
      <c r="A27" s="1027" t="s">
        <v>63</v>
      </c>
      <c r="B27" s="1028"/>
      <c r="C27" s="605">
        <f>SUM(C5:C26)</f>
        <v>15364</v>
      </c>
      <c r="D27" s="87">
        <f>SUM(D5:D26)</f>
        <v>0</v>
      </c>
      <c r="E27" s="87">
        <f t="shared" ref="E27:G27" si="1">SUM(E5:E26)</f>
        <v>7957999</v>
      </c>
      <c r="F27" s="87">
        <f t="shared" si="1"/>
        <v>0</v>
      </c>
      <c r="G27" s="87">
        <f t="shared" si="1"/>
        <v>7957999</v>
      </c>
    </row>
    <row r="28" spans="1:7" x14ac:dyDescent="0.35">
      <c r="A28" s="455" t="s">
        <v>57</v>
      </c>
      <c r="B28" s="465"/>
      <c r="C28" s="602"/>
      <c r="D28" s="141"/>
      <c r="E28" s="141"/>
      <c r="F28" s="141"/>
      <c r="G28" s="544"/>
    </row>
    <row r="29" spans="1:7" x14ac:dyDescent="0.35">
      <c r="A29" s="154"/>
      <c r="B29" s="140" t="s">
        <v>127</v>
      </c>
      <c r="C29" s="603">
        <v>793559</v>
      </c>
      <c r="D29" s="85">
        <v>500000</v>
      </c>
      <c r="E29" s="85">
        <v>500000</v>
      </c>
      <c r="F29" s="85">
        <v>300000</v>
      </c>
      <c r="G29" s="85">
        <f>SUM(E29:F29)</f>
        <v>800000</v>
      </c>
    </row>
    <row r="30" spans="1:7" x14ac:dyDescent="0.35">
      <c r="A30" s="154"/>
      <c r="B30" s="140" t="s">
        <v>461</v>
      </c>
      <c r="C30" s="603">
        <v>4330</v>
      </c>
      <c r="D30" s="85"/>
      <c r="E30" s="85">
        <v>0</v>
      </c>
      <c r="F30" s="86"/>
      <c r="G30" s="85">
        <f t="shared" ref="G30:G33" si="2">SUM(E30:F30)</f>
        <v>0</v>
      </c>
    </row>
    <row r="31" spans="1:7" x14ac:dyDescent="0.35">
      <c r="A31" s="154"/>
      <c r="B31" s="140" t="s">
        <v>622</v>
      </c>
      <c r="C31" s="603">
        <v>990</v>
      </c>
      <c r="D31" s="85"/>
      <c r="E31" s="85">
        <v>0</v>
      </c>
      <c r="F31" s="86"/>
      <c r="G31" s="85">
        <f t="shared" si="2"/>
        <v>0</v>
      </c>
    </row>
    <row r="32" spans="1:7" x14ac:dyDescent="0.35">
      <c r="A32" s="154"/>
      <c r="B32" s="140" t="s">
        <v>623</v>
      </c>
      <c r="C32" s="603">
        <v>79270</v>
      </c>
      <c r="D32" s="85"/>
      <c r="E32" s="85">
        <v>0</v>
      </c>
      <c r="F32" s="86"/>
      <c r="G32" s="85">
        <f t="shared" si="2"/>
        <v>0</v>
      </c>
    </row>
    <row r="33" spans="1:7" ht="21.75" thickBot="1" x14ac:dyDescent="0.4">
      <c r="A33" s="154"/>
      <c r="B33" s="140" t="s">
        <v>452</v>
      </c>
      <c r="C33" s="603">
        <v>24100</v>
      </c>
      <c r="D33" s="86"/>
      <c r="E33" s="86">
        <v>2100</v>
      </c>
      <c r="F33" s="86"/>
      <c r="G33" s="85">
        <f t="shared" si="2"/>
        <v>2100</v>
      </c>
    </row>
    <row r="34" spans="1:7" ht="21.75" thickBot="1" x14ac:dyDescent="0.4">
      <c r="A34" s="456" t="s">
        <v>58</v>
      </c>
      <c r="B34" s="468"/>
      <c r="C34" s="11">
        <f>SUM(C29:C33)</f>
        <v>902249</v>
      </c>
      <c r="D34" s="11">
        <f>SUM(D29:D33)</f>
        <v>500000</v>
      </c>
      <c r="E34" s="11">
        <f t="shared" ref="E34:F34" si="3">SUM(E29:E33)</f>
        <v>502100</v>
      </c>
      <c r="F34" s="11">
        <f t="shared" si="3"/>
        <v>300000</v>
      </c>
      <c r="G34" s="11">
        <f>SUM(G29:G33)</f>
        <v>802100</v>
      </c>
    </row>
    <row r="35" spans="1:7" ht="16.5" customHeight="1" x14ac:dyDescent="0.35">
      <c r="A35" s="457" t="s">
        <v>64</v>
      </c>
      <c r="B35" s="469"/>
      <c r="C35" s="606"/>
      <c r="D35" s="458"/>
      <c r="E35" s="458"/>
      <c r="F35" s="458"/>
      <c r="G35" s="544"/>
    </row>
    <row r="36" spans="1:7" ht="44.25" customHeight="1" x14ac:dyDescent="0.35">
      <c r="A36" s="166"/>
      <c r="B36" s="470" t="s">
        <v>29</v>
      </c>
      <c r="C36" s="607"/>
      <c r="D36" s="459"/>
      <c r="E36" s="459"/>
      <c r="F36" s="459"/>
      <c r="G36" s="549"/>
    </row>
    <row r="37" spans="1:7" x14ac:dyDescent="0.35">
      <c r="A37" s="154"/>
      <c r="B37" s="466" t="s">
        <v>129</v>
      </c>
      <c r="C37" s="548">
        <v>8665</v>
      </c>
      <c r="D37" s="85">
        <v>7000</v>
      </c>
      <c r="E37" s="85">
        <v>7000</v>
      </c>
      <c r="F37" s="85"/>
      <c r="G37" s="548">
        <f>SUM(E37:F37)</f>
        <v>7000</v>
      </c>
    </row>
    <row r="38" spans="1:7" x14ac:dyDescent="0.35">
      <c r="A38" s="154"/>
      <c r="B38" s="467" t="s">
        <v>112</v>
      </c>
      <c r="C38" s="548">
        <v>2935</v>
      </c>
      <c r="D38" s="85"/>
      <c r="E38" s="85">
        <v>0</v>
      </c>
      <c r="F38" s="85"/>
      <c r="G38" s="548">
        <f t="shared" ref="G38:G43" si="4">SUM(E38:F38)</f>
        <v>0</v>
      </c>
    </row>
    <row r="39" spans="1:7" x14ac:dyDescent="0.35">
      <c r="A39" s="166"/>
      <c r="B39" s="471" t="s">
        <v>30</v>
      </c>
      <c r="C39" s="608"/>
      <c r="D39" s="88"/>
      <c r="E39" s="88"/>
      <c r="F39" s="460"/>
      <c r="G39" s="548">
        <f t="shared" si="4"/>
        <v>0</v>
      </c>
    </row>
    <row r="40" spans="1:7" x14ac:dyDescent="0.35">
      <c r="A40" s="166"/>
      <c r="B40" s="317" t="s">
        <v>692</v>
      </c>
      <c r="C40" s="548"/>
      <c r="D40" s="85"/>
      <c r="E40" s="85">
        <v>100000</v>
      </c>
      <c r="F40" s="548"/>
      <c r="G40" s="548">
        <f t="shared" si="4"/>
        <v>100000</v>
      </c>
    </row>
    <row r="41" spans="1:7" ht="48.75" customHeight="1" x14ac:dyDescent="0.35">
      <c r="A41" s="166"/>
      <c r="B41" s="472" t="s">
        <v>624</v>
      </c>
      <c r="C41" s="609">
        <v>38449</v>
      </c>
      <c r="D41" s="99"/>
      <c r="E41" s="99">
        <v>0</v>
      </c>
      <c r="F41" s="85"/>
      <c r="G41" s="548">
        <f t="shared" si="4"/>
        <v>0</v>
      </c>
    </row>
    <row r="42" spans="1:7" x14ac:dyDescent="0.35">
      <c r="A42" s="166"/>
      <c r="B42" s="466" t="s">
        <v>625</v>
      </c>
      <c r="C42" s="90">
        <v>800</v>
      </c>
      <c r="D42" s="86"/>
      <c r="E42" s="85">
        <v>0</v>
      </c>
      <c r="F42" s="85"/>
      <c r="G42" s="548">
        <f t="shared" si="4"/>
        <v>0</v>
      </c>
    </row>
    <row r="43" spans="1:7" x14ac:dyDescent="0.35">
      <c r="A43" s="154"/>
      <c r="B43" s="466" t="s">
        <v>408</v>
      </c>
      <c r="C43" s="548">
        <v>80108</v>
      </c>
      <c r="D43" s="85"/>
      <c r="E43" s="85">
        <v>12131</v>
      </c>
      <c r="F43" s="85">
        <v>15621</v>
      </c>
      <c r="G43" s="548">
        <f t="shared" si="4"/>
        <v>27752</v>
      </c>
    </row>
    <row r="44" spans="1:7" x14ac:dyDescent="0.35">
      <c r="A44" s="1022" t="s">
        <v>65</v>
      </c>
      <c r="B44" s="1023"/>
      <c r="C44" s="91">
        <f>SUM(C35:C43)</f>
        <v>130957</v>
      </c>
      <c r="D44" s="91">
        <f t="shared" ref="D44:G44" si="5">SUM(D35:D43)</f>
        <v>7000</v>
      </c>
      <c r="E44" s="91">
        <f t="shared" si="5"/>
        <v>119131</v>
      </c>
      <c r="F44" s="91">
        <f t="shared" si="5"/>
        <v>15621</v>
      </c>
      <c r="G44" s="91">
        <f t="shared" si="5"/>
        <v>134752</v>
      </c>
    </row>
    <row r="45" spans="1:7" x14ac:dyDescent="0.35">
      <c r="A45" s="285" t="s">
        <v>102</v>
      </c>
      <c r="B45" s="628"/>
      <c r="C45" s="610"/>
      <c r="D45" s="462"/>
      <c r="E45" s="462"/>
      <c r="F45" s="462"/>
      <c r="G45" s="550"/>
    </row>
    <row r="46" spans="1:7" x14ac:dyDescent="0.35">
      <c r="A46" s="166"/>
      <c r="B46" s="331" t="s">
        <v>179</v>
      </c>
      <c r="C46" s="627">
        <v>774</v>
      </c>
      <c r="D46" s="548"/>
      <c r="E46" s="548">
        <v>0</v>
      </c>
      <c r="F46" s="548"/>
      <c r="G46" s="548">
        <f>SUM(E46:F46)</f>
        <v>0</v>
      </c>
    </row>
    <row r="47" spans="1:7" x14ac:dyDescent="0.35">
      <c r="A47" s="166"/>
      <c r="B47" s="338" t="s">
        <v>666</v>
      </c>
      <c r="C47" s="611">
        <v>35</v>
      </c>
      <c r="D47" s="90"/>
      <c r="E47" s="90">
        <v>0</v>
      </c>
      <c r="F47" s="90"/>
      <c r="G47" s="548">
        <f t="shared" ref="G47:G57" si="6">SUM(E47:F47)</f>
        <v>0</v>
      </c>
    </row>
    <row r="48" spans="1:7" x14ac:dyDescent="0.35">
      <c r="A48" s="166"/>
      <c r="B48" s="338" t="s">
        <v>96</v>
      </c>
      <c r="C48" s="611"/>
      <c r="D48" s="90"/>
      <c r="E48" s="90">
        <v>0</v>
      </c>
      <c r="F48" s="90"/>
      <c r="G48" s="548">
        <f t="shared" si="6"/>
        <v>0</v>
      </c>
    </row>
    <row r="49" spans="1:7" x14ac:dyDescent="0.35">
      <c r="A49" s="166"/>
      <c r="B49" s="338" t="s">
        <v>585</v>
      </c>
      <c r="C49" s="611">
        <v>31679</v>
      </c>
      <c r="D49" s="90"/>
      <c r="E49" s="90">
        <v>12000</v>
      </c>
      <c r="F49" s="90"/>
      <c r="G49" s="548">
        <f t="shared" si="6"/>
        <v>12000</v>
      </c>
    </row>
    <row r="50" spans="1:7" x14ac:dyDescent="0.35">
      <c r="A50" s="166"/>
      <c r="B50" s="338" t="s">
        <v>329</v>
      </c>
      <c r="C50" s="611"/>
      <c r="D50" s="90"/>
      <c r="E50" s="90">
        <v>0</v>
      </c>
      <c r="F50" s="90"/>
      <c r="G50" s="548">
        <f t="shared" si="6"/>
        <v>0</v>
      </c>
    </row>
    <row r="51" spans="1:7" x14ac:dyDescent="0.35">
      <c r="A51" s="166"/>
      <c r="B51" s="338" t="s">
        <v>108</v>
      </c>
      <c r="C51" s="611">
        <v>5800</v>
      </c>
      <c r="D51" s="90"/>
      <c r="E51" s="90">
        <v>600</v>
      </c>
      <c r="F51" s="90"/>
      <c r="G51" s="548">
        <f t="shared" si="6"/>
        <v>600</v>
      </c>
    </row>
    <row r="52" spans="1:7" x14ac:dyDescent="0.35">
      <c r="A52" s="166"/>
      <c r="B52" s="338" t="s">
        <v>71</v>
      </c>
      <c r="C52" s="611"/>
      <c r="D52" s="90"/>
      <c r="E52" s="90">
        <v>0</v>
      </c>
      <c r="F52" s="90"/>
      <c r="G52" s="548">
        <f t="shared" si="6"/>
        <v>0</v>
      </c>
    </row>
    <row r="53" spans="1:7" x14ac:dyDescent="0.35">
      <c r="A53" s="166"/>
      <c r="B53" s="338" t="s">
        <v>188</v>
      </c>
      <c r="C53" s="611">
        <v>6009</v>
      </c>
      <c r="D53" s="90"/>
      <c r="E53" s="90">
        <v>0</v>
      </c>
      <c r="F53" s="90"/>
      <c r="G53" s="548">
        <f t="shared" si="6"/>
        <v>0</v>
      </c>
    </row>
    <row r="54" spans="1:7" x14ac:dyDescent="0.35">
      <c r="A54" s="166"/>
      <c r="B54" s="338" t="s">
        <v>13</v>
      </c>
      <c r="C54" s="611">
        <v>121</v>
      </c>
      <c r="D54" s="90"/>
      <c r="E54" s="90">
        <v>0</v>
      </c>
      <c r="F54" s="90"/>
      <c r="G54" s="548">
        <f t="shared" si="6"/>
        <v>0</v>
      </c>
    </row>
    <row r="55" spans="1:7" x14ac:dyDescent="0.35">
      <c r="A55" s="166"/>
      <c r="B55" s="338" t="s">
        <v>471</v>
      </c>
      <c r="C55" s="611"/>
      <c r="D55" s="90"/>
      <c r="E55" s="90">
        <v>0</v>
      </c>
      <c r="F55" s="90"/>
      <c r="G55" s="548">
        <f t="shared" si="6"/>
        <v>0</v>
      </c>
    </row>
    <row r="56" spans="1:7" x14ac:dyDescent="0.35">
      <c r="A56" s="166"/>
      <c r="B56" s="338" t="s">
        <v>565</v>
      </c>
      <c r="C56" s="611"/>
      <c r="D56" s="90"/>
      <c r="E56" s="90">
        <v>14416</v>
      </c>
      <c r="F56" s="90">
        <v>4134</v>
      </c>
      <c r="G56" s="548">
        <f t="shared" si="6"/>
        <v>18550</v>
      </c>
    </row>
    <row r="57" spans="1:7" x14ac:dyDescent="0.35">
      <c r="A57" s="166"/>
      <c r="B57" s="338" t="s">
        <v>4</v>
      </c>
      <c r="C57" s="611">
        <v>1580</v>
      </c>
      <c r="D57" s="90"/>
      <c r="E57" s="90">
        <v>0</v>
      </c>
      <c r="F57" s="90">
        <v>100</v>
      </c>
      <c r="G57" s="548">
        <f t="shared" si="6"/>
        <v>100</v>
      </c>
    </row>
    <row r="58" spans="1:7" x14ac:dyDescent="0.35">
      <c r="A58" s="1024" t="s">
        <v>62</v>
      </c>
      <c r="B58" s="1025"/>
      <c r="C58" s="91">
        <f>SUM(C46:C57)</f>
        <v>45998</v>
      </c>
      <c r="D58" s="91">
        <f>SUM(D46:D57)</f>
        <v>0</v>
      </c>
      <c r="E58" s="91">
        <v>27016</v>
      </c>
      <c r="F58" s="91">
        <f>SUM(F46:F57)</f>
        <v>4234</v>
      </c>
      <c r="G58" s="91">
        <f>SUM(G46:G57)</f>
        <v>31250</v>
      </c>
    </row>
    <row r="59" spans="1:7" ht="21.75" thickBot="1" x14ac:dyDescent="0.4">
      <c r="A59" s="1020" t="s">
        <v>290</v>
      </c>
      <c r="B59" s="1021"/>
      <c r="C59" s="92">
        <f>C34+C27+C44+C58</f>
        <v>1094568</v>
      </c>
      <c r="D59" s="92">
        <f>D34+D27+D44+D58</f>
        <v>507000</v>
      </c>
      <c r="E59" s="92">
        <f t="shared" ref="E59:F59" si="7">E34+E27+E44+E58</f>
        <v>8606246</v>
      </c>
      <c r="F59" s="92">
        <f t="shared" si="7"/>
        <v>319855</v>
      </c>
      <c r="G59" s="92">
        <f>G34+G27+G44+G58</f>
        <v>8926101</v>
      </c>
    </row>
    <row r="60" spans="1:7" x14ac:dyDescent="0.35">
      <c r="A60" s="157"/>
      <c r="B60" s="93"/>
      <c r="C60" s="93"/>
      <c r="D60" s="157"/>
      <c r="E60" s="157"/>
      <c r="F60" s="157"/>
      <c r="G60" s="545"/>
    </row>
  </sheetData>
  <mergeCells count="5">
    <mergeCell ref="A59:B59"/>
    <mergeCell ref="A44:B44"/>
    <mergeCell ref="A58:B58"/>
    <mergeCell ref="A1:G1"/>
    <mergeCell ref="A27:B27"/>
  </mergeCells>
  <phoneticPr fontId="0" type="noConversion"/>
  <printOptions horizontalCentered="1" verticalCentered="1"/>
  <pageMargins left="0.59055118110236227" right="0.59055118110236227" top="0" bottom="0" header="0.51181102362204722" footer="0.51181102362204722"/>
  <pageSetup paperSize="9" scale="33" orientation="portrait" r:id="rId1"/>
  <headerFooter alignWithMargins="0">
    <oddHeader xml:space="preserve">&amp;R&amp;"-,Félkövér"&amp;12 17. melléklet a 14/2026. (IX.25.) önkormányzati rendelethe&amp;"Times New Roman CE,Félkövér"z
"17. melléklet a 3/2026.(II.27.) önkormányzati rendelethez"
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Munka21"/>
  <dimension ref="A1:J92"/>
  <sheetViews>
    <sheetView zoomScale="91" zoomScaleNormal="91" zoomScalePageLayoutView="55" workbookViewId="0">
      <selection activeCell="G3" sqref="G3"/>
    </sheetView>
  </sheetViews>
  <sheetFormatPr defaultColWidth="10.6640625" defaultRowHeight="15" customHeight="1" x14ac:dyDescent="0.35"/>
  <cols>
    <col min="1" max="1" width="5.6640625" style="133" customWidth="1"/>
    <col min="2" max="2" width="146.5" style="133" customWidth="1"/>
    <col min="3" max="3" width="39" style="133" customWidth="1"/>
    <col min="4" max="4" width="33.1640625" style="133" customWidth="1"/>
    <col min="5" max="5" width="41.33203125" style="133" customWidth="1"/>
    <col min="6" max="6" width="36" style="133" customWidth="1"/>
    <col min="7" max="7" width="43.6640625" style="133" customWidth="1"/>
    <col min="8" max="8" width="10.6640625" style="474"/>
    <col min="9" max="9" width="12.33203125" style="133" bestFit="1" customWidth="1"/>
    <col min="10" max="16384" width="10.6640625" style="133"/>
  </cols>
  <sheetData>
    <row r="1" spans="1:8" ht="15" customHeight="1" x14ac:dyDescent="0.35">
      <c r="A1" s="473"/>
      <c r="B1" s="473"/>
      <c r="C1" s="473"/>
      <c r="D1" s="157"/>
      <c r="E1" s="157"/>
      <c r="F1" s="157"/>
      <c r="G1" s="157"/>
    </row>
    <row r="2" spans="1:8" ht="23.25" customHeight="1" x14ac:dyDescent="0.35">
      <c r="A2" s="1026" t="s">
        <v>157</v>
      </c>
      <c r="B2" s="1026"/>
      <c r="C2" s="1026"/>
      <c r="D2" s="1026"/>
      <c r="E2" s="1026"/>
      <c r="F2" s="1026"/>
      <c r="G2" s="1026"/>
    </row>
    <row r="3" spans="1:8" ht="21.75" thickBot="1" x14ac:dyDescent="0.4">
      <c r="A3" s="133" t="s">
        <v>12</v>
      </c>
      <c r="G3" s="280" t="s">
        <v>201</v>
      </c>
      <c r="H3" s="133"/>
    </row>
    <row r="4" spans="1:8" ht="18.75" customHeight="1" x14ac:dyDescent="0.35">
      <c r="A4" s="1029" t="s">
        <v>155</v>
      </c>
      <c r="B4" s="1030"/>
      <c r="C4" s="162" t="s">
        <v>417</v>
      </c>
      <c r="D4" s="162" t="s">
        <v>438</v>
      </c>
      <c r="E4" s="162" t="s">
        <v>662</v>
      </c>
      <c r="F4" s="162" t="s">
        <v>663</v>
      </c>
      <c r="G4" s="162" t="s">
        <v>697</v>
      </c>
      <c r="H4" s="133"/>
    </row>
    <row r="5" spans="1:8" ht="44.25" customHeight="1" thickBot="1" x14ac:dyDescent="0.4">
      <c r="A5" s="163"/>
      <c r="B5" s="164"/>
      <c r="C5" s="342" t="s">
        <v>665</v>
      </c>
      <c r="D5" s="342" t="s">
        <v>331</v>
      </c>
      <c r="E5" s="342" t="s">
        <v>344</v>
      </c>
      <c r="F5" s="342" t="s">
        <v>664</v>
      </c>
      <c r="G5" s="342" t="s">
        <v>344</v>
      </c>
      <c r="H5" s="133"/>
    </row>
    <row r="6" spans="1:8" ht="21" x14ac:dyDescent="0.35">
      <c r="A6" s="475" t="s">
        <v>166</v>
      </c>
      <c r="B6" s="476" t="s">
        <v>128</v>
      </c>
      <c r="C6" s="606"/>
      <c r="D6" s="94"/>
      <c r="E6" s="94"/>
      <c r="F6" s="94"/>
      <c r="G6" s="94"/>
      <c r="H6" s="133"/>
    </row>
    <row r="7" spans="1:8" ht="21" x14ac:dyDescent="0.35">
      <c r="A7" s="154"/>
      <c r="B7" s="461" t="s">
        <v>430</v>
      </c>
      <c r="C7" s="612"/>
      <c r="D7" s="548"/>
      <c r="E7" s="548">
        <v>81755</v>
      </c>
      <c r="F7" s="625"/>
      <c r="G7" s="625">
        <f>SUM(E7:F7)</f>
        <v>81755</v>
      </c>
      <c r="H7" s="133"/>
    </row>
    <row r="8" spans="1:8" ht="21" x14ac:dyDescent="0.35">
      <c r="A8" s="154"/>
      <c r="B8" s="461" t="s">
        <v>537</v>
      </c>
      <c r="C8" s="612">
        <v>2308</v>
      </c>
      <c r="D8" s="90"/>
      <c r="E8" s="90">
        <v>47692</v>
      </c>
      <c r="F8" s="95"/>
      <c r="G8" s="625">
        <f>SUM(E8:F8)</f>
        <v>47692</v>
      </c>
      <c r="H8" s="133"/>
    </row>
    <row r="9" spans="1:8" ht="21" x14ac:dyDescent="0.35">
      <c r="A9" s="477"/>
      <c r="B9" s="478" t="s">
        <v>153</v>
      </c>
      <c r="C9" s="91">
        <f>SUM(C7:C8)</f>
        <v>2308</v>
      </c>
      <c r="D9" s="89">
        <f>SUM(D7:D8)</f>
        <v>0</v>
      </c>
      <c r="E9" s="89">
        <f t="shared" ref="E9:F9" si="0">SUM(E7:E8)</f>
        <v>129447</v>
      </c>
      <c r="F9" s="89">
        <f t="shared" si="0"/>
        <v>0</v>
      </c>
      <c r="G9" s="89">
        <f>SUM(G7:G8)</f>
        <v>129447</v>
      </c>
      <c r="H9" s="133"/>
    </row>
    <row r="10" spans="1:8" ht="15" customHeight="1" x14ac:dyDescent="0.35">
      <c r="A10" s="479" t="s">
        <v>167</v>
      </c>
      <c r="B10" s="480" t="s">
        <v>154</v>
      </c>
      <c r="C10" s="613"/>
      <c r="D10" s="97"/>
      <c r="E10" s="97"/>
      <c r="F10" s="96"/>
      <c r="G10" s="96"/>
      <c r="H10" s="133"/>
    </row>
    <row r="11" spans="1:8" ht="21" x14ac:dyDescent="0.35">
      <c r="A11" s="475"/>
      <c r="B11" s="461" t="s">
        <v>549</v>
      </c>
      <c r="C11" s="612">
        <v>30426</v>
      </c>
      <c r="D11" s="85"/>
      <c r="E11" s="85">
        <v>76041</v>
      </c>
      <c r="F11" s="98"/>
      <c r="G11" s="98">
        <f>SUM(E11:F11)</f>
        <v>76041</v>
      </c>
      <c r="H11" s="133"/>
    </row>
    <row r="12" spans="1:8" ht="21" x14ac:dyDescent="0.35">
      <c r="A12" s="475"/>
      <c r="B12" s="461" t="s">
        <v>626</v>
      </c>
      <c r="C12" s="612"/>
      <c r="D12" s="85"/>
      <c r="E12" s="85">
        <v>19698</v>
      </c>
      <c r="F12" s="98"/>
      <c r="G12" s="98">
        <f t="shared" ref="G12:G16" si="1">SUM(E12:F12)</f>
        <v>19698</v>
      </c>
      <c r="H12" s="133"/>
    </row>
    <row r="13" spans="1:8" ht="21" x14ac:dyDescent="0.35">
      <c r="A13" s="475"/>
      <c r="B13" s="461" t="s">
        <v>634</v>
      </c>
      <c r="C13" s="612"/>
      <c r="D13" s="85">
        <v>200000</v>
      </c>
      <c r="E13" s="85">
        <v>161809</v>
      </c>
      <c r="F13" s="98"/>
      <c r="G13" s="98">
        <f t="shared" si="1"/>
        <v>161809</v>
      </c>
      <c r="H13" s="133"/>
    </row>
    <row r="14" spans="1:8" ht="21" x14ac:dyDescent="0.35">
      <c r="A14" s="475"/>
      <c r="B14" s="461" t="s">
        <v>691</v>
      </c>
      <c r="C14" s="612"/>
      <c r="D14" s="85"/>
      <c r="E14" s="85">
        <v>42660</v>
      </c>
      <c r="F14" s="98"/>
      <c r="G14" s="98">
        <f t="shared" si="1"/>
        <v>42660</v>
      </c>
      <c r="H14" s="133"/>
    </row>
    <row r="15" spans="1:8" ht="21" x14ac:dyDescent="0.35">
      <c r="A15" s="475"/>
      <c r="B15" s="461" t="s">
        <v>714</v>
      </c>
      <c r="C15" s="612"/>
      <c r="D15" s="85"/>
      <c r="E15" s="85"/>
      <c r="F15" s="98">
        <v>3514</v>
      </c>
      <c r="G15" s="98">
        <f t="shared" si="1"/>
        <v>3514</v>
      </c>
      <c r="H15" s="133"/>
    </row>
    <row r="16" spans="1:8" ht="21" x14ac:dyDescent="0.35">
      <c r="A16" s="475"/>
      <c r="B16" s="635" t="s">
        <v>689</v>
      </c>
      <c r="C16" s="636"/>
      <c r="D16" s="99"/>
      <c r="E16" s="99">
        <v>1400</v>
      </c>
      <c r="F16" s="637">
        <v>606</v>
      </c>
      <c r="G16" s="98">
        <f t="shared" si="1"/>
        <v>2006</v>
      </c>
      <c r="H16" s="133"/>
    </row>
    <row r="17" spans="1:10" ht="21" x14ac:dyDescent="0.35">
      <c r="A17" s="477"/>
      <c r="B17" s="478" t="s">
        <v>124</v>
      </c>
      <c r="C17" s="91">
        <f>SUM(C11:C16)</f>
        <v>30426</v>
      </c>
      <c r="D17" s="91">
        <f t="shared" ref="D17:G17" si="2">SUM(D11:D16)</f>
        <v>200000</v>
      </c>
      <c r="E17" s="91">
        <f t="shared" si="2"/>
        <v>301608</v>
      </c>
      <c r="F17" s="91">
        <f t="shared" si="2"/>
        <v>4120</v>
      </c>
      <c r="G17" s="91">
        <f t="shared" si="2"/>
        <v>305728</v>
      </c>
      <c r="H17" s="133"/>
    </row>
    <row r="18" spans="1:10" ht="20.25" customHeight="1" x14ac:dyDescent="0.35">
      <c r="A18" s="475" t="s">
        <v>168</v>
      </c>
      <c r="B18" s="480" t="s">
        <v>170</v>
      </c>
      <c r="C18" s="613"/>
      <c r="D18" s="97"/>
      <c r="E18" s="97"/>
      <c r="F18" s="97"/>
      <c r="G18" s="97"/>
      <c r="H18" s="133"/>
    </row>
    <row r="19" spans="1:10" ht="21" x14ac:dyDescent="0.35">
      <c r="A19" s="154"/>
      <c r="B19" s="482" t="s">
        <v>342</v>
      </c>
      <c r="C19" s="5">
        <v>2568</v>
      </c>
      <c r="D19" s="85"/>
      <c r="E19" s="85">
        <v>10512</v>
      </c>
      <c r="F19" s="5"/>
      <c r="G19" s="5">
        <f>SUM(E19:F19)</f>
        <v>10512</v>
      </c>
      <c r="H19" s="133"/>
    </row>
    <row r="20" spans="1:10" ht="21" x14ac:dyDescent="0.35">
      <c r="A20" s="154"/>
      <c r="B20" s="139" t="s">
        <v>523</v>
      </c>
      <c r="C20" s="548">
        <v>49257</v>
      </c>
      <c r="D20" s="86"/>
      <c r="E20" s="86">
        <v>0</v>
      </c>
      <c r="F20" s="7"/>
      <c r="G20" s="5">
        <f t="shared" ref="G20:G21" si="3">SUM(E20:F20)</f>
        <v>0</v>
      </c>
      <c r="H20" s="133"/>
    </row>
    <row r="21" spans="1:10" ht="21" x14ac:dyDescent="0.35">
      <c r="A21" s="154"/>
      <c r="B21" s="139" t="s">
        <v>462</v>
      </c>
      <c r="C21" s="609">
        <v>5499</v>
      </c>
      <c r="D21" s="99"/>
      <c r="E21" s="99">
        <v>0</v>
      </c>
      <c r="F21" s="12"/>
      <c r="G21" s="5">
        <f t="shared" si="3"/>
        <v>0</v>
      </c>
      <c r="H21" s="133"/>
    </row>
    <row r="22" spans="1:10" ht="21" x14ac:dyDescent="0.35">
      <c r="A22" s="477"/>
      <c r="B22" s="483" t="s">
        <v>137</v>
      </c>
      <c r="C22" s="91">
        <f>SUM(C19:C21)</f>
        <v>57324</v>
      </c>
      <c r="D22" s="89">
        <f>SUM(D19:D21)</f>
        <v>0</v>
      </c>
      <c r="E22" s="89">
        <f t="shared" ref="E22:F22" si="4">SUM(E19:E21)</f>
        <v>10512</v>
      </c>
      <c r="F22" s="89">
        <f t="shared" si="4"/>
        <v>0</v>
      </c>
      <c r="G22" s="89">
        <f>SUM(G19:G21)</f>
        <v>10512</v>
      </c>
      <c r="H22" s="133"/>
      <c r="J22" s="484"/>
    </row>
    <row r="23" spans="1:10" ht="21" customHeight="1" x14ac:dyDescent="0.35">
      <c r="A23" s="475" t="s">
        <v>169</v>
      </c>
      <c r="B23" s="480" t="s">
        <v>138</v>
      </c>
      <c r="C23" s="613"/>
      <c r="D23" s="97"/>
      <c r="E23" s="97"/>
      <c r="F23" s="97"/>
      <c r="G23" s="97"/>
      <c r="H23" s="133"/>
    </row>
    <row r="24" spans="1:10" ht="21" x14ac:dyDescent="0.35">
      <c r="A24" s="485" t="s">
        <v>164</v>
      </c>
      <c r="B24" s="486"/>
      <c r="C24" s="614"/>
      <c r="D24" s="100"/>
      <c r="E24" s="100"/>
      <c r="F24" s="100"/>
      <c r="G24" s="100"/>
      <c r="H24" s="133"/>
    </row>
    <row r="25" spans="1:10" ht="21" x14ac:dyDescent="0.35">
      <c r="A25" s="154"/>
      <c r="B25" s="481" t="s">
        <v>266</v>
      </c>
      <c r="C25" s="5">
        <v>146499</v>
      </c>
      <c r="D25" s="5"/>
      <c r="E25" s="5">
        <v>1510383</v>
      </c>
      <c r="F25" s="5"/>
      <c r="G25" s="5">
        <f>SUM(E25:F25)</f>
        <v>1510383</v>
      </c>
      <c r="H25" s="133"/>
    </row>
    <row r="26" spans="1:10" ht="42" x14ac:dyDescent="0.35">
      <c r="A26" s="154"/>
      <c r="B26" s="487" t="s">
        <v>497</v>
      </c>
      <c r="C26" s="12">
        <v>37</v>
      </c>
      <c r="D26" s="12"/>
      <c r="E26" s="12">
        <v>275</v>
      </c>
      <c r="F26" s="12"/>
      <c r="G26" s="5">
        <f t="shared" ref="G26:G84" si="5">SUM(E26:F26)</f>
        <v>275</v>
      </c>
      <c r="H26" s="133"/>
    </row>
    <row r="27" spans="1:10" ht="21" x14ac:dyDescent="0.35">
      <c r="A27" s="485" t="s">
        <v>163</v>
      </c>
      <c r="B27" s="486"/>
      <c r="C27" s="52"/>
      <c r="D27" s="52"/>
      <c r="E27" s="52"/>
      <c r="F27" s="52"/>
      <c r="G27" s="5">
        <f t="shared" si="5"/>
        <v>0</v>
      </c>
      <c r="H27" s="133"/>
    </row>
    <row r="28" spans="1:10" ht="21" x14ac:dyDescent="0.35">
      <c r="A28" s="154"/>
      <c r="B28" s="482" t="s">
        <v>419</v>
      </c>
      <c r="C28" s="548">
        <v>4191</v>
      </c>
      <c r="D28" s="85"/>
      <c r="E28" s="85">
        <v>1000</v>
      </c>
      <c r="F28" s="5"/>
      <c r="G28" s="5">
        <f t="shared" si="5"/>
        <v>1000</v>
      </c>
      <c r="H28" s="133"/>
    </row>
    <row r="29" spans="1:10" ht="21" x14ac:dyDescent="0.35">
      <c r="A29" s="154"/>
      <c r="B29" s="482" t="s">
        <v>445</v>
      </c>
      <c r="C29" s="548"/>
      <c r="D29" s="85"/>
      <c r="E29" s="85">
        <v>35020</v>
      </c>
      <c r="F29" s="5"/>
      <c r="G29" s="5">
        <f t="shared" si="5"/>
        <v>35020</v>
      </c>
      <c r="H29" s="133"/>
    </row>
    <row r="30" spans="1:10" ht="21" x14ac:dyDescent="0.35">
      <c r="A30" s="154"/>
      <c r="B30" s="487" t="s">
        <v>451</v>
      </c>
      <c r="C30" s="5">
        <v>983</v>
      </c>
      <c r="D30" s="5"/>
      <c r="E30" s="5">
        <v>0</v>
      </c>
      <c r="F30" s="5"/>
      <c r="G30" s="5">
        <f t="shared" si="5"/>
        <v>0</v>
      </c>
      <c r="H30" s="133"/>
    </row>
    <row r="31" spans="1:10" ht="21" x14ac:dyDescent="0.35">
      <c r="A31" s="154"/>
      <c r="B31" s="487" t="s">
        <v>667</v>
      </c>
      <c r="C31" s="5"/>
      <c r="D31" s="5"/>
      <c r="E31" s="5">
        <v>38449</v>
      </c>
      <c r="F31" s="5"/>
      <c r="G31" s="5">
        <f t="shared" si="5"/>
        <v>38449</v>
      </c>
      <c r="H31" s="133"/>
    </row>
    <row r="32" spans="1:10" ht="21" x14ac:dyDescent="0.35">
      <c r="A32" s="154"/>
      <c r="B32" s="487" t="s">
        <v>641</v>
      </c>
      <c r="C32" s="5"/>
      <c r="D32" s="5">
        <v>150000</v>
      </c>
      <c r="E32" s="5">
        <v>150000</v>
      </c>
      <c r="F32" s="5"/>
      <c r="G32" s="5">
        <f t="shared" si="5"/>
        <v>150000</v>
      </c>
      <c r="H32" s="133"/>
    </row>
    <row r="33" spans="1:8" ht="21" x14ac:dyDescent="0.35">
      <c r="A33" s="154"/>
      <c r="B33" s="487" t="s">
        <v>726</v>
      </c>
      <c r="C33" s="5"/>
      <c r="D33" s="5"/>
      <c r="E33" s="5"/>
      <c r="F33" s="5">
        <v>22890</v>
      </c>
      <c r="G33" s="5">
        <f t="shared" si="5"/>
        <v>22890</v>
      </c>
      <c r="H33" s="133"/>
    </row>
    <row r="34" spans="1:8" ht="21" x14ac:dyDescent="0.35">
      <c r="A34" s="485" t="s">
        <v>165</v>
      </c>
      <c r="B34" s="488"/>
      <c r="C34" s="608"/>
      <c r="D34" s="88"/>
      <c r="E34" s="88"/>
      <c r="F34" s="52"/>
      <c r="G34" s="5">
        <f t="shared" si="5"/>
        <v>0</v>
      </c>
      <c r="H34" s="133"/>
    </row>
    <row r="35" spans="1:8" ht="21" x14ac:dyDescent="0.35">
      <c r="A35" s="154"/>
      <c r="B35" s="482" t="s">
        <v>693</v>
      </c>
      <c r="C35" s="5"/>
      <c r="D35" s="85"/>
      <c r="E35" s="85">
        <v>100000</v>
      </c>
      <c r="F35" s="5">
        <v>-1700</v>
      </c>
      <c r="G35" s="5">
        <f t="shared" si="5"/>
        <v>98300</v>
      </c>
      <c r="H35" s="133"/>
    </row>
    <row r="36" spans="1:8" ht="21" x14ac:dyDescent="0.35">
      <c r="A36" s="154"/>
      <c r="B36" s="482" t="s">
        <v>704</v>
      </c>
      <c r="C36" s="5"/>
      <c r="D36" s="85"/>
      <c r="E36" s="85"/>
      <c r="F36" s="5">
        <v>1700</v>
      </c>
      <c r="G36" s="5">
        <f t="shared" si="5"/>
        <v>1700</v>
      </c>
      <c r="H36" s="133"/>
    </row>
    <row r="37" spans="1:8" ht="21" x14ac:dyDescent="0.35">
      <c r="A37" s="154"/>
      <c r="B37" s="482" t="s">
        <v>723</v>
      </c>
      <c r="C37" s="5"/>
      <c r="D37" s="85"/>
      <c r="E37" s="85"/>
      <c r="F37" s="5">
        <v>1606296</v>
      </c>
      <c r="G37" s="5">
        <f t="shared" si="5"/>
        <v>1606296</v>
      </c>
      <c r="H37" s="133"/>
    </row>
    <row r="38" spans="1:8" ht="42" x14ac:dyDescent="0.35">
      <c r="A38" s="485"/>
      <c r="B38" s="482" t="s">
        <v>498</v>
      </c>
      <c r="C38" s="548">
        <v>565</v>
      </c>
      <c r="D38" s="85"/>
      <c r="E38" s="85">
        <v>20563</v>
      </c>
      <c r="F38" s="5"/>
      <c r="G38" s="5">
        <f t="shared" si="5"/>
        <v>20563</v>
      </c>
      <c r="H38" s="133"/>
    </row>
    <row r="39" spans="1:8" ht="63" x14ac:dyDescent="0.35">
      <c r="A39" s="485"/>
      <c r="B39" s="482" t="s">
        <v>627</v>
      </c>
      <c r="C39" s="548"/>
      <c r="D39" s="85"/>
      <c r="E39" s="85">
        <v>3882</v>
      </c>
      <c r="F39" s="5"/>
      <c r="G39" s="5">
        <f t="shared" si="5"/>
        <v>3882</v>
      </c>
      <c r="H39" s="133"/>
    </row>
    <row r="40" spans="1:8" ht="21" x14ac:dyDescent="0.35">
      <c r="A40" s="154"/>
      <c r="B40" s="482" t="s">
        <v>114</v>
      </c>
      <c r="C40" s="5"/>
      <c r="D40" s="85"/>
      <c r="E40" s="85">
        <v>2807</v>
      </c>
      <c r="F40" s="5"/>
      <c r="G40" s="5">
        <f t="shared" si="5"/>
        <v>2807</v>
      </c>
      <c r="H40" s="133"/>
    </row>
    <row r="41" spans="1:8" ht="21" x14ac:dyDescent="0.35">
      <c r="A41" s="153"/>
      <c r="B41" s="546" t="s">
        <v>696</v>
      </c>
      <c r="C41" s="612"/>
      <c r="D41" s="85"/>
      <c r="E41" s="85">
        <v>7000</v>
      </c>
      <c r="F41" s="5"/>
      <c r="G41" s="5">
        <f t="shared" si="5"/>
        <v>7000</v>
      </c>
      <c r="H41" s="133"/>
    </row>
    <row r="42" spans="1:8" ht="42" x14ac:dyDescent="0.35">
      <c r="A42" s="153"/>
      <c r="B42" s="546" t="s">
        <v>431</v>
      </c>
      <c r="C42" s="612"/>
      <c r="D42" s="85"/>
      <c r="E42" s="85">
        <v>7608</v>
      </c>
      <c r="F42" s="5"/>
      <c r="G42" s="5">
        <f t="shared" si="5"/>
        <v>7608</v>
      </c>
      <c r="H42" s="133"/>
    </row>
    <row r="43" spans="1:8" ht="21" x14ac:dyDescent="0.35">
      <c r="A43" s="485" t="s">
        <v>16</v>
      </c>
      <c r="B43" s="488"/>
      <c r="C43" s="12"/>
      <c r="D43" s="99"/>
      <c r="E43" s="99"/>
      <c r="F43" s="52"/>
      <c r="G43" s="52"/>
      <c r="H43" s="133"/>
    </row>
    <row r="44" spans="1:8" ht="25.15" customHeight="1" x14ac:dyDescent="0.35">
      <c r="A44" s="154"/>
      <c r="B44" s="481" t="s">
        <v>412</v>
      </c>
      <c r="C44" s="548">
        <v>1841</v>
      </c>
      <c r="D44" s="85"/>
      <c r="E44" s="85">
        <v>6365</v>
      </c>
      <c r="F44" s="5"/>
      <c r="G44" s="5">
        <f t="shared" si="5"/>
        <v>6365</v>
      </c>
      <c r="H44" s="133"/>
    </row>
    <row r="45" spans="1:8" ht="21" x14ac:dyDescent="0.35">
      <c r="A45" s="1031" t="s">
        <v>9</v>
      </c>
      <c r="B45" s="1032"/>
      <c r="C45" s="614"/>
      <c r="D45" s="99"/>
      <c r="E45" s="99"/>
      <c r="F45" s="52"/>
      <c r="G45" s="5">
        <f t="shared" si="5"/>
        <v>0</v>
      </c>
      <c r="H45" s="133"/>
    </row>
    <row r="46" spans="1:8" ht="21" x14ac:dyDescent="0.35">
      <c r="A46" s="485"/>
      <c r="B46" s="461" t="s">
        <v>644</v>
      </c>
      <c r="C46" s="612"/>
      <c r="D46" s="5">
        <f>3000+6000</f>
        <v>9000</v>
      </c>
      <c r="E46" s="5">
        <v>9000</v>
      </c>
      <c r="F46" s="5"/>
      <c r="G46" s="5">
        <f t="shared" si="5"/>
        <v>9000</v>
      </c>
      <c r="H46" s="133"/>
    </row>
    <row r="47" spans="1:8" ht="21" x14ac:dyDescent="0.35">
      <c r="A47" s="485"/>
      <c r="B47" s="461" t="s">
        <v>628</v>
      </c>
      <c r="C47" s="612">
        <v>2005</v>
      </c>
      <c r="D47" s="5"/>
      <c r="E47" s="5">
        <v>0</v>
      </c>
      <c r="F47" s="5"/>
      <c r="G47" s="5">
        <f t="shared" si="5"/>
        <v>0</v>
      </c>
      <c r="H47" s="133"/>
    </row>
    <row r="48" spans="1:8" ht="21" x14ac:dyDescent="0.35">
      <c r="A48" s="485"/>
      <c r="B48" s="461" t="s">
        <v>629</v>
      </c>
      <c r="C48" s="612">
        <v>2256</v>
      </c>
      <c r="D48" s="5"/>
      <c r="E48" s="5">
        <v>244</v>
      </c>
      <c r="F48" s="5"/>
      <c r="G48" s="5">
        <f t="shared" si="5"/>
        <v>244</v>
      </c>
      <c r="H48" s="133"/>
    </row>
    <row r="49" spans="1:8" ht="21" x14ac:dyDescent="0.35">
      <c r="A49" s="485"/>
      <c r="B49" s="461" t="s">
        <v>640</v>
      </c>
      <c r="C49" s="612"/>
      <c r="D49" s="7">
        <v>1200</v>
      </c>
      <c r="E49" s="7">
        <v>1200</v>
      </c>
      <c r="F49" s="7">
        <v>-214</v>
      </c>
      <c r="G49" s="5">
        <f t="shared" si="5"/>
        <v>986</v>
      </c>
      <c r="H49" s="133"/>
    </row>
    <row r="50" spans="1:8" ht="21" x14ac:dyDescent="0.35">
      <c r="A50" s="485"/>
      <c r="B50" s="461" t="s">
        <v>724</v>
      </c>
      <c r="C50" s="612"/>
      <c r="D50" s="7"/>
      <c r="E50" s="7"/>
      <c r="F50" s="7">
        <v>214</v>
      </c>
      <c r="G50" s="5">
        <f t="shared" si="5"/>
        <v>214</v>
      </c>
      <c r="H50" s="133"/>
    </row>
    <row r="51" spans="1:8" ht="21" x14ac:dyDescent="0.35">
      <c r="A51" s="485" t="s">
        <v>19</v>
      </c>
      <c r="B51" s="488"/>
      <c r="C51" s="12"/>
      <c r="D51" s="12"/>
      <c r="E51" s="12"/>
      <c r="F51" s="12"/>
      <c r="G51" s="12"/>
      <c r="H51" s="133"/>
    </row>
    <row r="52" spans="1:8" ht="21" x14ac:dyDescent="0.35">
      <c r="A52" s="153"/>
      <c r="B52" s="167" t="s">
        <v>645</v>
      </c>
      <c r="C52" s="612">
        <v>17289</v>
      </c>
      <c r="D52" s="85">
        <f>10000+79000+67000-10000-25440-5000-2260+60000-42842</f>
        <v>130458</v>
      </c>
      <c r="E52" s="85">
        <v>142713</v>
      </c>
      <c r="F52" s="85">
        <f>-10601-2299-3514</f>
        <v>-16414</v>
      </c>
      <c r="G52" s="5">
        <f t="shared" si="5"/>
        <v>126299</v>
      </c>
      <c r="H52" s="133"/>
    </row>
    <row r="53" spans="1:8" ht="42" x14ac:dyDescent="0.35">
      <c r="A53" s="154"/>
      <c r="B53" s="167" t="s">
        <v>608</v>
      </c>
      <c r="C53" s="612">
        <v>3175</v>
      </c>
      <c r="D53" s="85"/>
      <c r="E53" s="85">
        <v>390793</v>
      </c>
      <c r="F53" s="5"/>
      <c r="G53" s="5">
        <f t="shared" si="5"/>
        <v>390793</v>
      </c>
      <c r="H53" s="133"/>
    </row>
    <row r="54" spans="1:8" ht="42" x14ac:dyDescent="0.35">
      <c r="A54" s="154"/>
      <c r="B54" s="167" t="s">
        <v>670</v>
      </c>
      <c r="C54" s="612"/>
      <c r="D54" s="85"/>
      <c r="E54" s="85">
        <v>960</v>
      </c>
      <c r="F54" s="5"/>
      <c r="G54" s="5">
        <f t="shared" si="5"/>
        <v>960</v>
      </c>
      <c r="H54" s="133"/>
    </row>
    <row r="55" spans="1:8" ht="21" x14ac:dyDescent="0.35">
      <c r="A55" s="154"/>
      <c r="B55" s="167" t="s">
        <v>609</v>
      </c>
      <c r="C55" s="612">
        <v>3175</v>
      </c>
      <c r="D55" s="85"/>
      <c r="E55" s="85">
        <v>40849</v>
      </c>
      <c r="F55" s="5"/>
      <c r="G55" s="5">
        <f t="shared" si="5"/>
        <v>40849</v>
      </c>
      <c r="H55" s="133"/>
    </row>
    <row r="56" spans="1:8" ht="21" x14ac:dyDescent="0.35">
      <c r="A56" s="154"/>
      <c r="B56" s="167" t="s">
        <v>610</v>
      </c>
      <c r="C56" s="612">
        <v>3302</v>
      </c>
      <c r="D56" s="85"/>
      <c r="E56" s="85">
        <v>419999</v>
      </c>
      <c r="F56" s="5"/>
      <c r="G56" s="5">
        <f t="shared" si="5"/>
        <v>419999</v>
      </c>
      <c r="H56" s="133"/>
    </row>
    <row r="57" spans="1:8" ht="21" x14ac:dyDescent="0.35">
      <c r="A57" s="154"/>
      <c r="B57" s="167" t="s">
        <v>611</v>
      </c>
      <c r="C57" s="612">
        <v>3493</v>
      </c>
      <c r="D57" s="85"/>
      <c r="E57" s="85">
        <v>1022</v>
      </c>
      <c r="F57" s="5"/>
      <c r="G57" s="5">
        <f t="shared" si="5"/>
        <v>1022</v>
      </c>
      <c r="H57" s="133"/>
    </row>
    <row r="58" spans="1:8" ht="21" x14ac:dyDescent="0.35">
      <c r="A58" s="154"/>
      <c r="B58" s="167" t="s">
        <v>612</v>
      </c>
      <c r="C58" s="612">
        <v>3175</v>
      </c>
      <c r="D58" s="85"/>
      <c r="E58" s="85">
        <v>585935</v>
      </c>
      <c r="F58" s="5"/>
      <c r="G58" s="5">
        <f t="shared" si="5"/>
        <v>585935</v>
      </c>
      <c r="H58" s="133"/>
    </row>
    <row r="59" spans="1:8" ht="21" x14ac:dyDescent="0.35">
      <c r="A59" s="154"/>
      <c r="B59" s="167" t="s">
        <v>671</v>
      </c>
      <c r="C59" s="612"/>
      <c r="D59" s="85"/>
      <c r="E59" s="85">
        <v>1219</v>
      </c>
      <c r="F59" s="5"/>
      <c r="G59" s="5">
        <f t="shared" si="5"/>
        <v>1219</v>
      </c>
      <c r="H59" s="133"/>
    </row>
    <row r="60" spans="1:8" ht="21" x14ac:dyDescent="0.35">
      <c r="A60" s="154"/>
      <c r="B60" s="167" t="s">
        <v>613</v>
      </c>
      <c r="C60" s="612">
        <v>3175</v>
      </c>
      <c r="D60" s="85"/>
      <c r="E60" s="85">
        <v>446011</v>
      </c>
      <c r="F60" s="5"/>
      <c r="G60" s="5">
        <f t="shared" si="5"/>
        <v>446011</v>
      </c>
      <c r="H60" s="133"/>
    </row>
    <row r="61" spans="1:8" ht="21" x14ac:dyDescent="0.35">
      <c r="A61" s="154"/>
      <c r="B61" s="167" t="s">
        <v>614</v>
      </c>
      <c r="C61" s="612">
        <v>3175</v>
      </c>
      <c r="D61" s="85"/>
      <c r="E61" s="85">
        <v>457009</v>
      </c>
      <c r="F61" s="5"/>
      <c r="G61" s="5">
        <f t="shared" si="5"/>
        <v>457009</v>
      </c>
      <c r="H61" s="133"/>
    </row>
    <row r="62" spans="1:8" ht="21" x14ac:dyDescent="0.35">
      <c r="A62" s="154"/>
      <c r="B62" s="167" t="s">
        <v>615</v>
      </c>
      <c r="C62" s="612">
        <v>3175</v>
      </c>
      <c r="D62" s="85"/>
      <c r="E62" s="85">
        <v>1023</v>
      </c>
      <c r="F62" s="5"/>
      <c r="G62" s="5">
        <f t="shared" si="5"/>
        <v>1023</v>
      </c>
      <c r="H62" s="133"/>
    </row>
    <row r="63" spans="1:8" ht="21" x14ac:dyDescent="0.35">
      <c r="A63" s="154"/>
      <c r="B63" s="167" t="s">
        <v>616</v>
      </c>
      <c r="C63" s="612">
        <v>3175</v>
      </c>
      <c r="D63" s="85"/>
      <c r="E63" s="85">
        <v>5334</v>
      </c>
      <c r="F63" s="5"/>
      <c r="G63" s="5">
        <f t="shared" si="5"/>
        <v>5334</v>
      </c>
      <c r="H63" s="133"/>
    </row>
    <row r="64" spans="1:8" ht="21" x14ac:dyDescent="0.35">
      <c r="A64" s="154"/>
      <c r="B64" s="167" t="s">
        <v>617</v>
      </c>
      <c r="C64" s="612"/>
      <c r="D64" s="85"/>
      <c r="E64" s="85">
        <v>4873</v>
      </c>
      <c r="F64" s="5"/>
      <c r="G64" s="5">
        <f t="shared" si="5"/>
        <v>4873</v>
      </c>
      <c r="H64" s="133"/>
    </row>
    <row r="65" spans="1:8" ht="21" x14ac:dyDescent="0.35">
      <c r="A65" s="154"/>
      <c r="B65" s="167" t="s">
        <v>618</v>
      </c>
      <c r="C65" s="612"/>
      <c r="D65" s="85"/>
      <c r="E65" s="85">
        <v>474062</v>
      </c>
      <c r="F65" s="5"/>
      <c r="G65" s="5">
        <f t="shared" si="5"/>
        <v>474062</v>
      </c>
      <c r="H65" s="133"/>
    </row>
    <row r="66" spans="1:8" ht="21" x14ac:dyDescent="0.35">
      <c r="A66" s="154"/>
      <c r="B66" s="167" t="s">
        <v>619</v>
      </c>
      <c r="C66" s="612"/>
      <c r="D66" s="85"/>
      <c r="E66" s="85">
        <v>662601</v>
      </c>
      <c r="F66" s="5"/>
      <c r="G66" s="5">
        <f t="shared" si="5"/>
        <v>662601</v>
      </c>
      <c r="H66" s="133"/>
    </row>
    <row r="67" spans="1:8" ht="21" x14ac:dyDescent="0.35">
      <c r="A67" s="154"/>
      <c r="B67" s="167" t="s">
        <v>620</v>
      </c>
      <c r="C67" s="612">
        <v>952</v>
      </c>
      <c r="D67" s="85"/>
      <c r="E67" s="85">
        <v>1665485</v>
      </c>
      <c r="F67" s="5"/>
      <c r="G67" s="5">
        <f t="shared" si="5"/>
        <v>1665485</v>
      </c>
      <c r="H67" s="133"/>
    </row>
    <row r="68" spans="1:8" ht="21" x14ac:dyDescent="0.35">
      <c r="A68" s="154"/>
      <c r="B68" s="167" t="s">
        <v>621</v>
      </c>
      <c r="C68" s="612"/>
      <c r="D68" s="85"/>
      <c r="E68" s="85">
        <v>514871</v>
      </c>
      <c r="F68" s="5"/>
      <c r="G68" s="5">
        <f t="shared" si="5"/>
        <v>514871</v>
      </c>
      <c r="H68" s="133"/>
    </row>
    <row r="69" spans="1:8" ht="42" x14ac:dyDescent="0.35">
      <c r="A69" s="154"/>
      <c r="B69" s="167" t="s">
        <v>694</v>
      </c>
      <c r="C69" s="612"/>
      <c r="D69" s="85"/>
      <c r="E69" s="85">
        <v>1257</v>
      </c>
      <c r="F69" s="5"/>
      <c r="G69" s="5">
        <f t="shared" si="5"/>
        <v>1257</v>
      </c>
      <c r="H69" s="133"/>
    </row>
    <row r="70" spans="1:8" ht="21" x14ac:dyDescent="0.35">
      <c r="A70" s="154"/>
      <c r="B70" s="167" t="s">
        <v>601</v>
      </c>
      <c r="C70" s="612">
        <v>450</v>
      </c>
      <c r="D70" s="85"/>
      <c r="E70" s="85">
        <v>224700</v>
      </c>
      <c r="F70" s="5"/>
      <c r="G70" s="5">
        <f t="shared" si="5"/>
        <v>224700</v>
      </c>
      <c r="H70" s="133"/>
    </row>
    <row r="71" spans="1:8" ht="21" x14ac:dyDescent="0.35">
      <c r="A71" s="154"/>
      <c r="B71" s="167" t="s">
        <v>710</v>
      </c>
      <c r="C71" s="612"/>
      <c r="D71" s="85"/>
      <c r="E71" s="85"/>
      <c r="F71" s="5">
        <v>8914</v>
      </c>
      <c r="G71" s="5">
        <f t="shared" si="5"/>
        <v>8914</v>
      </c>
      <c r="H71" s="133"/>
    </row>
    <row r="72" spans="1:8" ht="21" x14ac:dyDescent="0.35">
      <c r="A72" s="154"/>
      <c r="B72" s="167" t="s">
        <v>602</v>
      </c>
      <c r="C72" s="612"/>
      <c r="D72" s="85"/>
      <c r="E72" s="85">
        <v>194800</v>
      </c>
      <c r="F72" s="5"/>
      <c r="G72" s="5">
        <f t="shared" si="5"/>
        <v>194800</v>
      </c>
      <c r="H72" s="133"/>
    </row>
    <row r="73" spans="1:8" ht="21" x14ac:dyDescent="0.35">
      <c r="A73" s="154"/>
      <c r="B73" s="167" t="s">
        <v>603</v>
      </c>
      <c r="C73" s="612"/>
      <c r="D73" s="85"/>
      <c r="E73" s="85">
        <v>358920</v>
      </c>
      <c r="F73" s="5"/>
      <c r="G73" s="5">
        <f t="shared" si="5"/>
        <v>358920</v>
      </c>
      <c r="H73" s="133"/>
    </row>
    <row r="74" spans="1:8" ht="21" x14ac:dyDescent="0.35">
      <c r="A74" s="154"/>
      <c r="B74" s="167" t="s">
        <v>711</v>
      </c>
      <c r="C74" s="612"/>
      <c r="D74" s="85"/>
      <c r="E74" s="85"/>
      <c r="F74" s="5">
        <v>1687</v>
      </c>
      <c r="G74" s="5">
        <f t="shared" si="5"/>
        <v>1687</v>
      </c>
      <c r="H74" s="133"/>
    </row>
    <row r="75" spans="1:8" ht="21" x14ac:dyDescent="0.35">
      <c r="A75" s="154"/>
      <c r="B75" s="167" t="s">
        <v>604</v>
      </c>
      <c r="C75" s="612">
        <v>3810</v>
      </c>
      <c r="D75" s="85"/>
      <c r="E75" s="85">
        <v>105663</v>
      </c>
      <c r="F75" s="5"/>
      <c r="G75" s="5">
        <f t="shared" si="5"/>
        <v>105663</v>
      </c>
      <c r="H75" s="133"/>
    </row>
    <row r="76" spans="1:8" ht="42" x14ac:dyDescent="0.35">
      <c r="A76" s="154"/>
      <c r="B76" s="167" t="s">
        <v>712</v>
      </c>
      <c r="C76" s="612"/>
      <c r="D76" s="85"/>
      <c r="E76" s="85"/>
      <c r="F76" s="5">
        <v>1143</v>
      </c>
      <c r="G76" s="5">
        <f t="shared" si="5"/>
        <v>1143</v>
      </c>
      <c r="H76" s="133"/>
    </row>
    <row r="77" spans="1:8" ht="21" x14ac:dyDescent="0.35">
      <c r="A77" s="154"/>
      <c r="B77" s="167" t="s">
        <v>605</v>
      </c>
      <c r="C77" s="612">
        <v>51</v>
      </c>
      <c r="D77" s="85"/>
      <c r="E77" s="85">
        <v>647020</v>
      </c>
      <c r="F77" s="5"/>
      <c r="G77" s="5">
        <f t="shared" si="5"/>
        <v>647020</v>
      </c>
      <c r="H77" s="133"/>
    </row>
    <row r="78" spans="1:8" ht="21" x14ac:dyDescent="0.35">
      <c r="A78" s="154"/>
      <c r="B78" s="167" t="s">
        <v>606</v>
      </c>
      <c r="C78" s="612"/>
      <c r="D78" s="85"/>
      <c r="E78" s="85">
        <v>544045</v>
      </c>
      <c r="F78" s="5"/>
      <c r="G78" s="5">
        <f t="shared" si="5"/>
        <v>544045</v>
      </c>
      <c r="H78" s="133"/>
    </row>
    <row r="79" spans="1:8" ht="21" x14ac:dyDescent="0.35">
      <c r="A79" s="154"/>
      <c r="B79" s="167" t="s">
        <v>607</v>
      </c>
      <c r="C79" s="612">
        <v>6350</v>
      </c>
      <c r="D79" s="85"/>
      <c r="E79" s="85">
        <v>187715</v>
      </c>
      <c r="F79" s="5"/>
      <c r="G79" s="5">
        <f t="shared" si="5"/>
        <v>187715</v>
      </c>
      <c r="H79" s="133"/>
    </row>
    <row r="80" spans="1:8" ht="42" x14ac:dyDescent="0.35">
      <c r="A80" s="154"/>
      <c r="B80" s="167" t="s">
        <v>668</v>
      </c>
      <c r="C80" s="612"/>
      <c r="D80" s="85"/>
      <c r="E80" s="85">
        <v>1334</v>
      </c>
      <c r="F80" s="5"/>
      <c r="G80" s="5">
        <f t="shared" si="5"/>
        <v>1334</v>
      </c>
      <c r="H80" s="133"/>
    </row>
    <row r="81" spans="1:8" ht="21" x14ac:dyDescent="0.35">
      <c r="A81" s="154"/>
      <c r="B81" s="167" t="s">
        <v>713</v>
      </c>
      <c r="C81" s="612"/>
      <c r="D81" s="85"/>
      <c r="E81" s="85"/>
      <c r="F81" s="5">
        <v>550</v>
      </c>
      <c r="G81" s="5">
        <f t="shared" si="5"/>
        <v>550</v>
      </c>
      <c r="H81" s="133"/>
    </row>
    <row r="82" spans="1:8" ht="21" x14ac:dyDescent="0.35">
      <c r="A82" s="154"/>
      <c r="B82" s="305" t="s">
        <v>381</v>
      </c>
      <c r="C82" s="63"/>
      <c r="D82" s="85">
        <v>7966774</v>
      </c>
      <c r="E82" s="85">
        <v>0</v>
      </c>
      <c r="F82" s="5"/>
      <c r="G82" s="5">
        <f t="shared" si="5"/>
        <v>0</v>
      </c>
      <c r="H82" s="133"/>
    </row>
    <row r="83" spans="1:8" ht="42" x14ac:dyDescent="0.35">
      <c r="A83" s="154"/>
      <c r="B83" s="136" t="s">
        <v>429</v>
      </c>
      <c r="C83" s="63"/>
      <c r="D83" s="85"/>
      <c r="E83" s="85">
        <v>82</v>
      </c>
      <c r="F83" s="5"/>
      <c r="G83" s="5">
        <f t="shared" si="5"/>
        <v>82</v>
      </c>
      <c r="H83" s="133"/>
    </row>
    <row r="84" spans="1:8" ht="21.75" thickBot="1" x14ac:dyDescent="0.4">
      <c r="A84" s="154"/>
      <c r="B84" s="136" t="s">
        <v>522</v>
      </c>
      <c r="C84" s="63">
        <v>5903</v>
      </c>
      <c r="D84" s="85"/>
      <c r="E84" s="85">
        <v>24707</v>
      </c>
      <c r="F84" s="5">
        <v>-18369</v>
      </c>
      <c r="G84" s="5">
        <f t="shared" si="5"/>
        <v>6338</v>
      </c>
      <c r="H84" s="133"/>
    </row>
    <row r="85" spans="1:8" ht="21.75" thickBot="1" x14ac:dyDescent="0.4">
      <c r="A85" s="489"/>
      <c r="B85" s="490" t="s">
        <v>190</v>
      </c>
      <c r="C85" s="11">
        <f>SUM(C25:C84)</f>
        <v>222202</v>
      </c>
      <c r="D85" s="11">
        <f>SUM(D25:D84)</f>
        <v>8257432</v>
      </c>
      <c r="E85" s="11">
        <f t="shared" ref="E85:F85" si="6">SUM(E25:E84)</f>
        <v>9998798</v>
      </c>
      <c r="F85" s="11">
        <f t="shared" si="6"/>
        <v>1606697</v>
      </c>
      <c r="G85" s="11">
        <f>SUM(G25:G84)</f>
        <v>11605495</v>
      </c>
      <c r="H85" s="133"/>
    </row>
    <row r="86" spans="1:8" ht="21.75" thickBot="1" x14ac:dyDescent="0.4">
      <c r="A86" s="491" t="s">
        <v>171</v>
      </c>
      <c r="B86" s="492" t="s">
        <v>657</v>
      </c>
      <c r="C86" s="615">
        <v>1027</v>
      </c>
      <c r="D86" s="101"/>
      <c r="E86" s="101">
        <v>173</v>
      </c>
      <c r="F86" s="149"/>
      <c r="G86" s="149">
        <f>SUM(E86:F86)</f>
        <v>173</v>
      </c>
      <c r="H86" s="133"/>
    </row>
    <row r="87" spans="1:8" ht="20.25" customHeight="1" thickBot="1" x14ac:dyDescent="0.4">
      <c r="A87" s="456" t="s">
        <v>291</v>
      </c>
      <c r="B87" s="547"/>
      <c r="C87" s="605">
        <f>C9+C17+C22+C85+C86</f>
        <v>313287</v>
      </c>
      <c r="D87" s="87">
        <f>D9+D17+D22+D85+D86</f>
        <v>8457432</v>
      </c>
      <c r="E87" s="87">
        <f t="shared" ref="E87:F87" si="7">E9+E17+E22+E85+E86</f>
        <v>10440538</v>
      </c>
      <c r="F87" s="87">
        <f t="shared" si="7"/>
        <v>1610817</v>
      </c>
      <c r="G87" s="87">
        <f>G9+G17+G22+G85+G86</f>
        <v>12051355</v>
      </c>
      <c r="H87" s="133"/>
    </row>
    <row r="88" spans="1:8" ht="15" customHeight="1" x14ac:dyDescent="0.35">
      <c r="C88" s="616"/>
    </row>
    <row r="89" spans="1:8" ht="15" customHeight="1" x14ac:dyDescent="0.35">
      <c r="C89" s="616"/>
    </row>
    <row r="90" spans="1:8" ht="15" customHeight="1" x14ac:dyDescent="0.35">
      <c r="C90" s="616"/>
      <c r="D90" s="474"/>
      <c r="E90" s="474"/>
      <c r="G90" s="474"/>
    </row>
    <row r="91" spans="1:8" ht="15" customHeight="1" x14ac:dyDescent="0.35">
      <c r="D91" s="474"/>
      <c r="E91" s="474"/>
      <c r="G91" s="474"/>
    </row>
    <row r="92" spans="1:8" ht="15" customHeight="1" x14ac:dyDescent="0.35">
      <c r="D92" s="474"/>
      <c r="E92" s="474"/>
      <c r="G92" s="474"/>
    </row>
  </sheetData>
  <customSheetViews>
    <customSheetView guid="{6D4B996F-8915-4E78-98C2-E7EAE9C4580C}" scale="75" showRuler="0">
      <selection activeCell="C29" sqref="C29"/>
      <rowBreaks count="1" manualBreakCount="1">
        <brk id="71" max="6" man="1"/>
      </rowBreaks>
      <pageMargins left="0" right="0" top="0" bottom="0" header="0.11811023622047245" footer="0"/>
      <printOptions horizontalCentered="1" verticalCentered="1"/>
      <pageSetup paperSize="9" scale="60" orientation="portrait" horizontalDpi="300" verticalDpi="300" r:id="rId1"/>
      <headerFooter alignWithMargins="0">
        <oddHeader>&amp;C&amp;R&amp;"Times New Roman CE,Félkövér"&amp;16F.1.sz. melléklet&amp;"Times New Roman CE,Normál"&amp;8</oddHeader>
      </headerFooter>
    </customSheetView>
    <customSheetView guid="{186732C5-520C-4E06-B066-B4F3F0A3E322}" scale="75" showRuler="0" topLeftCell="A89">
      <selection activeCell="C26" sqref="C26"/>
      <rowBreaks count="1" manualBreakCount="1">
        <brk id="71" max="6" man="1"/>
      </rowBreaks>
      <pageMargins left="0" right="0" top="0" bottom="0" header="0.11811023622047245" footer="0"/>
      <printOptions horizontalCentered="1" verticalCentered="1"/>
      <pageSetup paperSize="9" scale="60" orientation="portrait" horizontalDpi="300" verticalDpi="300" r:id="rId2"/>
      <headerFooter alignWithMargins="0">
        <oddHeader>&amp;C&amp;R&amp;"Times New Roman CE,Félkövér"&amp;16F.1.sz. melléklet&amp;"Times New Roman CE,Normál"&amp;8</oddHeader>
      </headerFooter>
    </customSheetView>
  </customSheetViews>
  <mergeCells count="3">
    <mergeCell ref="A4:B4"/>
    <mergeCell ref="A45:B45"/>
    <mergeCell ref="A2:G2"/>
  </mergeCells>
  <phoneticPr fontId="0" type="noConversion"/>
  <printOptions horizontalCentered="1" verticalCentered="1"/>
  <pageMargins left="0.39370078740157483" right="0.19685039370078741" top="0" bottom="0" header="0" footer="0.51181102362204722"/>
  <pageSetup paperSize="9" scale="38" fitToHeight="0" orientation="portrait" r:id="rId3"/>
  <headerFooter alignWithMargins="0">
    <oddHeader xml:space="preserve">&amp;R&amp;"-,Félkövér"&amp;14 18. melléklet a 14/2026. (IX.25.) önkormányzati rendelethez
"18. melléklet a 3/2026.(II.27.) önkormányzati rendelethez"
 &amp;"Times New Roman CE,Félkövér"&amp;20
</oddHeader>
  </headerFooter>
  <rowBreaks count="1" manualBreakCount="1">
    <brk id="8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U22"/>
  <sheetViews>
    <sheetView zoomScale="89" zoomScaleNormal="89" workbookViewId="0">
      <selection activeCell="A2" sqref="A2:B2"/>
    </sheetView>
  </sheetViews>
  <sheetFormatPr defaultColWidth="9.33203125" defaultRowHeight="21" x14ac:dyDescent="0.35"/>
  <cols>
    <col min="1" max="1" width="102.83203125" style="493" customWidth="1"/>
    <col min="2" max="2" width="23.83203125" style="493" bestFit="1" customWidth="1"/>
    <col min="3" max="3" width="22.1640625" style="493" bestFit="1" customWidth="1"/>
    <col min="4" max="5" width="20.83203125" style="493" customWidth="1"/>
    <col min="6" max="6" width="22.1640625" style="493" bestFit="1" customWidth="1"/>
    <col min="7" max="14" width="20.83203125" style="493" customWidth="1"/>
    <col min="15" max="15" width="21" style="493" customWidth="1"/>
    <col min="16" max="16" width="16.5" style="515" bestFit="1" customWidth="1"/>
    <col min="17" max="17" width="14.6640625" style="515" bestFit="1" customWidth="1"/>
    <col min="18" max="18" width="17.33203125" style="515" customWidth="1"/>
    <col min="19" max="19" width="13.33203125" style="515" bestFit="1" customWidth="1"/>
    <col min="20" max="21" width="9.33203125" style="515"/>
    <col min="22" max="16384" width="9.33203125" style="493"/>
  </cols>
  <sheetData>
    <row r="1" spans="1:21" s="495" customFormat="1" x14ac:dyDescent="0.35">
      <c r="A1" s="45" t="s">
        <v>730</v>
      </c>
      <c r="B1" s="494"/>
      <c r="C1" s="494"/>
      <c r="D1" s="494"/>
      <c r="E1" s="494"/>
      <c r="F1" s="494"/>
      <c r="G1" s="494"/>
      <c r="H1" s="494"/>
      <c r="I1" s="494"/>
      <c r="J1" s="494"/>
      <c r="K1" s="494"/>
      <c r="L1" s="494"/>
      <c r="M1" s="494"/>
      <c r="N1" s="494"/>
      <c r="P1" s="496"/>
      <c r="Q1" s="496"/>
      <c r="R1" s="496"/>
      <c r="S1" s="496"/>
      <c r="T1" s="496"/>
      <c r="U1" s="496"/>
    </row>
    <row r="2" spans="1:21" s="495" customFormat="1" x14ac:dyDescent="0.35">
      <c r="A2" s="1033"/>
      <c r="B2" s="1033"/>
      <c r="P2" s="496"/>
      <c r="Q2" s="496"/>
      <c r="R2" s="496"/>
      <c r="S2" s="496"/>
      <c r="T2" s="496"/>
      <c r="U2" s="496"/>
    </row>
    <row r="3" spans="1:21" s="495" customFormat="1" ht="21.75" thickBot="1" x14ac:dyDescent="0.4">
      <c r="N3" s="280" t="s">
        <v>201</v>
      </c>
      <c r="P3" s="496"/>
      <c r="Q3" s="496"/>
      <c r="R3" s="496"/>
      <c r="S3" s="496"/>
      <c r="T3" s="496"/>
      <c r="U3" s="496"/>
    </row>
    <row r="4" spans="1:21" s="495" customFormat="1" ht="20.100000000000001" customHeight="1" x14ac:dyDescent="0.35">
      <c r="A4" s="497" t="s">
        <v>200</v>
      </c>
      <c r="B4" s="498" t="s">
        <v>216</v>
      </c>
      <c r="C4" s="498" t="s">
        <v>166</v>
      </c>
      <c r="D4" s="498" t="s">
        <v>167</v>
      </c>
      <c r="E4" s="498" t="s">
        <v>168</v>
      </c>
      <c r="F4" s="498" t="s">
        <v>169</v>
      </c>
      <c r="G4" s="498" t="s">
        <v>171</v>
      </c>
      <c r="H4" s="498" t="s">
        <v>172</v>
      </c>
      <c r="I4" s="498" t="s">
        <v>173</v>
      </c>
      <c r="J4" s="498" t="s">
        <v>174</v>
      </c>
      <c r="K4" s="498" t="s">
        <v>210</v>
      </c>
      <c r="L4" s="498" t="s">
        <v>211</v>
      </c>
      <c r="M4" s="498" t="s">
        <v>212</v>
      </c>
      <c r="N4" s="498" t="s">
        <v>213</v>
      </c>
      <c r="P4" s="496"/>
      <c r="Q4" s="496"/>
      <c r="R4" s="496"/>
      <c r="S4" s="496"/>
      <c r="T4" s="496"/>
      <c r="U4" s="496"/>
    </row>
    <row r="5" spans="1:21" s="495" customFormat="1" ht="20.100000000000001" customHeight="1" x14ac:dyDescent="0.35">
      <c r="A5" s="499"/>
      <c r="B5" s="500"/>
      <c r="C5" s="500"/>
      <c r="D5" s="500"/>
      <c r="E5" s="500"/>
      <c r="F5" s="500"/>
      <c r="G5" s="500"/>
      <c r="H5" s="500"/>
      <c r="I5" s="500"/>
      <c r="J5" s="500"/>
      <c r="K5" s="500"/>
      <c r="L5" s="500"/>
      <c r="M5" s="500"/>
      <c r="N5" s="500"/>
      <c r="P5" s="496"/>
      <c r="Q5" s="496"/>
      <c r="R5" s="496"/>
      <c r="S5" s="496"/>
      <c r="T5" s="496"/>
      <c r="U5" s="496"/>
    </row>
    <row r="6" spans="1:21" s="495" customFormat="1" ht="67.5" customHeight="1" thickBot="1" x14ac:dyDescent="0.4">
      <c r="A6" s="501"/>
      <c r="B6" s="502" t="s">
        <v>217</v>
      </c>
      <c r="C6" s="502" t="s">
        <v>218</v>
      </c>
      <c r="D6" s="502" t="s">
        <v>218</v>
      </c>
      <c r="E6" s="502" t="s">
        <v>218</v>
      </c>
      <c r="F6" s="502" t="s">
        <v>218</v>
      </c>
      <c r="G6" s="502" t="s">
        <v>218</v>
      </c>
      <c r="H6" s="502" t="s">
        <v>218</v>
      </c>
      <c r="I6" s="502" t="s">
        <v>218</v>
      </c>
      <c r="J6" s="502" t="s">
        <v>218</v>
      </c>
      <c r="K6" s="502" t="s">
        <v>218</v>
      </c>
      <c r="L6" s="502" t="s">
        <v>218</v>
      </c>
      <c r="M6" s="502" t="s">
        <v>218</v>
      </c>
      <c r="N6" s="502" t="s">
        <v>218</v>
      </c>
      <c r="O6" s="503"/>
      <c r="P6" s="496"/>
      <c r="Q6" s="496"/>
      <c r="R6" s="496"/>
      <c r="S6" s="496"/>
      <c r="T6" s="496"/>
      <c r="U6" s="496"/>
    </row>
    <row r="7" spans="1:21" s="495" customFormat="1" ht="24" customHeight="1" x14ac:dyDescent="0.35">
      <c r="A7" s="504" t="s">
        <v>219</v>
      </c>
      <c r="B7" s="505">
        <f>'1 kiemelt ei. '!G13</f>
        <v>37603034</v>
      </c>
      <c r="C7" s="505">
        <f>897325+177046+189084+4666</f>
        <v>1268121</v>
      </c>
      <c r="D7" s="505">
        <f t="shared" ref="D7" si="0">897325+177046+189084+4666</f>
        <v>1268121</v>
      </c>
      <c r="E7" s="505">
        <f>897325+177046+189084+4666+40279+4026000+1367500</f>
        <v>6701900</v>
      </c>
      <c r="F7" s="505">
        <f>897325+177046+189084+4666-121</f>
        <v>1268000</v>
      </c>
      <c r="G7" s="505">
        <f>897325+177046+189084+4666+2000000-121+64000</f>
        <v>3332000</v>
      </c>
      <c r="H7" s="505">
        <f>897325+177046+189084+4666+602000-121-1000000+64000</f>
        <v>934000</v>
      </c>
      <c r="I7" s="505">
        <f>897325+177046+189084+4666+250000+700000+602000-1000000-121+64000</f>
        <v>1884000</v>
      </c>
      <c r="J7" s="505">
        <f>897325+177046+189084+4666+602000-121+64000</f>
        <v>1934000</v>
      </c>
      <c r="K7" s="505">
        <f>897325+177046+189084+4666+4000000+1367500+602000+240-1+64000</f>
        <v>7301860</v>
      </c>
      <c r="L7" s="505">
        <f>897325+177046+189084+4666+602000+3+64000</f>
        <v>1934124</v>
      </c>
      <c r="M7" s="505">
        <f>897325+177046+189084+4666+1000000+602000+2000363+64000</f>
        <v>4934484</v>
      </c>
      <c r="N7" s="505">
        <f>897325+177046+189084+4666+2174000+9-1000000+606475+1606296+120710+66813</f>
        <v>4842424</v>
      </c>
      <c r="O7" s="496"/>
      <c r="P7" s="496"/>
      <c r="Q7" s="496"/>
      <c r="R7" s="496"/>
      <c r="S7" s="496"/>
      <c r="T7" s="496"/>
      <c r="U7" s="496"/>
    </row>
    <row r="8" spans="1:21" s="495" customFormat="1" ht="24" customHeight="1" thickBot="1" x14ac:dyDescent="0.4">
      <c r="A8" s="501" t="s">
        <v>220</v>
      </c>
      <c r="B8" s="506">
        <f>'1 kiemelt ei. '!G17</f>
        <v>8926101</v>
      </c>
      <c r="C8" s="506">
        <v>583</v>
      </c>
      <c r="D8" s="506">
        <v>583</v>
      </c>
      <c r="E8" s="506">
        <v>583</v>
      </c>
      <c r="F8" s="506">
        <v>583</v>
      </c>
      <c r="G8" s="506">
        <v>583</v>
      </c>
      <c r="H8" s="506">
        <v>583</v>
      </c>
      <c r="I8" s="506">
        <v>583</v>
      </c>
      <c r="J8" s="506">
        <v>583</v>
      </c>
      <c r="K8" s="506">
        <f>583+19855</f>
        <v>20438</v>
      </c>
      <c r="L8" s="506">
        <f>583+1000000</f>
        <v>1000583</v>
      </c>
      <c r="M8" s="506">
        <f>583+500000</f>
        <v>500583</v>
      </c>
      <c r="N8" s="506">
        <f>583+4+7099246+300000</f>
        <v>7399833</v>
      </c>
      <c r="P8" s="496"/>
      <c r="Q8" s="496"/>
      <c r="R8" s="496"/>
      <c r="S8" s="496"/>
      <c r="T8" s="496"/>
      <c r="U8" s="496"/>
    </row>
    <row r="9" spans="1:21" s="509" customFormat="1" ht="24" customHeight="1" thickBot="1" x14ac:dyDescent="0.4">
      <c r="A9" s="507" t="s">
        <v>221</v>
      </c>
      <c r="B9" s="508">
        <f t="shared" ref="B9:N9" si="1">+B7+B8</f>
        <v>46529135</v>
      </c>
      <c r="C9" s="508">
        <f t="shared" si="1"/>
        <v>1268704</v>
      </c>
      <c r="D9" s="508">
        <f t="shared" si="1"/>
        <v>1268704</v>
      </c>
      <c r="E9" s="508">
        <f t="shared" si="1"/>
        <v>6702483</v>
      </c>
      <c r="F9" s="508">
        <f t="shared" si="1"/>
        <v>1268583</v>
      </c>
      <c r="G9" s="508">
        <f t="shared" si="1"/>
        <v>3332583</v>
      </c>
      <c r="H9" s="508">
        <f t="shared" si="1"/>
        <v>934583</v>
      </c>
      <c r="I9" s="508">
        <f t="shared" si="1"/>
        <v>1884583</v>
      </c>
      <c r="J9" s="508">
        <f t="shared" si="1"/>
        <v>1934583</v>
      </c>
      <c r="K9" s="508">
        <f t="shared" si="1"/>
        <v>7322298</v>
      </c>
      <c r="L9" s="508">
        <f t="shared" si="1"/>
        <v>2934707</v>
      </c>
      <c r="M9" s="508">
        <f t="shared" si="1"/>
        <v>5435067</v>
      </c>
      <c r="N9" s="508">
        <f t="shared" si="1"/>
        <v>12242257</v>
      </c>
      <c r="P9" s="503"/>
      <c r="Q9" s="503"/>
      <c r="R9" s="503"/>
      <c r="S9" s="503"/>
      <c r="T9" s="503"/>
      <c r="U9" s="503"/>
    </row>
    <row r="10" spans="1:21" s="495" customFormat="1" ht="49.5" customHeight="1" thickBot="1" x14ac:dyDescent="0.4">
      <c r="A10" s="510" t="s">
        <v>222</v>
      </c>
      <c r="B10" s="511">
        <f>'1 kiemelt ei. '!G19</f>
        <v>12363715</v>
      </c>
      <c r="C10" s="512">
        <f>10830113-1940747-7966774</f>
        <v>922592</v>
      </c>
      <c r="D10" s="512"/>
      <c r="E10" s="512">
        <v>6441123</v>
      </c>
      <c r="F10" s="512"/>
      <c r="G10" s="512"/>
      <c r="H10" s="512"/>
      <c r="I10" s="512"/>
      <c r="J10" s="512"/>
      <c r="K10" s="512"/>
      <c r="L10" s="512">
        <v>5000000</v>
      </c>
      <c r="M10" s="512"/>
      <c r="N10" s="512"/>
      <c r="P10" s="503"/>
      <c r="Q10" s="496"/>
      <c r="R10" s="496"/>
      <c r="S10" s="496"/>
      <c r="T10" s="496"/>
      <c r="U10" s="496"/>
    </row>
    <row r="11" spans="1:21" s="509" customFormat="1" ht="24" customHeight="1" thickBot="1" x14ac:dyDescent="0.4">
      <c r="A11" s="513" t="s">
        <v>223</v>
      </c>
      <c r="B11" s="508">
        <f>+B9+B10</f>
        <v>58892850</v>
      </c>
      <c r="C11" s="508">
        <f t="shared" ref="C11:N11" si="2">+C9+C10</f>
        <v>2191296</v>
      </c>
      <c r="D11" s="508">
        <f t="shared" si="2"/>
        <v>1268704</v>
      </c>
      <c r="E11" s="508">
        <f t="shared" si="2"/>
        <v>13143606</v>
      </c>
      <c r="F11" s="508">
        <f t="shared" si="2"/>
        <v>1268583</v>
      </c>
      <c r="G11" s="508">
        <f t="shared" si="2"/>
        <v>3332583</v>
      </c>
      <c r="H11" s="508">
        <f t="shared" si="2"/>
        <v>934583</v>
      </c>
      <c r="I11" s="508">
        <f t="shared" si="2"/>
        <v>1884583</v>
      </c>
      <c r="J11" s="508">
        <f t="shared" si="2"/>
        <v>1934583</v>
      </c>
      <c r="K11" s="508">
        <f t="shared" si="2"/>
        <v>7322298</v>
      </c>
      <c r="L11" s="508">
        <f t="shared" si="2"/>
        <v>7934707</v>
      </c>
      <c r="M11" s="508">
        <f t="shared" si="2"/>
        <v>5435067</v>
      </c>
      <c r="N11" s="508">
        <f t="shared" si="2"/>
        <v>12242257</v>
      </c>
      <c r="P11" s="503"/>
      <c r="Q11" s="503"/>
      <c r="R11" s="503"/>
      <c r="S11" s="503"/>
      <c r="T11" s="503"/>
      <c r="U11" s="503"/>
    </row>
    <row r="12" spans="1:21" s="495" customFormat="1" ht="24" customHeight="1" x14ac:dyDescent="0.35">
      <c r="P12" s="496"/>
      <c r="Q12" s="496"/>
      <c r="R12" s="496"/>
      <c r="S12" s="496"/>
      <c r="T12" s="496"/>
      <c r="U12" s="496"/>
    </row>
    <row r="13" spans="1:21" s="495" customFormat="1" x14ac:dyDescent="0.35">
      <c r="B13" s="496">
        <f>B11-'2 mérleg'!H60</f>
        <v>0</v>
      </c>
      <c r="P13" s="496"/>
      <c r="Q13" s="496"/>
      <c r="R13" s="496"/>
      <c r="S13" s="496"/>
      <c r="T13" s="496"/>
      <c r="U13" s="496"/>
    </row>
    <row r="14" spans="1:21" s="495" customFormat="1" x14ac:dyDescent="0.35">
      <c r="C14" s="496"/>
      <c r="D14" s="496"/>
      <c r="E14" s="496"/>
      <c r="F14" s="496"/>
      <c r="G14" s="496"/>
      <c r="H14" s="496"/>
      <c r="I14" s="496"/>
      <c r="J14" s="496"/>
      <c r="K14" s="496"/>
      <c r="L14" s="496"/>
      <c r="M14" s="496"/>
      <c r="N14" s="496"/>
      <c r="P14" s="496"/>
      <c r="Q14" s="496"/>
      <c r="R14" s="496"/>
      <c r="S14" s="496"/>
      <c r="T14" s="496"/>
      <c r="U14" s="496"/>
    </row>
    <row r="15" spans="1:21" s="495" customFormat="1" x14ac:dyDescent="0.35">
      <c r="C15" s="496"/>
      <c r="P15" s="496"/>
      <c r="Q15" s="496"/>
      <c r="R15" s="496"/>
      <c r="S15" s="496"/>
      <c r="T15" s="496"/>
      <c r="U15" s="496"/>
    </row>
    <row r="16" spans="1:21" s="495" customFormat="1" x14ac:dyDescent="0.35">
      <c r="C16" s="514"/>
      <c r="D16" s="514"/>
      <c r="E16" s="514"/>
      <c r="F16" s="496"/>
      <c r="G16" s="496"/>
      <c r="H16" s="496"/>
      <c r="I16" s="496"/>
      <c r="L16" s="496"/>
      <c r="M16" s="514"/>
      <c r="N16" s="514"/>
      <c r="P16" s="496"/>
      <c r="Q16" s="496"/>
      <c r="R16" s="496"/>
      <c r="S16" s="496"/>
      <c r="T16" s="496"/>
      <c r="U16" s="496"/>
    </row>
    <row r="17" spans="2:21" s="495" customFormat="1" x14ac:dyDescent="0.35">
      <c r="F17" s="496"/>
      <c r="G17" s="496"/>
      <c r="H17" s="496"/>
      <c r="I17" s="496"/>
      <c r="J17" s="496"/>
      <c r="L17" s="496"/>
      <c r="P17" s="496"/>
      <c r="Q17" s="496"/>
      <c r="R17" s="496"/>
      <c r="S17" s="496"/>
      <c r="T17" s="496"/>
      <c r="U17" s="496"/>
    </row>
    <row r="18" spans="2:21" s="495" customFormat="1" x14ac:dyDescent="0.35">
      <c r="B18" s="496"/>
      <c r="C18" s="496"/>
      <c r="F18" s="496"/>
      <c r="G18" s="496"/>
      <c r="H18" s="496"/>
      <c r="I18" s="496"/>
      <c r="J18" s="496"/>
      <c r="K18" s="496"/>
      <c r="P18" s="496"/>
      <c r="Q18" s="496"/>
      <c r="R18" s="496"/>
      <c r="S18" s="496"/>
      <c r="T18" s="496"/>
      <c r="U18" s="496"/>
    </row>
    <row r="19" spans="2:21" s="495" customFormat="1" x14ac:dyDescent="0.35">
      <c r="F19" s="496"/>
      <c r="G19" s="496"/>
      <c r="H19" s="496"/>
      <c r="I19" s="496"/>
      <c r="J19" s="496"/>
      <c r="L19" s="496"/>
      <c r="P19" s="496"/>
      <c r="Q19" s="496"/>
      <c r="R19" s="496"/>
      <c r="S19" s="496"/>
      <c r="T19" s="496"/>
      <c r="U19" s="496"/>
    </row>
    <row r="20" spans="2:21" s="495" customFormat="1" x14ac:dyDescent="0.35">
      <c r="C20" s="496"/>
      <c r="F20" s="496"/>
      <c r="G20" s="496"/>
      <c r="H20" s="496"/>
      <c r="P20" s="496"/>
      <c r="Q20" s="496"/>
      <c r="R20" s="496"/>
      <c r="S20" s="496"/>
      <c r="T20" s="496"/>
      <c r="U20" s="496"/>
    </row>
    <row r="21" spans="2:21" x14ac:dyDescent="0.35">
      <c r="F21" s="515"/>
      <c r="G21" s="515"/>
      <c r="H21" s="496"/>
      <c r="I21" s="515"/>
      <c r="J21" s="515"/>
      <c r="K21" s="515"/>
    </row>
    <row r="22" spans="2:21" x14ac:dyDescent="0.35">
      <c r="F22" s="515"/>
      <c r="G22" s="515"/>
      <c r="H22" s="496"/>
      <c r="I22" s="515"/>
      <c r="J22" s="515"/>
      <c r="K22" s="515"/>
    </row>
  </sheetData>
  <mergeCells count="1">
    <mergeCell ref="A2:B2"/>
  </mergeCells>
  <printOptions horizontalCentered="1" verticalCentered="1"/>
  <pageMargins left="0.19685039370078741" right="0.19685039370078741" top="0.15748031496062992" bottom="0" header="0.15748031496062992" footer="0.15748031496062992"/>
  <pageSetup paperSize="9" scale="50" orientation="landscape" r:id="rId1"/>
  <headerFooter alignWithMargins="0">
    <oddHeader xml:space="preserve">&amp;R&amp;"-,Félkövér"&amp;12 19. melléklet a 14/2026. (IX.25.) önkormányzati rendelethe&amp;"Times New Roman CE,Félkövér"z
"19. melléklet a 3/2026.(II.27.) önkormányzati rendelethez"
 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U31"/>
  <sheetViews>
    <sheetView tabSelected="1" zoomScale="85" zoomScaleNormal="85" workbookViewId="0">
      <selection activeCell="I18" sqref="I18"/>
    </sheetView>
  </sheetViews>
  <sheetFormatPr defaultColWidth="9.33203125" defaultRowHeight="21" x14ac:dyDescent="0.35"/>
  <cols>
    <col min="1" max="1" width="102.83203125" style="495" customWidth="1"/>
    <col min="2" max="2" width="26.83203125" style="495" bestFit="1" customWidth="1"/>
    <col min="3" max="3" width="28" style="495" bestFit="1" customWidth="1"/>
    <col min="4" max="5" width="21.6640625" style="495" bestFit="1" customWidth="1"/>
    <col min="6" max="14" width="20.83203125" style="495" customWidth="1"/>
    <col min="15" max="15" width="19" style="495" customWidth="1"/>
    <col min="16" max="16" width="18.33203125" style="495" bestFit="1" customWidth="1"/>
    <col min="17" max="18" width="9.33203125" style="495"/>
    <col min="19" max="19" width="18.83203125" style="495" customWidth="1"/>
    <col min="20" max="20" width="23.1640625" style="495" customWidth="1"/>
    <col min="21" max="16384" width="9.33203125" style="495"/>
  </cols>
  <sheetData>
    <row r="1" spans="1:21" x14ac:dyDescent="0.35">
      <c r="A1" s="45" t="s">
        <v>729</v>
      </c>
      <c r="B1" s="494"/>
      <c r="C1" s="494"/>
      <c r="D1" s="494"/>
      <c r="E1" s="496"/>
      <c r="F1" s="494"/>
      <c r="G1" s="494"/>
      <c r="H1" s="494"/>
      <c r="I1" s="494"/>
      <c r="J1" s="494"/>
      <c r="K1" s="494"/>
      <c r="L1" s="494"/>
      <c r="M1" s="494"/>
      <c r="N1" s="494"/>
    </row>
    <row r="2" spans="1:21" x14ac:dyDescent="0.35">
      <c r="A2" s="1033"/>
      <c r="B2" s="1033"/>
    </row>
    <row r="3" spans="1:21" ht="21.75" thickBot="1" x14ac:dyDescent="0.4">
      <c r="N3" s="280" t="s">
        <v>201</v>
      </c>
    </row>
    <row r="4" spans="1:21" ht="20.100000000000001" customHeight="1" x14ac:dyDescent="0.35">
      <c r="A4" s="497" t="s">
        <v>224</v>
      </c>
      <c r="B4" s="498" t="s">
        <v>216</v>
      </c>
      <c r="C4" s="498" t="s">
        <v>166</v>
      </c>
      <c r="D4" s="498" t="s">
        <v>167</v>
      </c>
      <c r="E4" s="498" t="s">
        <v>168</v>
      </c>
      <c r="F4" s="498" t="s">
        <v>169</v>
      </c>
      <c r="G4" s="498" t="s">
        <v>171</v>
      </c>
      <c r="H4" s="498" t="s">
        <v>172</v>
      </c>
      <c r="I4" s="498" t="s">
        <v>173</v>
      </c>
      <c r="J4" s="498" t="s">
        <v>174</v>
      </c>
      <c r="K4" s="498" t="s">
        <v>210</v>
      </c>
      <c r="L4" s="498" t="s">
        <v>211</v>
      </c>
      <c r="M4" s="498" t="s">
        <v>212</v>
      </c>
      <c r="N4" s="498" t="s">
        <v>213</v>
      </c>
    </row>
    <row r="5" spans="1:21" ht="20.100000000000001" customHeight="1" x14ac:dyDescent="0.35">
      <c r="A5" s="499"/>
      <c r="B5" s="500"/>
      <c r="C5" s="500"/>
      <c r="D5" s="500"/>
      <c r="E5" s="500"/>
      <c r="F5" s="500"/>
      <c r="G5" s="500"/>
      <c r="H5" s="500"/>
      <c r="I5" s="500"/>
      <c r="J5" s="500"/>
      <c r="K5" s="500"/>
      <c r="L5" s="500"/>
      <c r="M5" s="500"/>
      <c r="N5" s="500"/>
    </row>
    <row r="6" spans="1:21" ht="67.5" customHeight="1" thickBot="1" x14ac:dyDescent="0.4">
      <c r="A6" s="501"/>
      <c r="B6" s="502" t="s">
        <v>225</v>
      </c>
      <c r="C6" s="502" t="s">
        <v>218</v>
      </c>
      <c r="D6" s="502" t="s">
        <v>218</v>
      </c>
      <c r="E6" s="502" t="s">
        <v>218</v>
      </c>
      <c r="F6" s="502" t="s">
        <v>218</v>
      </c>
      <c r="G6" s="502" t="s">
        <v>218</v>
      </c>
      <c r="H6" s="502" t="s">
        <v>218</v>
      </c>
      <c r="I6" s="502" t="s">
        <v>218</v>
      </c>
      <c r="J6" s="502" t="s">
        <v>218</v>
      </c>
      <c r="K6" s="502" t="s">
        <v>218</v>
      </c>
      <c r="L6" s="502" t="s">
        <v>218</v>
      </c>
      <c r="M6" s="502" t="s">
        <v>218</v>
      </c>
      <c r="N6" s="502" t="s">
        <v>218</v>
      </c>
      <c r="O6" s="496"/>
      <c r="P6" s="496"/>
      <c r="Q6" s="496"/>
      <c r="R6" s="496"/>
      <c r="S6" s="496"/>
      <c r="T6" s="496"/>
      <c r="U6" s="496"/>
    </row>
    <row r="7" spans="1:21" ht="24" customHeight="1" x14ac:dyDescent="0.35">
      <c r="A7" s="504" t="s">
        <v>226</v>
      </c>
      <c r="B7" s="505">
        <f>'1 kiemelt ei. '!N13</f>
        <v>38712901</v>
      </c>
      <c r="C7" s="505">
        <f>2264571+502594+50000-130000-127000-70000-25000-100000-100000-500000</f>
        <v>1765165</v>
      </c>
      <c r="D7" s="505">
        <f>2264571-1000000</f>
        <v>1264571</v>
      </c>
      <c r="E7" s="505">
        <f>2264571+150000</f>
        <v>2414571</v>
      </c>
      <c r="F7" s="505">
        <f>2264571+1591548+150000</f>
        <v>4006119</v>
      </c>
      <c r="G7" s="505">
        <f>2264571+150000+66000</f>
        <v>2480571</v>
      </c>
      <c r="H7" s="505">
        <f>2264571+150000+393000+66000</f>
        <v>2873571</v>
      </c>
      <c r="I7" s="505">
        <f>2264571+502594+150000+393000+66000</f>
        <v>3376165</v>
      </c>
      <c r="J7" s="505">
        <f>2264571+130000+127000+150000+393000+66000</f>
        <v>3130571</v>
      </c>
      <c r="K7" s="505">
        <f>2264571+100000+25000+150000+393000+66000</f>
        <v>2998571</v>
      </c>
      <c r="L7" s="505">
        <f>2264571+1591547+150000+393000+66000</f>
        <v>4465118</v>
      </c>
      <c r="M7" s="505">
        <f>2264571+50000+1940747+150000+66000</f>
        <v>4471318</v>
      </c>
      <c r="N7" s="505">
        <f>2264571-3+70000+100000+150000+787094+300000+1606296+120710+67922</f>
        <v>5466590</v>
      </c>
      <c r="O7" s="496"/>
      <c r="P7" s="496"/>
      <c r="Q7" s="496"/>
      <c r="R7" s="496"/>
      <c r="S7" s="496"/>
      <c r="T7" s="496"/>
      <c r="U7" s="496"/>
    </row>
    <row r="8" spans="1:21" ht="24" customHeight="1" thickBot="1" x14ac:dyDescent="0.4">
      <c r="A8" s="516" t="s">
        <v>227</v>
      </c>
      <c r="B8" s="506">
        <f>'1 kiemelt ei. '!N17</f>
        <v>10723189</v>
      </c>
      <c r="C8" s="506"/>
      <c r="D8" s="506"/>
      <c r="E8" s="506"/>
      <c r="F8" s="506">
        <v>10200</v>
      </c>
      <c r="G8" s="506">
        <v>200000</v>
      </c>
      <c r="H8" s="506"/>
      <c r="I8" s="506"/>
      <c r="J8" s="506"/>
      <c r="K8" s="506">
        <v>4746</v>
      </c>
      <c r="L8" s="506">
        <f>150000+1000000</f>
        <v>1150000</v>
      </c>
      <c r="M8" s="506">
        <f>8259014-5700000</f>
        <v>2559014</v>
      </c>
      <c r="N8" s="506">
        <f>1099229+5700000</f>
        <v>6799229</v>
      </c>
      <c r="O8" s="496"/>
      <c r="P8" s="496"/>
      <c r="Q8" s="496"/>
      <c r="R8" s="496"/>
      <c r="S8" s="496"/>
      <c r="T8" s="496"/>
      <c r="U8" s="496"/>
    </row>
    <row r="9" spans="1:21" s="509" customFormat="1" ht="24" customHeight="1" thickBot="1" x14ac:dyDescent="0.4">
      <c r="A9" s="513" t="s">
        <v>228</v>
      </c>
      <c r="B9" s="508">
        <f t="shared" ref="B9:N9" si="0">B7+B8</f>
        <v>49436090</v>
      </c>
      <c r="C9" s="508">
        <f t="shared" si="0"/>
        <v>1765165</v>
      </c>
      <c r="D9" s="508">
        <f t="shared" si="0"/>
        <v>1264571</v>
      </c>
      <c r="E9" s="508">
        <f t="shared" si="0"/>
        <v>2414571</v>
      </c>
      <c r="F9" s="508">
        <f t="shared" si="0"/>
        <v>4016319</v>
      </c>
      <c r="G9" s="508">
        <f t="shared" si="0"/>
        <v>2680571</v>
      </c>
      <c r="H9" s="508">
        <f t="shared" si="0"/>
        <v>2873571</v>
      </c>
      <c r="I9" s="508">
        <f t="shared" si="0"/>
        <v>3376165</v>
      </c>
      <c r="J9" s="508">
        <f t="shared" si="0"/>
        <v>3130571</v>
      </c>
      <c r="K9" s="508">
        <f>K7+K8</f>
        <v>3003317</v>
      </c>
      <c r="L9" s="508">
        <f t="shared" si="0"/>
        <v>5615118</v>
      </c>
      <c r="M9" s="508">
        <f t="shared" si="0"/>
        <v>7030332</v>
      </c>
      <c r="N9" s="508">
        <f t="shared" si="0"/>
        <v>12265819</v>
      </c>
      <c r="O9" s="496"/>
      <c r="P9" s="496"/>
      <c r="Q9" s="496"/>
      <c r="R9" s="496"/>
      <c r="S9" s="496"/>
      <c r="T9" s="496"/>
      <c r="U9" s="496"/>
    </row>
    <row r="10" spans="1:21" ht="49.5" customHeight="1" thickBot="1" x14ac:dyDescent="0.4">
      <c r="A10" s="517" t="s">
        <v>229</v>
      </c>
      <c r="B10" s="511">
        <f>'1 kiemelt ei. '!N19</f>
        <v>9456760</v>
      </c>
      <c r="C10" s="512">
        <f>10063+336004</f>
        <v>346067</v>
      </c>
      <c r="D10" s="512">
        <v>10063</v>
      </c>
      <c r="E10" s="512">
        <v>10063</v>
      </c>
      <c r="F10" s="512">
        <v>10063</v>
      </c>
      <c r="G10" s="512">
        <v>10063</v>
      </c>
      <c r="H10" s="512">
        <f>10063+4000000</f>
        <v>4010063</v>
      </c>
      <c r="I10" s="512">
        <v>10063</v>
      </c>
      <c r="J10" s="512">
        <v>10063</v>
      </c>
      <c r="K10" s="512">
        <v>10063</v>
      </c>
      <c r="L10" s="512">
        <f>10063+5000000</f>
        <v>5010063</v>
      </c>
      <c r="M10" s="512">
        <v>10063</v>
      </c>
      <c r="N10" s="512">
        <v>10063</v>
      </c>
      <c r="O10" s="496"/>
      <c r="P10" s="496"/>
      <c r="Q10" s="496"/>
      <c r="R10" s="496"/>
      <c r="S10" s="496"/>
      <c r="T10" s="496"/>
      <c r="U10" s="496"/>
    </row>
    <row r="11" spans="1:21" s="509" customFormat="1" ht="24" customHeight="1" thickBot="1" x14ac:dyDescent="0.4">
      <c r="A11" s="513" t="s">
        <v>230</v>
      </c>
      <c r="B11" s="508">
        <f>SUM(B9:B10)</f>
        <v>58892850</v>
      </c>
      <c r="C11" s="508">
        <f t="shared" ref="C11:N11" si="1">SUM(C9:C10)</f>
        <v>2111232</v>
      </c>
      <c r="D11" s="508">
        <f t="shared" si="1"/>
        <v>1274634</v>
      </c>
      <c r="E11" s="508">
        <f t="shared" si="1"/>
        <v>2424634</v>
      </c>
      <c r="F11" s="508">
        <f t="shared" si="1"/>
        <v>4026382</v>
      </c>
      <c r="G11" s="508">
        <f t="shared" si="1"/>
        <v>2690634</v>
      </c>
      <c r="H11" s="508">
        <f t="shared" si="1"/>
        <v>6883634</v>
      </c>
      <c r="I11" s="508">
        <f t="shared" si="1"/>
        <v>3386228</v>
      </c>
      <c r="J11" s="508">
        <f t="shared" si="1"/>
        <v>3140634</v>
      </c>
      <c r="K11" s="508">
        <f t="shared" si="1"/>
        <v>3013380</v>
      </c>
      <c r="L11" s="508">
        <f t="shared" si="1"/>
        <v>10625181</v>
      </c>
      <c r="M11" s="508">
        <f t="shared" si="1"/>
        <v>7040395</v>
      </c>
      <c r="N11" s="508">
        <f t="shared" si="1"/>
        <v>12275882</v>
      </c>
      <c r="O11" s="496"/>
      <c r="P11" s="496"/>
      <c r="Q11" s="496"/>
      <c r="R11" s="496"/>
      <c r="S11" s="496"/>
      <c r="T11" s="496"/>
      <c r="U11" s="496"/>
    </row>
    <row r="12" spans="1:21" ht="24" customHeight="1" thickBot="1" x14ac:dyDescent="0.4">
      <c r="B12" s="496">
        <f>B11-'2 mérleg'!O60</f>
        <v>0</v>
      </c>
      <c r="O12" s="496"/>
      <c r="P12" s="496"/>
      <c r="Q12" s="496"/>
      <c r="R12" s="496"/>
      <c r="S12" s="496"/>
      <c r="T12" s="496"/>
      <c r="U12" s="496"/>
    </row>
    <row r="13" spans="1:21" s="2" customFormat="1" ht="42" x14ac:dyDescent="0.35">
      <c r="A13" s="518" t="s">
        <v>155</v>
      </c>
      <c r="B13" s="519"/>
      <c r="C13" s="519" t="s">
        <v>231</v>
      </c>
      <c r="D13" s="519" t="s">
        <v>232</v>
      </c>
      <c r="E13" s="520" t="s">
        <v>233</v>
      </c>
      <c r="O13" s="496"/>
      <c r="P13" s="496"/>
      <c r="Q13" s="496"/>
      <c r="R13" s="496"/>
      <c r="S13" s="496"/>
      <c r="T13" s="496"/>
      <c r="U13" s="496"/>
    </row>
    <row r="14" spans="1:21" s="2" customFormat="1" ht="21.75" thickBot="1" x14ac:dyDescent="0.4">
      <c r="A14" s="282"/>
      <c r="B14" s="521"/>
      <c r="C14" s="522"/>
      <c r="D14" s="522"/>
      <c r="E14" s="523"/>
      <c r="F14" s="3"/>
      <c r="G14" s="524"/>
      <c r="H14" s="524"/>
      <c r="I14" s="524"/>
      <c r="J14" s="524"/>
      <c r="K14" s="524"/>
      <c r="L14" s="524"/>
      <c r="M14" s="524"/>
      <c r="N14" s="524"/>
      <c r="O14" s="496"/>
      <c r="P14" s="496"/>
      <c r="Q14" s="496"/>
      <c r="R14" s="496"/>
      <c r="S14" s="496"/>
      <c r="T14" s="496"/>
      <c r="U14" s="496"/>
    </row>
    <row r="15" spans="1:21" s="2" customFormat="1" x14ac:dyDescent="0.35">
      <c r="A15" s="525" t="s">
        <v>234</v>
      </c>
      <c r="B15" s="526"/>
      <c r="C15" s="156">
        <f>'19 ei felh. terv bevétel'!C11</f>
        <v>2191296</v>
      </c>
      <c r="D15" s="156">
        <f>C11</f>
        <v>2111232</v>
      </c>
      <c r="E15" s="527">
        <f>+B15+C15-D15</f>
        <v>80064</v>
      </c>
      <c r="F15" s="3"/>
      <c r="G15" s="3"/>
      <c r="H15" s="3"/>
      <c r="I15" s="3"/>
      <c r="J15" s="3"/>
      <c r="K15" s="3"/>
      <c r="L15" s="3"/>
      <c r="M15" s="3"/>
      <c r="O15" s="496"/>
      <c r="P15" s="496"/>
      <c r="Q15" s="496"/>
      <c r="R15" s="496"/>
      <c r="S15" s="496"/>
      <c r="T15" s="496"/>
      <c r="U15" s="496"/>
    </row>
    <row r="16" spans="1:21" s="2" customFormat="1" x14ac:dyDescent="0.35">
      <c r="A16" s="528" t="s">
        <v>235</v>
      </c>
      <c r="B16" s="18"/>
      <c r="C16" s="156">
        <f>'19 ei felh. terv bevétel'!D11</f>
        <v>1268704</v>
      </c>
      <c r="D16" s="156">
        <f>D11</f>
        <v>1274634</v>
      </c>
      <c r="E16" s="529">
        <f t="shared" ref="E16:E26" si="2">+E15+C16-D16</f>
        <v>74134</v>
      </c>
      <c r="F16" s="3"/>
      <c r="G16" s="3"/>
      <c r="H16" s="3"/>
      <c r="I16" s="3"/>
      <c r="J16" s="3"/>
      <c r="K16" s="3"/>
      <c r="L16" s="3"/>
      <c r="M16" s="3"/>
      <c r="O16" s="496"/>
      <c r="P16" s="496"/>
      <c r="Q16" s="496"/>
      <c r="R16" s="496"/>
      <c r="S16" s="496"/>
      <c r="T16" s="496"/>
      <c r="U16" s="496"/>
    </row>
    <row r="17" spans="1:21" s="2" customFormat="1" x14ac:dyDescent="0.35">
      <c r="A17" s="528" t="s">
        <v>203</v>
      </c>
      <c r="B17" s="18"/>
      <c r="C17" s="156">
        <f>'19 ei felh. terv bevétel'!E11</f>
        <v>13143606</v>
      </c>
      <c r="D17" s="156">
        <f>E11</f>
        <v>2424634</v>
      </c>
      <c r="E17" s="529">
        <f t="shared" si="2"/>
        <v>10793106</v>
      </c>
      <c r="F17" s="3"/>
      <c r="G17" s="3"/>
      <c r="H17" s="3"/>
      <c r="I17" s="3"/>
      <c r="J17" s="3"/>
      <c r="K17" s="3"/>
      <c r="L17" s="3"/>
      <c r="M17" s="3"/>
      <c r="O17" s="496"/>
      <c r="P17" s="496"/>
      <c r="Q17" s="496"/>
      <c r="R17" s="496"/>
      <c r="S17" s="496"/>
      <c r="T17" s="496"/>
      <c r="U17" s="496"/>
    </row>
    <row r="18" spans="1:21" s="2" customFormat="1" x14ac:dyDescent="0.35">
      <c r="A18" s="528" t="s">
        <v>204</v>
      </c>
      <c r="B18" s="18"/>
      <c r="C18" s="156">
        <f>'19 ei felh. terv bevétel'!F11</f>
        <v>1268583</v>
      </c>
      <c r="D18" s="156">
        <f>F11</f>
        <v>4026382</v>
      </c>
      <c r="E18" s="529">
        <f t="shared" si="2"/>
        <v>8035307</v>
      </c>
      <c r="F18" s="3"/>
      <c r="G18" s="3"/>
      <c r="H18" s="3"/>
      <c r="I18" s="3"/>
      <c r="J18" s="3"/>
      <c r="K18" s="3"/>
      <c r="L18" s="3"/>
      <c r="M18" s="3"/>
      <c r="O18" s="496"/>
      <c r="P18" s="496"/>
      <c r="Q18" s="496"/>
      <c r="R18" s="496"/>
      <c r="S18" s="496"/>
      <c r="T18" s="496"/>
      <c r="U18" s="496"/>
    </row>
    <row r="19" spans="1:21" s="2" customFormat="1" x14ac:dyDescent="0.35">
      <c r="A19" s="528" t="s">
        <v>205</v>
      </c>
      <c r="B19" s="18"/>
      <c r="C19" s="156">
        <f>'19 ei felh. terv bevétel'!G11</f>
        <v>3332583</v>
      </c>
      <c r="D19" s="156">
        <f>G11</f>
        <v>2690634</v>
      </c>
      <c r="E19" s="529">
        <f t="shared" si="2"/>
        <v>8677256</v>
      </c>
      <c r="F19" s="3"/>
      <c r="G19" s="3"/>
      <c r="H19" s="3"/>
      <c r="I19" s="3"/>
      <c r="J19" s="3"/>
      <c r="K19" s="3"/>
      <c r="L19" s="3"/>
      <c r="M19" s="3"/>
      <c r="O19" s="496"/>
      <c r="P19" s="496"/>
      <c r="Q19" s="496"/>
      <c r="R19" s="496"/>
      <c r="S19" s="496"/>
      <c r="T19" s="496"/>
      <c r="U19" s="496"/>
    </row>
    <row r="20" spans="1:21" s="2" customFormat="1" x14ac:dyDescent="0.35">
      <c r="A20" s="528" t="s">
        <v>236</v>
      </c>
      <c r="B20" s="18"/>
      <c r="C20" s="156">
        <f>'19 ei felh. terv bevétel'!H11</f>
        <v>934583</v>
      </c>
      <c r="D20" s="156">
        <f>H11</f>
        <v>6883634</v>
      </c>
      <c r="E20" s="529">
        <f t="shared" si="2"/>
        <v>2728205</v>
      </c>
      <c r="F20" s="3"/>
      <c r="G20" s="3"/>
      <c r="H20" s="3"/>
      <c r="I20" s="3"/>
      <c r="J20" s="3"/>
      <c r="K20" s="3"/>
      <c r="L20" s="3"/>
      <c r="M20" s="3"/>
      <c r="O20" s="496"/>
      <c r="P20" s="496"/>
      <c r="Q20" s="496"/>
      <c r="R20" s="496"/>
      <c r="S20" s="496"/>
      <c r="T20" s="496"/>
      <c r="U20" s="496"/>
    </row>
    <row r="21" spans="1:21" s="2" customFormat="1" x14ac:dyDescent="0.35">
      <c r="A21" s="528" t="s">
        <v>237</v>
      </c>
      <c r="B21" s="18"/>
      <c r="C21" s="156">
        <f>'19 ei felh. terv bevétel'!I11</f>
        <v>1884583</v>
      </c>
      <c r="D21" s="156">
        <f>I11</f>
        <v>3386228</v>
      </c>
      <c r="E21" s="529">
        <f t="shared" si="2"/>
        <v>1226560</v>
      </c>
      <c r="F21" s="3"/>
      <c r="G21" s="3"/>
      <c r="H21" s="3"/>
      <c r="I21" s="3"/>
      <c r="J21" s="3"/>
      <c r="K21" s="3"/>
      <c r="L21" s="3"/>
      <c r="M21" s="3"/>
      <c r="O21" s="496"/>
      <c r="P21" s="496"/>
      <c r="Q21" s="496"/>
      <c r="R21" s="496"/>
      <c r="S21" s="496"/>
      <c r="T21" s="496"/>
      <c r="U21" s="496"/>
    </row>
    <row r="22" spans="1:21" s="2" customFormat="1" x14ac:dyDescent="0.35">
      <c r="A22" s="528" t="s">
        <v>238</v>
      </c>
      <c r="B22" s="18"/>
      <c r="C22" s="156">
        <f>'19 ei felh. terv bevétel'!J11</f>
        <v>1934583</v>
      </c>
      <c r="D22" s="156">
        <f>J11</f>
        <v>3140634</v>
      </c>
      <c r="E22" s="529">
        <f t="shared" si="2"/>
        <v>20509</v>
      </c>
      <c r="F22" s="3"/>
      <c r="G22" s="3"/>
      <c r="H22" s="3"/>
      <c r="I22" s="3"/>
      <c r="J22" s="3"/>
      <c r="K22" s="3"/>
      <c r="L22" s="3"/>
      <c r="M22" s="3"/>
      <c r="O22" s="496"/>
      <c r="P22" s="496"/>
      <c r="Q22" s="496"/>
      <c r="R22" s="496"/>
      <c r="S22" s="496"/>
      <c r="T22" s="496"/>
      <c r="U22" s="496"/>
    </row>
    <row r="23" spans="1:21" s="2" customFormat="1" x14ac:dyDescent="0.35">
      <c r="A23" s="528" t="s">
        <v>206</v>
      </c>
      <c r="B23" s="18"/>
      <c r="C23" s="156">
        <f>'19 ei felh. terv bevétel'!K11</f>
        <v>7322298</v>
      </c>
      <c r="D23" s="156">
        <f>K11</f>
        <v>3013380</v>
      </c>
      <c r="E23" s="529">
        <f t="shared" si="2"/>
        <v>4329427</v>
      </c>
      <c r="F23" s="3"/>
      <c r="G23" s="3"/>
      <c r="H23" s="3"/>
      <c r="I23" s="3"/>
      <c r="J23" s="3"/>
      <c r="K23" s="3"/>
      <c r="L23" s="3"/>
      <c r="M23" s="3"/>
      <c r="O23" s="3"/>
    </row>
    <row r="24" spans="1:21" s="2" customFormat="1" x14ac:dyDescent="0.35">
      <c r="A24" s="528" t="s">
        <v>208</v>
      </c>
      <c r="B24" s="18"/>
      <c r="C24" s="156">
        <f>'19 ei felh. terv bevétel'!L11</f>
        <v>7934707</v>
      </c>
      <c r="D24" s="156">
        <f>L11</f>
        <v>10625181</v>
      </c>
      <c r="E24" s="529">
        <f t="shared" si="2"/>
        <v>1638953</v>
      </c>
      <c r="F24" s="3"/>
      <c r="G24" s="3"/>
      <c r="H24" s="3"/>
      <c r="I24" s="3"/>
      <c r="J24" s="3"/>
      <c r="K24" s="3"/>
      <c r="L24" s="3"/>
      <c r="M24" s="3"/>
      <c r="O24" s="3"/>
    </row>
    <row r="25" spans="1:21" s="2" customFormat="1" x14ac:dyDescent="0.35">
      <c r="A25" s="528" t="s">
        <v>239</v>
      </c>
      <c r="B25" s="18"/>
      <c r="C25" s="156">
        <f>'19 ei felh. terv bevétel'!M11</f>
        <v>5435067</v>
      </c>
      <c r="D25" s="156">
        <f>M11</f>
        <v>7040395</v>
      </c>
      <c r="E25" s="529">
        <f t="shared" si="2"/>
        <v>33625</v>
      </c>
      <c r="F25" s="3"/>
      <c r="G25" s="3"/>
      <c r="H25" s="3"/>
      <c r="I25" s="3"/>
      <c r="J25" s="3"/>
      <c r="K25" s="3"/>
      <c r="L25" s="3"/>
      <c r="M25" s="3"/>
      <c r="O25" s="3"/>
    </row>
    <row r="26" spans="1:21" s="2" customFormat="1" ht="21.75" thickBot="1" x14ac:dyDescent="0.4">
      <c r="A26" s="530" t="s">
        <v>240</v>
      </c>
      <c r="B26" s="531"/>
      <c r="C26" s="532">
        <f>'19 ei felh. terv bevétel'!N11</f>
        <v>12242257</v>
      </c>
      <c r="D26" s="532">
        <f>N11</f>
        <v>12275882</v>
      </c>
      <c r="E26" s="539">
        <f t="shared" si="2"/>
        <v>0</v>
      </c>
      <c r="F26" s="3"/>
      <c r="G26" s="3"/>
      <c r="H26" s="3"/>
      <c r="I26" s="3"/>
      <c r="J26" s="3"/>
      <c r="K26" s="3"/>
      <c r="L26" s="3"/>
      <c r="M26" s="3"/>
      <c r="O26" s="3"/>
    </row>
    <row r="27" spans="1:21" s="2" customFormat="1" ht="21.75" thickBot="1" x14ac:dyDescent="0.4">
      <c r="A27" s="533" t="s">
        <v>186</v>
      </c>
      <c r="B27" s="534"/>
      <c r="C27" s="535">
        <f>SUM(C15:C26)</f>
        <v>58892850</v>
      </c>
      <c r="D27" s="535">
        <f>SUM(D15:D26)</f>
        <v>58892850</v>
      </c>
      <c r="E27" s="536">
        <f>+C27-D27</f>
        <v>0</v>
      </c>
      <c r="G27" s="3"/>
      <c r="H27" s="3"/>
      <c r="I27" s="3"/>
      <c r="J27" s="3"/>
      <c r="K27" s="3"/>
      <c r="L27" s="3"/>
      <c r="M27" s="3"/>
      <c r="O27" s="3"/>
    </row>
    <row r="30" spans="1:21" x14ac:dyDescent="0.35">
      <c r="B30" s="496"/>
      <c r="C30" s="537"/>
      <c r="D30" s="537"/>
      <c r="E30" s="537"/>
      <c r="F30" s="537"/>
      <c r="G30" s="537"/>
      <c r="H30" s="537"/>
      <c r="I30" s="537"/>
      <c r="J30" s="537"/>
      <c r="K30" s="537"/>
      <c r="L30" s="537"/>
      <c r="M30" s="537"/>
      <c r="N30" s="537"/>
    </row>
    <row r="31" spans="1:21" x14ac:dyDescent="0.35">
      <c r="C31" s="537"/>
      <c r="D31" s="537"/>
      <c r="E31" s="537"/>
      <c r="F31" s="537"/>
      <c r="G31" s="537"/>
      <c r="H31" s="537"/>
      <c r="I31" s="537"/>
      <c r="J31" s="537"/>
      <c r="K31" s="537"/>
      <c r="L31" s="537"/>
      <c r="M31" s="537"/>
      <c r="N31" s="537"/>
    </row>
  </sheetData>
  <mergeCells count="1">
    <mergeCell ref="A2:B2"/>
  </mergeCells>
  <printOptions horizontalCentered="1" verticalCentered="1"/>
  <pageMargins left="0.19685039370078741" right="0.19685039370078741" top="0.15748031496062992" bottom="0" header="0.15748031496062992" footer="0.15748031496062992"/>
  <pageSetup paperSize="9" scale="43" orientation="landscape" r:id="rId1"/>
  <headerFooter alignWithMargins="0">
    <oddHeader xml:space="preserve">&amp;R&amp;"-,Félkövér"&amp;12 19. melléklet a 14/2026. (IX.25.) önkormányzati rendelethez
"19. melléklet a 3/2026.(II.27.) önkormányzati rendelethez"
 &amp;"Times New Roman CE,Félkövér"
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20</vt:i4>
      </vt:variant>
      <vt:variant>
        <vt:lpstr>Névvel ellátott tartományok</vt:lpstr>
      </vt:variant>
      <vt:variant>
        <vt:i4>24</vt:i4>
      </vt:variant>
    </vt:vector>
  </HeadingPairs>
  <TitlesOfParts>
    <vt:vector size="44" baseType="lpstr">
      <vt:lpstr>1 kiemelt ei. </vt:lpstr>
      <vt:lpstr>2 mérleg</vt:lpstr>
      <vt:lpstr>3 működési bevételek</vt:lpstr>
      <vt:lpstr>4 intézményi bevétel</vt:lpstr>
      <vt:lpstr>5 normatíva</vt:lpstr>
      <vt:lpstr>6 intézményi kiadás</vt:lpstr>
      <vt:lpstr>7 létszám</vt:lpstr>
      <vt:lpstr>8 oktatás</vt:lpstr>
      <vt:lpstr>9 kultúra</vt:lpstr>
      <vt:lpstr>10 szociális</vt:lpstr>
      <vt:lpstr>11 egészségügy</vt:lpstr>
      <vt:lpstr>12 gyermekvédelm</vt:lpstr>
      <vt:lpstr>13 egyéb</vt:lpstr>
      <vt:lpstr>14 sport</vt:lpstr>
      <vt:lpstr>15 város.ü.</vt:lpstr>
      <vt:lpstr>16 út-híd</vt:lpstr>
      <vt:lpstr>17 felhalm.bevétel </vt:lpstr>
      <vt:lpstr>18 felhalm.kiadás</vt:lpstr>
      <vt:lpstr>19 ei felh. terv bevétel</vt:lpstr>
      <vt:lpstr>19 ei. felh.terv kiadás</vt:lpstr>
      <vt:lpstr>'13 egyéb'!Nyomtatási_cím</vt:lpstr>
      <vt:lpstr>'3 működési bevételek'!Nyomtatási_cím</vt:lpstr>
      <vt:lpstr>'5 normatíva'!Nyomtatási_cím</vt:lpstr>
      <vt:lpstr>'7 létszám'!Nyomtatási_cím</vt:lpstr>
      <vt:lpstr>'1 kiemelt ei. '!Nyomtatási_terület</vt:lpstr>
      <vt:lpstr>'10 szociális'!Nyomtatási_terület</vt:lpstr>
      <vt:lpstr>'11 egészségügy'!Nyomtatási_terület</vt:lpstr>
      <vt:lpstr>'12 gyermekvédelm'!Nyomtatási_terület</vt:lpstr>
      <vt:lpstr>'13 egyéb'!Nyomtatási_terület</vt:lpstr>
      <vt:lpstr>'14 sport'!Nyomtatási_terület</vt:lpstr>
      <vt:lpstr>'15 város.ü.'!Nyomtatási_terület</vt:lpstr>
      <vt:lpstr>'16 út-híd'!Nyomtatási_terület</vt:lpstr>
      <vt:lpstr>'17 felhalm.bevétel '!Nyomtatási_terület</vt:lpstr>
      <vt:lpstr>'18 felhalm.kiadás'!Nyomtatási_terület</vt:lpstr>
      <vt:lpstr>'19 ei felh. terv bevétel'!Nyomtatási_terület</vt:lpstr>
      <vt:lpstr>'19 ei. felh.terv kiadás'!Nyomtatási_terület</vt:lpstr>
      <vt:lpstr>'2 mérleg'!Nyomtatási_terület</vt:lpstr>
      <vt:lpstr>'3 működési bevételek'!Nyomtatási_terület</vt:lpstr>
      <vt:lpstr>'4 intézményi bevétel'!Nyomtatási_terület</vt:lpstr>
      <vt:lpstr>'5 normatíva'!Nyomtatási_terület</vt:lpstr>
      <vt:lpstr>'6 intézményi kiadás'!Nyomtatási_terület</vt:lpstr>
      <vt:lpstr>'7 létszám'!Nyomtatási_terület</vt:lpstr>
      <vt:lpstr>'8 oktatás'!Nyomtatási_terület</vt:lpstr>
      <vt:lpstr>'9 kultúra'!Nyomtatási_terület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Stéger Gábor</dc:creator>
  <cp:lastModifiedBy>Szalai Gergő dr.</cp:lastModifiedBy>
  <cp:lastPrinted>2026-09-25T07:01:18Z</cp:lastPrinted>
  <dcterms:created xsi:type="dcterms:W3CDTF">1998-01-10T07:52:54Z</dcterms:created>
  <dcterms:modified xsi:type="dcterms:W3CDTF">2026-09-25T07:04:18Z</dcterms:modified>
</cp:coreProperties>
</file>