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6\"/>
    </mc:Choice>
  </mc:AlternateContent>
  <xr:revisionPtr revIDLastSave="0" documentId="13_ncr:1_{DF873D49-2D4B-436A-82C8-D0D8F3412841}" xr6:coauthVersionLast="47" xr6:coauthVersionMax="47" xr10:uidLastSave="{00000000-0000-0000-0000-000000000000}"/>
  <bookViews>
    <workbookView xWindow="-120" yWindow="-120" windowWidth="29040" windowHeight="15720" tabRatio="697" firstSheet="17" activeTab="23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" sheetId="130" r:id="rId4"/>
    <sheet name="5 normatíva" sheetId="133" r:id="rId5"/>
    <sheet name="6 intézményi kiadások" sheetId="131" r:id="rId6"/>
    <sheet name="7 létszám előirányzat" sheetId="132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  <sheet name="20 közvetett támogatás" sheetId="90" r:id="rId21"/>
    <sheet name="21 uniós bevételek" sheetId="91" r:id="rId22"/>
    <sheet name="21 uniós kiadások" sheetId="92" r:id="rId23"/>
    <sheet name="22 versenyképes járás pr" sheetId="129" r:id="rId24"/>
  </sheets>
  <externalReferences>
    <externalReference r:id="rId25"/>
    <externalReference r:id="rId26"/>
    <externalReference r:id="rId27"/>
  </externalReferences>
  <definedNames>
    <definedName name="_xlnm._FilterDatabase" localSheetId="17" hidden="1">'18 felhalm.kiadás'!$A$4:$F$5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>#REF!</definedName>
    <definedName name="css" localSheetId="4">#REF!</definedName>
    <definedName name="css" localSheetId="6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 localSheetId="6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 localSheetId="6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 localSheetId="6">#REF!</definedName>
    <definedName name="gyj_k_">#REF!</definedName>
    <definedName name="h" localSheetId="4">#REF!</definedName>
    <definedName name="h">#REF!</definedName>
    <definedName name="kjz" localSheetId="4">#REF!</definedName>
    <definedName name="kjz" localSheetId="6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 localSheetId="6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 localSheetId="6">#REF!</definedName>
    <definedName name="nev_c">#REF!</definedName>
    <definedName name="nev_g" localSheetId="4">#REF!</definedName>
    <definedName name="nev_g" localSheetId="6">#REF!</definedName>
    <definedName name="nev_g">#REF!</definedName>
    <definedName name="nev_k" localSheetId="4">#REF!</definedName>
    <definedName name="nev_k" localSheetId="6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Area" localSheetId="0">'1 kiemelt ei. '!$A$1:$N$20</definedName>
    <definedName name="_xlnm.Print_Area" localSheetId="9">'10 szociális'!$A$1:$D$48</definedName>
    <definedName name="_xlnm.Print_Area" localSheetId="10">'11 egészségügy'!$A$1:$D$32</definedName>
    <definedName name="_xlnm.Print_Area" localSheetId="11">'12 gyermek és ifj.véd.'!$A$1:$D$23</definedName>
    <definedName name="_xlnm.Print_Area" localSheetId="12">'13 egyéb'!$A$1:$D$126</definedName>
    <definedName name="_xlnm.Print_Area" localSheetId="13">'14 sport'!$A$1:$D$28</definedName>
    <definedName name="_xlnm.Print_Area" localSheetId="14">'15 város.ü.'!$A$1:$D$32</definedName>
    <definedName name="_xlnm.Print_Area" localSheetId="15">'16 út-híd'!$A$1:$D$34</definedName>
    <definedName name="_xlnm.Print_Area" localSheetId="16">'17 felhalm.bevétel '!$A$1:$E$55</definedName>
    <definedName name="_xlnm.Print_Area" localSheetId="17">'18 felhalm.kiadás'!$A$1:$G$75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mérleg'!$A$1:$K$59</definedName>
    <definedName name="_xlnm.Print_Area" localSheetId="22">'21 uniós kiadások'!$A$1:$E$46</definedName>
    <definedName name="_xlnm.Print_Area" localSheetId="23">'22 versenyképes járás pr'!$A$1:$B$12</definedName>
    <definedName name="_xlnm.Print_Area" localSheetId="2">'3 működési bevételek'!$A$1:$H$145</definedName>
    <definedName name="_xlnm.Print_Area" localSheetId="3">'4 intézményi bevételek'!$A$1:$M$49</definedName>
    <definedName name="_xlnm.Print_Area" localSheetId="4">'5 normatíva'!$A$1:$D$88</definedName>
    <definedName name="_xlnm.Print_Area" localSheetId="5">'6 intézményi kiadások'!$A$1:$M$50</definedName>
    <definedName name="_xlnm.Print_Area" localSheetId="6">'7 létszám előirányzat'!$A$1:$J$52</definedName>
    <definedName name="_xlnm.Print_Area" localSheetId="7">'8 oktatás'!$A$1:$D$38</definedName>
    <definedName name="_xlnm.Print_Area" localSheetId="8">'9 kultúra'!$A$1:$D$78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>#REF!</definedName>
    <definedName name="Z_186732C5_520C_4E06_B066_B4F3F0A3E322_.wvu.PrintArea" localSheetId="9" hidden="1">'10 szociális'!$A$1:$A$36</definedName>
    <definedName name="Z_186732C5_520C_4E06_B066_B4F3F0A3E322_.wvu.PrintArea" localSheetId="10" hidden="1">'11 egészségügy'!$A$1:$A$19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egyéb'!$A$1:$A$114</definedName>
    <definedName name="Z_186732C5_520C_4E06_B066_B4F3F0A3E322_.wvu.PrintArea" localSheetId="13" hidden="1">'14 sport'!$A$1:$A$25</definedName>
    <definedName name="Z_186732C5_520C_4E06_B066_B4F3F0A3E322_.wvu.PrintArea" localSheetId="14" hidden="1">'15 város.ü.'!$A$1:$A$23</definedName>
    <definedName name="Z_186732C5_520C_4E06_B066_B4F3F0A3E322_.wvu.PrintArea" localSheetId="15" hidden="1">'16 út-híd'!$A$1:$A$30</definedName>
    <definedName name="Z_186732C5_520C_4E06_B066_B4F3F0A3E322_.wvu.PrintArea" localSheetId="16" hidden="1">'17 felhalm.bevétel '!$A$1:$B$56</definedName>
    <definedName name="Z_186732C5_520C_4E06_B066_B4F3F0A3E322_.wvu.PrintArea" localSheetId="17" hidden="1">'18 felhalm.kiadás'!$A$1:$B$75</definedName>
    <definedName name="Z_186732C5_520C_4E06_B066_B4F3F0A3E322_.wvu.PrintArea" localSheetId="1" hidden="1">'2 mérleg'!$A$2:$H$59</definedName>
    <definedName name="Z_186732C5_520C_4E06_B066_B4F3F0A3E322_.wvu.PrintArea" localSheetId="21" hidden="1">'21 uniós bevételek'!#REF!</definedName>
    <definedName name="Z_186732C5_520C_4E06_B066_B4F3F0A3E322_.wvu.PrintArea" localSheetId="22" hidden="1">'21 uniós kiadások'!$A$1:$B$3</definedName>
    <definedName name="Z_186732C5_520C_4E06_B066_B4F3F0A3E322_.wvu.PrintArea" localSheetId="23" hidden="1">'22 versenyképes járás pr'!$A$1:$A$4</definedName>
    <definedName name="Z_186732C5_520C_4E06_B066_B4F3F0A3E322_.wvu.PrintArea" localSheetId="2" hidden="1">'3 működési bevételek'!$A$1:$E$144</definedName>
    <definedName name="Z_186732C5_520C_4E06_B066_B4F3F0A3E322_.wvu.PrintArea" localSheetId="7" hidden="1">'8 oktatás'!$A$1:$A$25</definedName>
    <definedName name="Z_186732C5_520C_4E06_B066_B4F3F0A3E322_.wvu.PrintArea" localSheetId="8" hidden="1">'9 kultúra'!$A$1:$A$60</definedName>
    <definedName name="Z_6D4B996F_8915_4E78_98C2_E7EAE9C4580C_.wvu.PrintArea" localSheetId="9" hidden="1">'10 szociális'!$A$1:$A$36</definedName>
    <definedName name="Z_6D4B996F_8915_4E78_98C2_E7EAE9C4580C_.wvu.PrintArea" localSheetId="10" hidden="1">'11 egészségügy'!$A$1:$A$19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egyéb'!$A$1:$A$114</definedName>
    <definedName name="Z_6D4B996F_8915_4E78_98C2_E7EAE9C4580C_.wvu.PrintArea" localSheetId="13" hidden="1">'14 sport'!$A$1:$A$25</definedName>
    <definedName name="Z_6D4B996F_8915_4E78_98C2_E7EAE9C4580C_.wvu.PrintArea" localSheetId="14" hidden="1">'15 város.ü.'!$A$1:$A$23</definedName>
    <definedName name="Z_6D4B996F_8915_4E78_98C2_E7EAE9C4580C_.wvu.PrintArea" localSheetId="15" hidden="1">'16 út-híd'!$A$1:$A$30</definedName>
    <definedName name="Z_6D4B996F_8915_4E78_98C2_E7EAE9C4580C_.wvu.PrintArea" localSheetId="16" hidden="1">'17 felhalm.bevétel '!$A$1:$B$56</definedName>
    <definedName name="Z_6D4B996F_8915_4E78_98C2_E7EAE9C4580C_.wvu.PrintArea" localSheetId="17" hidden="1">'18 felhalm.kiadás'!$A$1:$B$75</definedName>
    <definedName name="Z_6D4B996F_8915_4E78_98C2_E7EAE9C4580C_.wvu.PrintArea" localSheetId="1" hidden="1">'2 mérleg'!$A$2:$H$59</definedName>
    <definedName name="Z_6D4B996F_8915_4E78_98C2_E7EAE9C4580C_.wvu.PrintArea" localSheetId="21" hidden="1">'21 uniós bevételek'!#REF!</definedName>
    <definedName name="Z_6D4B996F_8915_4E78_98C2_E7EAE9C4580C_.wvu.PrintArea" localSheetId="22" hidden="1">'21 uniós kiadások'!$A$1:$B$3</definedName>
    <definedName name="Z_6D4B996F_8915_4E78_98C2_E7EAE9C4580C_.wvu.PrintArea" localSheetId="23" hidden="1">'22 versenyképes járás pr'!$A$1:$A$4</definedName>
    <definedName name="Z_6D4B996F_8915_4E78_98C2_E7EAE9C4580C_.wvu.PrintArea" localSheetId="2" hidden="1">'3 működési bevételek'!$A$1:$E$144</definedName>
    <definedName name="Z_6D4B996F_8915_4E78_98C2_E7EAE9C4580C_.wvu.PrintArea" localSheetId="7" hidden="1">'8 oktatás'!$A$1:$A$25</definedName>
    <definedName name="Z_6D4B996F_8915_4E78_98C2_E7EAE9C4580C_.wvu.PrintArea" localSheetId="8" hidden="1">'9 kultúra'!$A$1:$A$60</definedName>
  </definedNames>
  <calcPr calcId="191029"/>
  <customWorkbookViews>
    <customWorkbookView name="Tóth László - Egyéni látvány" guid="{6D4B996F-8915-4E78-98C2-E7EAE9C4580C}" mergeInterval="0" personalView="1" maximized="1" windowWidth="1020" windowHeight="597" tabRatio="738" activeSheetId="8"/>
    <customWorkbookView name="Szakács Eszter - Egyéni látvány" guid="{186732C5-520C-4E06-B066-B4F3F0A3E322}" mergeInterval="0" personalView="1" maximized="1" windowWidth="1020" windowHeight="594" tabRatio="73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1" l="1"/>
  <c r="D16" i="11"/>
  <c r="B16" i="11"/>
  <c r="E41" i="91"/>
  <c r="D41" i="91"/>
  <c r="C41" i="91"/>
  <c r="E43" i="54"/>
  <c r="C43" i="54"/>
  <c r="H70" i="52"/>
  <c r="F70" i="52"/>
  <c r="D75" i="23"/>
  <c r="E75" i="23"/>
  <c r="F75" i="23"/>
  <c r="G75" i="23"/>
  <c r="C75" i="23"/>
  <c r="D87" i="133"/>
  <c r="D86" i="133"/>
  <c r="C80" i="133"/>
  <c r="C81" i="133" s="1"/>
  <c r="C82" i="133" s="1"/>
  <c r="B80" i="133"/>
  <c r="B81" i="133" s="1"/>
  <c r="B82" i="133" s="1"/>
  <c r="D79" i="133"/>
  <c r="D78" i="133"/>
  <c r="D77" i="133"/>
  <c r="D76" i="133"/>
  <c r="D75" i="133"/>
  <c r="C72" i="133"/>
  <c r="B72" i="133"/>
  <c r="D71" i="133"/>
  <c r="D70" i="133"/>
  <c r="C68" i="133"/>
  <c r="B68" i="133"/>
  <c r="D67" i="133"/>
  <c r="D66" i="133"/>
  <c r="D65" i="133"/>
  <c r="D68" i="133" s="1"/>
  <c r="C61" i="133"/>
  <c r="B61" i="133"/>
  <c r="D60" i="133"/>
  <c r="D59" i="133"/>
  <c r="C57" i="133"/>
  <c r="B57" i="133"/>
  <c r="D56" i="133"/>
  <c r="D55" i="133"/>
  <c r="D54" i="133"/>
  <c r="D57" i="133" s="1"/>
  <c r="C51" i="133"/>
  <c r="C62" i="133" s="1"/>
  <c r="B51" i="133"/>
  <c r="D50" i="133"/>
  <c r="D49" i="133"/>
  <c r="D48" i="133"/>
  <c r="D47" i="133"/>
  <c r="D46" i="133"/>
  <c r="D45" i="133"/>
  <c r="D44" i="133"/>
  <c r="D43" i="133"/>
  <c r="B40" i="133"/>
  <c r="D39" i="133"/>
  <c r="D38" i="133"/>
  <c r="D37" i="133"/>
  <c r="D36" i="133"/>
  <c r="D35" i="133"/>
  <c r="D34" i="133"/>
  <c r="D33" i="133"/>
  <c r="D32" i="133"/>
  <c r="D31" i="133"/>
  <c r="D30" i="133"/>
  <c r="C29" i="133"/>
  <c r="D29" i="133" s="1"/>
  <c r="D28" i="133"/>
  <c r="D27" i="133"/>
  <c r="D26" i="133"/>
  <c r="C24" i="133"/>
  <c r="C40" i="133" s="1"/>
  <c r="D23" i="133"/>
  <c r="D24" i="133" s="1"/>
  <c r="D22" i="133"/>
  <c r="D21" i="133"/>
  <c r="D20" i="133"/>
  <c r="D19" i="133"/>
  <c r="D18" i="133"/>
  <c r="D17" i="133"/>
  <c r="C14" i="133"/>
  <c r="B14" i="133"/>
  <c r="D13" i="133"/>
  <c r="D12" i="133"/>
  <c r="D11" i="133"/>
  <c r="D10" i="133"/>
  <c r="D9" i="133"/>
  <c r="D8" i="133"/>
  <c r="D7" i="133"/>
  <c r="D6" i="133"/>
  <c r="D14" i="133" l="1"/>
  <c r="B62" i="133"/>
  <c r="D61" i="133"/>
  <c r="D51" i="133"/>
  <c r="D80" i="133"/>
  <c r="D81" i="133" s="1"/>
  <c r="D82" i="133" s="1"/>
  <c r="D72" i="133"/>
  <c r="D40" i="133"/>
  <c r="C73" i="133"/>
  <c r="B73" i="133"/>
  <c r="D62" i="133" l="1"/>
  <c r="D73" i="133" s="1"/>
  <c r="D83" i="133" s="1"/>
  <c r="C83" i="133"/>
  <c r="C88" i="133"/>
  <c r="B83" i="133"/>
  <c r="B88" i="133"/>
  <c r="D88" i="133" l="1"/>
  <c r="J46" i="132"/>
  <c r="I46" i="132"/>
  <c r="H46" i="132"/>
  <c r="G46" i="132"/>
  <c r="F46" i="132"/>
  <c r="E46" i="132"/>
  <c r="D46" i="132"/>
  <c r="C45" i="132"/>
  <c r="B45" i="132"/>
  <c r="C44" i="132"/>
  <c r="B44" i="132"/>
  <c r="C43" i="132"/>
  <c r="B43" i="132"/>
  <c r="C41" i="132"/>
  <c r="B41" i="132"/>
  <c r="C39" i="132"/>
  <c r="B39" i="132"/>
  <c r="C37" i="132"/>
  <c r="B37" i="132"/>
  <c r="J35" i="132"/>
  <c r="J47" i="132" s="1"/>
  <c r="I35" i="132"/>
  <c r="I47" i="132" s="1"/>
  <c r="H35" i="132"/>
  <c r="G35" i="132"/>
  <c r="G47" i="132" s="1"/>
  <c r="F35" i="132"/>
  <c r="F47" i="132" s="1"/>
  <c r="E35" i="132"/>
  <c r="D35" i="132"/>
  <c r="C34" i="132"/>
  <c r="B34" i="132"/>
  <c r="C33" i="132"/>
  <c r="B33" i="132"/>
  <c r="C32" i="132"/>
  <c r="B32" i="132"/>
  <c r="C31" i="132"/>
  <c r="B31" i="132"/>
  <c r="C27" i="132"/>
  <c r="B27" i="132"/>
  <c r="J26" i="132"/>
  <c r="J28" i="132" s="1"/>
  <c r="I26" i="132"/>
  <c r="I28" i="132" s="1"/>
  <c r="H26" i="132"/>
  <c r="H28" i="132" s="1"/>
  <c r="G26" i="132"/>
  <c r="G28" i="132" s="1"/>
  <c r="F26" i="132"/>
  <c r="F28" i="132" s="1"/>
  <c r="E26" i="132"/>
  <c r="E28" i="132" s="1"/>
  <c r="D26" i="132"/>
  <c r="D28" i="132" s="1"/>
  <c r="C25" i="132"/>
  <c r="B25" i="132"/>
  <c r="C24" i="132"/>
  <c r="B24" i="132"/>
  <c r="C23" i="132"/>
  <c r="B23" i="132"/>
  <c r="C22" i="132"/>
  <c r="B22" i="132"/>
  <c r="C21" i="132"/>
  <c r="B21" i="132"/>
  <c r="C20" i="132"/>
  <c r="B20" i="132"/>
  <c r="C19" i="132"/>
  <c r="B19" i="132"/>
  <c r="C18" i="132"/>
  <c r="B18" i="132"/>
  <c r="C17" i="132"/>
  <c r="B17" i="132"/>
  <c r="C16" i="132"/>
  <c r="B16" i="132"/>
  <c r="C15" i="132"/>
  <c r="B15" i="132"/>
  <c r="C14" i="132"/>
  <c r="B14" i="132"/>
  <c r="C13" i="132"/>
  <c r="B13" i="132"/>
  <c r="C12" i="132"/>
  <c r="B12" i="132"/>
  <c r="C11" i="132"/>
  <c r="B11" i="132"/>
  <c r="C10" i="132"/>
  <c r="B10" i="132"/>
  <c r="C9" i="132"/>
  <c r="B9" i="132"/>
  <c r="C8" i="132"/>
  <c r="B8" i="132"/>
  <c r="K48" i="131"/>
  <c r="K47" i="131"/>
  <c r="J47" i="131"/>
  <c r="I47" i="131"/>
  <c r="F47" i="131"/>
  <c r="E47" i="131"/>
  <c r="D47" i="131"/>
  <c r="C47" i="131"/>
  <c r="B47" i="131"/>
  <c r="L46" i="131"/>
  <c r="G46" i="131"/>
  <c r="M46" i="131" s="1"/>
  <c r="L45" i="131"/>
  <c r="G45" i="131"/>
  <c r="L44" i="131"/>
  <c r="L47" i="131" s="1"/>
  <c r="G44" i="131"/>
  <c r="L42" i="131"/>
  <c r="G42" i="131"/>
  <c r="M42" i="131" s="1"/>
  <c r="L40" i="131"/>
  <c r="G40" i="131"/>
  <c r="M40" i="131" s="1"/>
  <c r="L38" i="131"/>
  <c r="G38" i="131"/>
  <c r="M38" i="131" s="1"/>
  <c r="K36" i="131"/>
  <c r="J36" i="131"/>
  <c r="I36" i="131"/>
  <c r="F36" i="131"/>
  <c r="E36" i="131"/>
  <c r="D36" i="131"/>
  <c r="D48" i="131" s="1"/>
  <c r="C36" i="131"/>
  <c r="C48" i="131" s="1"/>
  <c r="B36" i="131"/>
  <c r="B48" i="131" s="1"/>
  <c r="L35" i="131"/>
  <c r="G35" i="131"/>
  <c r="M35" i="131" s="1"/>
  <c r="L34" i="131"/>
  <c r="G34" i="131"/>
  <c r="L33" i="131"/>
  <c r="G33" i="131"/>
  <c r="L32" i="131"/>
  <c r="G32" i="131"/>
  <c r="L28" i="131"/>
  <c r="G28" i="131"/>
  <c r="M28" i="131" s="1"/>
  <c r="K27" i="131"/>
  <c r="K29" i="131" s="1"/>
  <c r="J27" i="131"/>
  <c r="J29" i="131" s="1"/>
  <c r="I27" i="131"/>
  <c r="I29" i="131" s="1"/>
  <c r="F27" i="131"/>
  <c r="F29" i="131" s="1"/>
  <c r="E27" i="131"/>
  <c r="E29" i="131" s="1"/>
  <c r="D27" i="131"/>
  <c r="D29" i="131" s="1"/>
  <c r="C27" i="131"/>
  <c r="C29" i="131" s="1"/>
  <c r="B27" i="131"/>
  <c r="B29" i="131" s="1"/>
  <c r="L26" i="131"/>
  <c r="G26" i="131"/>
  <c r="M26" i="131" s="1"/>
  <c r="L25" i="131"/>
  <c r="G25" i="131"/>
  <c r="M25" i="131" s="1"/>
  <c r="L24" i="131"/>
  <c r="G24" i="131"/>
  <c r="L23" i="131"/>
  <c r="G23" i="131"/>
  <c r="M23" i="131" s="1"/>
  <c r="L22" i="131"/>
  <c r="G22" i="131"/>
  <c r="M22" i="131" s="1"/>
  <c r="L21" i="131"/>
  <c r="M21" i="131" s="1"/>
  <c r="G21" i="131"/>
  <c r="L20" i="131"/>
  <c r="G20" i="131"/>
  <c r="M20" i="131" s="1"/>
  <c r="L19" i="131"/>
  <c r="G19" i="131"/>
  <c r="M19" i="131" s="1"/>
  <c r="L18" i="131"/>
  <c r="G18" i="131"/>
  <c r="M18" i="131" s="1"/>
  <c r="L17" i="131"/>
  <c r="G17" i="131"/>
  <c r="M17" i="131" s="1"/>
  <c r="L16" i="131"/>
  <c r="G16" i="131"/>
  <c r="M16" i="131" s="1"/>
  <c r="L15" i="131"/>
  <c r="G15" i="131"/>
  <c r="M15" i="131" s="1"/>
  <c r="L14" i="131"/>
  <c r="G14" i="131"/>
  <c r="L13" i="131"/>
  <c r="G13" i="131"/>
  <c r="M13" i="131" s="1"/>
  <c r="L12" i="131"/>
  <c r="G12" i="131"/>
  <c r="M12" i="131" s="1"/>
  <c r="M11" i="131"/>
  <c r="L11" i="131"/>
  <c r="G11" i="131"/>
  <c r="L10" i="131"/>
  <c r="G10" i="131"/>
  <c r="M10" i="131" s="1"/>
  <c r="L9" i="131"/>
  <c r="G9" i="131"/>
  <c r="M9" i="131" s="1"/>
  <c r="J48" i="130"/>
  <c r="I48" i="130"/>
  <c r="B48" i="130"/>
  <c r="L47" i="130"/>
  <c r="J47" i="130"/>
  <c r="I47" i="130"/>
  <c r="H47" i="130"/>
  <c r="E47" i="130"/>
  <c r="D47" i="130"/>
  <c r="C47" i="130"/>
  <c r="B47" i="130"/>
  <c r="L46" i="130"/>
  <c r="K46" i="130"/>
  <c r="F46" i="130"/>
  <c r="M46" i="130" s="1"/>
  <c r="K45" i="130"/>
  <c r="F45" i="130"/>
  <c r="F47" i="130" s="1"/>
  <c r="K44" i="130"/>
  <c r="K47" i="130" s="1"/>
  <c r="F44" i="130"/>
  <c r="M44" i="130" s="1"/>
  <c r="L42" i="130"/>
  <c r="K42" i="130"/>
  <c r="F42" i="130"/>
  <c r="M42" i="130" s="1"/>
  <c r="M40" i="130"/>
  <c r="K40" i="130"/>
  <c r="F40" i="130"/>
  <c r="L38" i="130"/>
  <c r="K38" i="130"/>
  <c r="F38" i="130"/>
  <c r="M38" i="130" s="1"/>
  <c r="L36" i="130"/>
  <c r="L48" i="130" s="1"/>
  <c r="J36" i="130"/>
  <c r="I36" i="130"/>
  <c r="H36" i="130"/>
  <c r="H48" i="130" s="1"/>
  <c r="E36" i="130"/>
  <c r="E48" i="130" s="1"/>
  <c r="E49" i="130" s="1"/>
  <c r="D36" i="130"/>
  <c r="D48" i="130" s="1"/>
  <c r="C36" i="130"/>
  <c r="C48" i="130" s="1"/>
  <c r="B36" i="130"/>
  <c r="K35" i="130"/>
  <c r="F35" i="130"/>
  <c r="M35" i="130" s="1"/>
  <c r="K34" i="130"/>
  <c r="F34" i="130"/>
  <c r="M34" i="130" s="1"/>
  <c r="M33" i="130"/>
  <c r="K33" i="130"/>
  <c r="F33" i="130"/>
  <c r="K32" i="130"/>
  <c r="K36" i="130" s="1"/>
  <c r="K48" i="130" s="1"/>
  <c r="F32" i="130"/>
  <c r="F36" i="130" s="1"/>
  <c r="L29" i="130"/>
  <c r="L49" i="130" s="1"/>
  <c r="E29" i="130"/>
  <c r="D29" i="130"/>
  <c r="D49" i="130" s="1"/>
  <c r="C29" i="130"/>
  <c r="C49" i="130" s="1"/>
  <c r="B29" i="130"/>
  <c r="B49" i="130" s="1"/>
  <c r="K28" i="130"/>
  <c r="M28" i="130" s="1"/>
  <c r="F28" i="130"/>
  <c r="L27" i="130"/>
  <c r="J27" i="130"/>
  <c r="J29" i="130" s="1"/>
  <c r="J49" i="130" s="1"/>
  <c r="I27" i="130"/>
  <c r="I29" i="130" s="1"/>
  <c r="I49" i="130" s="1"/>
  <c r="H27" i="130"/>
  <c r="H29" i="130" s="1"/>
  <c r="E27" i="130"/>
  <c r="D27" i="130"/>
  <c r="C27" i="130"/>
  <c r="B27" i="130"/>
  <c r="K26" i="130"/>
  <c r="M26" i="130" s="1"/>
  <c r="F26" i="130"/>
  <c r="M25" i="130"/>
  <c r="K25" i="130"/>
  <c r="F25" i="130"/>
  <c r="K24" i="130"/>
  <c r="F24" i="130"/>
  <c r="M24" i="130" s="1"/>
  <c r="M23" i="130"/>
  <c r="K23" i="130"/>
  <c r="F23" i="130"/>
  <c r="K22" i="130"/>
  <c r="F22" i="130"/>
  <c r="M22" i="130" s="1"/>
  <c r="K21" i="130"/>
  <c r="F21" i="130"/>
  <c r="M21" i="130" s="1"/>
  <c r="K20" i="130"/>
  <c r="M20" i="130" s="1"/>
  <c r="F20" i="130"/>
  <c r="K19" i="130"/>
  <c r="F19" i="130"/>
  <c r="M19" i="130" s="1"/>
  <c r="K18" i="130"/>
  <c r="M18" i="130" s="1"/>
  <c r="F18" i="130"/>
  <c r="M17" i="130"/>
  <c r="K17" i="130"/>
  <c r="F17" i="130"/>
  <c r="K16" i="130"/>
  <c r="F16" i="130"/>
  <c r="M16" i="130" s="1"/>
  <c r="M15" i="130"/>
  <c r="K15" i="130"/>
  <c r="F15" i="130"/>
  <c r="K14" i="130"/>
  <c r="F14" i="130"/>
  <c r="M14" i="130" s="1"/>
  <c r="K13" i="130"/>
  <c r="F13" i="130"/>
  <c r="M13" i="130" s="1"/>
  <c r="K12" i="130"/>
  <c r="M12" i="130" s="1"/>
  <c r="F12" i="130"/>
  <c r="K11" i="130"/>
  <c r="F11" i="130"/>
  <c r="M11" i="130" s="1"/>
  <c r="K10" i="130"/>
  <c r="K27" i="130" s="1"/>
  <c r="K29" i="130" s="1"/>
  <c r="K49" i="130" s="1"/>
  <c r="F10" i="130"/>
  <c r="M9" i="130"/>
  <c r="K9" i="130"/>
  <c r="F9" i="130"/>
  <c r="F27" i="130" s="1"/>
  <c r="F29" i="130" s="1"/>
  <c r="D27" i="54"/>
  <c r="E27" i="54"/>
  <c r="C27" i="54"/>
  <c r="N7" i="64"/>
  <c r="M7" i="64"/>
  <c r="L7" i="64"/>
  <c r="K7" i="64"/>
  <c r="J7" i="64"/>
  <c r="I7" i="64"/>
  <c r="H7" i="64"/>
  <c r="G7" i="64"/>
  <c r="F7" i="64"/>
  <c r="E7" i="64"/>
  <c r="D7" i="64"/>
  <c r="C7" i="64"/>
  <c r="N7" i="63"/>
  <c r="M7" i="63"/>
  <c r="C10" i="63"/>
  <c r="H47" i="132" l="1"/>
  <c r="D47" i="132"/>
  <c r="D48" i="132" s="1"/>
  <c r="D50" i="132" s="1"/>
  <c r="E47" i="132"/>
  <c r="E48" i="132" s="1"/>
  <c r="E50" i="132" s="1"/>
  <c r="F48" i="132"/>
  <c r="F50" i="132" s="1"/>
  <c r="G48" i="132"/>
  <c r="G50" i="132" s="1"/>
  <c r="C26" i="132"/>
  <c r="C28" i="132" s="1"/>
  <c r="B26" i="132"/>
  <c r="B28" i="132" s="1"/>
  <c r="J48" i="132"/>
  <c r="J50" i="132" s="1"/>
  <c r="B35" i="132"/>
  <c r="B46" i="132"/>
  <c r="D49" i="131"/>
  <c r="M32" i="131"/>
  <c r="E48" i="131"/>
  <c r="E49" i="131" s="1"/>
  <c r="F48" i="131"/>
  <c r="F49" i="131" s="1"/>
  <c r="K49" i="131"/>
  <c r="M34" i="131"/>
  <c r="M14" i="131"/>
  <c r="M27" i="131" s="1"/>
  <c r="B49" i="131"/>
  <c r="J48" i="131"/>
  <c r="L27" i="131"/>
  <c r="L29" i="131" s="1"/>
  <c r="G36" i="131"/>
  <c r="G48" i="131" s="1"/>
  <c r="M45" i="131"/>
  <c r="I48" i="131"/>
  <c r="I49" i="131" s="1"/>
  <c r="M24" i="131"/>
  <c r="C49" i="131"/>
  <c r="G47" i="131"/>
  <c r="H48" i="132"/>
  <c r="H50" i="132" s="1"/>
  <c r="I48" i="132"/>
  <c r="I50" i="132" s="1"/>
  <c r="C46" i="132"/>
  <c r="C35" i="132"/>
  <c r="J49" i="131"/>
  <c r="M44" i="131"/>
  <c r="G27" i="131"/>
  <c r="G29" i="131" s="1"/>
  <c r="G49" i="131" s="1"/>
  <c r="M33" i="131"/>
  <c r="M36" i="131" s="1"/>
  <c r="L36" i="131"/>
  <c r="L48" i="131" s="1"/>
  <c r="H49" i="130"/>
  <c r="F48" i="130"/>
  <c r="F49" i="130" s="1"/>
  <c r="M10" i="130"/>
  <c r="M27" i="130" s="1"/>
  <c r="M29" i="130" s="1"/>
  <c r="M32" i="130"/>
  <c r="M36" i="130" s="1"/>
  <c r="M45" i="130"/>
  <c r="M47" i="130" s="1"/>
  <c r="N8" i="63"/>
  <c r="M8" i="63"/>
  <c r="C10" i="64"/>
  <c r="K7" i="63"/>
  <c r="E7" i="63"/>
  <c r="G7" i="63"/>
  <c r="F7" i="63"/>
  <c r="I7" i="63"/>
  <c r="L7" i="63"/>
  <c r="J7" i="63"/>
  <c r="H7" i="63"/>
  <c r="D7" i="63"/>
  <c r="C7" i="63"/>
  <c r="B47" i="132" l="1"/>
  <c r="B48" i="132" s="1"/>
  <c r="B50" i="132" s="1"/>
  <c r="L49" i="131"/>
  <c r="C47" i="132"/>
  <c r="M47" i="131"/>
  <c r="M29" i="131"/>
  <c r="M48" i="131"/>
  <c r="M48" i="130"/>
  <c r="M49" i="130" s="1"/>
  <c r="D17" i="77"/>
  <c r="E17" i="77"/>
  <c r="D13" i="77"/>
  <c r="E13" i="77"/>
  <c r="E18" i="77" s="1"/>
  <c r="E20" i="77" s="1"/>
  <c r="F19" i="77"/>
  <c r="F16" i="77"/>
  <c r="F15" i="77"/>
  <c r="F14" i="77"/>
  <c r="F17" i="77" s="1"/>
  <c r="F9" i="77"/>
  <c r="F10" i="77"/>
  <c r="F11" i="77"/>
  <c r="F12" i="77"/>
  <c r="C48" i="132" l="1"/>
  <c r="M49" i="131"/>
  <c r="D18" i="77"/>
  <c r="D20" i="77" s="1"/>
  <c r="J35" i="2"/>
  <c r="I35" i="2"/>
  <c r="K23" i="2"/>
  <c r="C50" i="132" l="1"/>
  <c r="K24" i="2"/>
  <c r="D8" i="16"/>
  <c r="D15" i="9"/>
  <c r="D22" i="128"/>
  <c r="D52" i="7" l="1"/>
  <c r="D46" i="92"/>
  <c r="E46" i="92"/>
  <c r="C46" i="92"/>
  <c r="G30" i="52" l="1"/>
  <c r="H30" i="52"/>
  <c r="F30" i="52"/>
  <c r="D22" i="11" l="1"/>
  <c r="D28" i="7"/>
  <c r="J56" i="2" l="1"/>
  <c r="K56" i="2"/>
  <c r="I56" i="2"/>
  <c r="D91" i="11" l="1"/>
  <c r="E47" i="23" l="1"/>
  <c r="D29" i="17" l="1"/>
  <c r="D11" i="128"/>
  <c r="D19" i="7"/>
  <c r="D11" i="7"/>
  <c r="H135" i="52" l="1"/>
  <c r="K17" i="2" l="1"/>
  <c r="D14" i="7"/>
  <c r="D7" i="11"/>
  <c r="D18" i="128"/>
  <c r="D17" i="9"/>
  <c r="D36" i="7" l="1"/>
  <c r="D32" i="7"/>
  <c r="D46" i="7"/>
  <c r="D39" i="7"/>
  <c r="D35" i="7"/>
  <c r="D34" i="7"/>
  <c r="D33" i="7"/>
  <c r="D30" i="7"/>
  <c r="D27" i="7"/>
  <c r="D26" i="7"/>
  <c r="B12" i="7"/>
  <c r="C12" i="7"/>
  <c r="F54" i="2" l="1"/>
  <c r="H103" i="52"/>
  <c r="H61" i="52"/>
  <c r="H14" i="52" l="1"/>
  <c r="H12" i="52"/>
  <c r="H10" i="52"/>
  <c r="H8" i="52"/>
  <c r="D21" i="17" l="1"/>
  <c r="D15" i="7" l="1"/>
  <c r="H43" i="52"/>
  <c r="H42" i="52"/>
  <c r="D8" i="128"/>
  <c r="D7" i="128"/>
  <c r="D46" i="11"/>
  <c r="D59" i="11"/>
  <c r="D17" i="10" l="1"/>
  <c r="D8" i="7" l="1"/>
  <c r="K19" i="2" l="1"/>
  <c r="D68" i="11" l="1"/>
  <c r="D70" i="11"/>
  <c r="E42" i="23"/>
  <c r="D120" i="11"/>
  <c r="H143" i="52"/>
  <c r="D7" i="9" l="1"/>
  <c r="D6" i="11" l="1"/>
  <c r="H141" i="52"/>
  <c r="H139" i="52"/>
  <c r="D7" i="8"/>
  <c r="H138" i="52"/>
  <c r="H134" i="52" l="1"/>
  <c r="D9" i="7"/>
  <c r="D10" i="7"/>
  <c r="H136" i="52"/>
  <c r="D12" i="7" l="1"/>
  <c r="D8" i="6"/>
  <c r="H133" i="52"/>
  <c r="D7" i="6"/>
  <c r="H132" i="52"/>
  <c r="D7" i="10"/>
  <c r="H140" i="52"/>
  <c r="D12" i="16" l="1"/>
  <c r="D39" i="11"/>
  <c r="K18" i="2"/>
  <c r="H17" i="52"/>
  <c r="H16" i="52"/>
  <c r="D25" i="17"/>
  <c r="D15" i="16"/>
  <c r="D7" i="16"/>
  <c r="D14" i="128"/>
  <c r="D12" i="128"/>
  <c r="D16" i="9"/>
  <c r="D56" i="11"/>
  <c r="D55" i="11"/>
  <c r="D20" i="8"/>
  <c r="D45" i="7"/>
  <c r="D18" i="6"/>
  <c r="D16" i="6"/>
  <c r="D12" i="6"/>
  <c r="D10" i="10" l="1"/>
  <c r="D19" i="11"/>
  <c r="H73" i="52"/>
  <c r="H63" i="52"/>
  <c r="D26" i="8" l="1"/>
  <c r="D82" i="11"/>
  <c r="D23" i="8"/>
  <c r="D15" i="23" l="1"/>
  <c r="E15" i="23"/>
  <c r="F15" i="23"/>
  <c r="G15" i="23"/>
  <c r="C15" i="23"/>
  <c r="B112" i="11"/>
  <c r="C112" i="11"/>
  <c r="C17" i="7"/>
  <c r="C20" i="7" s="1"/>
  <c r="D17" i="7"/>
  <c r="B17" i="7"/>
  <c r="B20" i="7" s="1"/>
  <c r="G55" i="52"/>
  <c r="H55" i="52"/>
  <c r="F55" i="52"/>
  <c r="D20" i="7" l="1"/>
  <c r="G70" i="52"/>
  <c r="C8" i="11" l="1"/>
  <c r="B8" i="11"/>
  <c r="B11" i="129" l="1"/>
  <c r="D38" i="7" l="1"/>
  <c r="D112" i="11" l="1"/>
  <c r="C13" i="77" l="1"/>
  <c r="D8" i="11" l="1"/>
  <c r="C25" i="128" l="1"/>
  <c r="J13" i="2" s="1"/>
  <c r="D25" i="128" l="1"/>
  <c r="B25" i="128"/>
  <c r="K13" i="2" l="1"/>
  <c r="I13" i="2"/>
  <c r="D10" i="23" l="1"/>
  <c r="E10" i="23"/>
  <c r="F10" i="23"/>
  <c r="G10" i="23"/>
  <c r="C10" i="23"/>
  <c r="D21" i="23"/>
  <c r="E21" i="23"/>
  <c r="F21" i="23"/>
  <c r="G21" i="23"/>
  <c r="C21" i="23"/>
  <c r="C9" i="6"/>
  <c r="D9" i="6"/>
  <c r="C21" i="7" l="1"/>
  <c r="C35" i="8"/>
  <c r="C36" i="8" s="1"/>
  <c r="D21" i="7" l="1"/>
  <c r="C30" i="17"/>
  <c r="C61" i="7" l="1"/>
  <c r="C47" i="7"/>
  <c r="C55" i="7"/>
  <c r="D25" i="9"/>
  <c r="K35" i="2" l="1"/>
  <c r="C56" i="7"/>
  <c r="C73" i="23"/>
  <c r="I42" i="2" s="1"/>
  <c r="I41" i="2"/>
  <c r="I40" i="2"/>
  <c r="I39" i="2"/>
  <c r="F9" i="63"/>
  <c r="F11" i="63" s="1"/>
  <c r="C18" i="64" s="1"/>
  <c r="L9" i="63"/>
  <c r="L11" i="63" s="1"/>
  <c r="C24" i="64" s="1"/>
  <c r="K9" i="63"/>
  <c r="K11" i="63" s="1"/>
  <c r="C23" i="64" s="1"/>
  <c r="H9" i="63"/>
  <c r="H11" i="63" s="1"/>
  <c r="C20" i="64" s="1"/>
  <c r="G9" i="63"/>
  <c r="G11" i="63" s="1"/>
  <c r="C19" i="64" s="1"/>
  <c r="J9" i="63"/>
  <c r="J11" i="63" s="1"/>
  <c r="C22" i="64" s="1"/>
  <c r="C9" i="63"/>
  <c r="C11" i="63" s="1"/>
  <c r="C15" i="64" s="1"/>
  <c r="G16" i="77"/>
  <c r="G15" i="77"/>
  <c r="G14" i="77"/>
  <c r="G17" i="77" s="1"/>
  <c r="G19" i="77"/>
  <c r="B10" i="63" s="1"/>
  <c r="D121" i="11"/>
  <c r="J41" i="2"/>
  <c r="K41" i="2"/>
  <c r="F8" i="77"/>
  <c r="F13" i="77" s="1"/>
  <c r="F18" i="77" s="1"/>
  <c r="F20" i="77" s="1"/>
  <c r="M8" i="77"/>
  <c r="N8" i="77" s="1"/>
  <c r="G9" i="77"/>
  <c r="M9" i="77"/>
  <c r="G10" i="77"/>
  <c r="M10" i="77"/>
  <c r="N10" i="77" s="1"/>
  <c r="G11" i="77"/>
  <c r="M11" i="77"/>
  <c r="N11" i="77" s="1"/>
  <c r="G12" i="77"/>
  <c r="M12" i="77"/>
  <c r="N12" i="77" s="1"/>
  <c r="J13" i="77"/>
  <c r="K13" i="77"/>
  <c r="L13" i="77"/>
  <c r="M14" i="77"/>
  <c r="N14" i="77" s="1"/>
  <c r="M15" i="77"/>
  <c r="N15" i="77" s="1"/>
  <c r="M16" i="77"/>
  <c r="N16" i="77" s="1"/>
  <c r="C17" i="77"/>
  <c r="J17" i="77"/>
  <c r="K17" i="77"/>
  <c r="L17" i="77"/>
  <c r="M19" i="77"/>
  <c r="N19" i="77" s="1"/>
  <c r="B10" i="64" s="1"/>
  <c r="C18" i="90"/>
  <c r="C9" i="64"/>
  <c r="D9" i="64"/>
  <c r="D11" i="64" s="1"/>
  <c r="D16" i="64" s="1"/>
  <c r="E9" i="64"/>
  <c r="E11" i="64" s="1"/>
  <c r="D17" i="64" s="1"/>
  <c r="F9" i="64"/>
  <c r="F11" i="64" s="1"/>
  <c r="D18" i="64" s="1"/>
  <c r="G9" i="64"/>
  <c r="G11" i="64" s="1"/>
  <c r="D19" i="64" s="1"/>
  <c r="H9" i="64"/>
  <c r="H11" i="64" s="1"/>
  <c r="D20" i="64" s="1"/>
  <c r="I9" i="64"/>
  <c r="I11" i="64" s="1"/>
  <c r="D21" i="64" s="1"/>
  <c r="J9" i="64"/>
  <c r="J11" i="64" s="1"/>
  <c r="D22" i="64" s="1"/>
  <c r="K9" i="64"/>
  <c r="K11" i="64" s="1"/>
  <c r="D23" i="64" s="1"/>
  <c r="L9" i="64"/>
  <c r="L11" i="64" s="1"/>
  <c r="D24" i="64" s="1"/>
  <c r="M9" i="64"/>
  <c r="M11" i="64" s="1"/>
  <c r="D25" i="64" s="1"/>
  <c r="N9" i="64"/>
  <c r="N11" i="64" s="1"/>
  <c r="D26" i="64" s="1"/>
  <c r="D9" i="63"/>
  <c r="D11" i="63" s="1"/>
  <c r="C16" i="64" s="1"/>
  <c r="I9" i="63"/>
  <c r="I11" i="63" s="1"/>
  <c r="C21" i="64" s="1"/>
  <c r="M9" i="63"/>
  <c r="M11" i="63" s="1"/>
  <c r="C25" i="64" s="1"/>
  <c r="J39" i="2"/>
  <c r="K39" i="2"/>
  <c r="J40" i="2"/>
  <c r="K40" i="2"/>
  <c r="D73" i="23"/>
  <c r="J42" i="2" s="1"/>
  <c r="E73" i="23"/>
  <c r="F73" i="23"/>
  <c r="G73" i="23"/>
  <c r="E34" i="54"/>
  <c r="C34" i="54"/>
  <c r="D32" i="2" s="1"/>
  <c r="D34" i="54"/>
  <c r="E32" i="2" s="1"/>
  <c r="D33" i="2"/>
  <c r="D43" i="54"/>
  <c r="E33" i="2" s="1"/>
  <c r="F33" i="2"/>
  <c r="C54" i="54"/>
  <c r="D34" i="2" s="1"/>
  <c r="D54" i="54"/>
  <c r="E54" i="54"/>
  <c r="J15" i="2"/>
  <c r="C23" i="16"/>
  <c r="C28" i="16" s="1"/>
  <c r="J14" i="2" s="1"/>
  <c r="C89" i="11"/>
  <c r="C121" i="11"/>
  <c r="J37" i="2" s="1"/>
  <c r="B11" i="10"/>
  <c r="B12" i="10" s="1"/>
  <c r="C11" i="10"/>
  <c r="C12" i="10" s="1"/>
  <c r="D11" i="10"/>
  <c r="D12" i="10" s="1"/>
  <c r="C18" i="9"/>
  <c r="C19" i="9" s="1"/>
  <c r="C27" i="9" s="1"/>
  <c r="K34" i="2"/>
  <c r="B73" i="7"/>
  <c r="C73" i="7"/>
  <c r="J33" i="2" s="1"/>
  <c r="C25" i="6"/>
  <c r="B33" i="6"/>
  <c r="I32" i="2" s="1"/>
  <c r="C33" i="6"/>
  <c r="J32" i="2" s="1"/>
  <c r="D33" i="6"/>
  <c r="F15" i="52"/>
  <c r="G15" i="52"/>
  <c r="G18" i="52" s="1"/>
  <c r="H15" i="52"/>
  <c r="F22" i="52"/>
  <c r="G22" i="52"/>
  <c r="H22" i="52"/>
  <c r="F34" i="52"/>
  <c r="G34" i="52"/>
  <c r="H34" i="52"/>
  <c r="F38" i="52"/>
  <c r="G38" i="52"/>
  <c r="H38" i="52"/>
  <c r="F41" i="52"/>
  <c r="G41" i="52"/>
  <c r="E8" i="2"/>
  <c r="G106" i="52"/>
  <c r="E9" i="2" s="1"/>
  <c r="F130" i="52"/>
  <c r="D10" i="2" s="1"/>
  <c r="G130" i="52"/>
  <c r="E10" i="2" s="1"/>
  <c r="H130" i="52"/>
  <c r="F10" i="2" s="1"/>
  <c r="G144" i="52"/>
  <c r="E11" i="2" s="1"/>
  <c r="J25" i="2"/>
  <c r="I34" i="2"/>
  <c r="J34" i="2"/>
  <c r="I36" i="2"/>
  <c r="J36" i="2"/>
  <c r="K36" i="2"/>
  <c r="I43" i="2"/>
  <c r="J43" i="2"/>
  <c r="K43" i="2"/>
  <c r="D56" i="2"/>
  <c r="E56" i="2"/>
  <c r="D73" i="7"/>
  <c r="C113" i="11" l="1"/>
  <c r="C114" i="11" s="1"/>
  <c r="K18" i="77"/>
  <c r="K20" i="77" s="1"/>
  <c r="F34" i="2"/>
  <c r="E31" i="2"/>
  <c r="C18" i="77"/>
  <c r="C20" i="77" s="1"/>
  <c r="L18" i="77"/>
  <c r="L20" i="77" s="1"/>
  <c r="B9" i="6"/>
  <c r="B21" i="7"/>
  <c r="B121" i="11"/>
  <c r="I37" i="2" s="1"/>
  <c r="K33" i="2"/>
  <c r="K32" i="2"/>
  <c r="K37" i="2"/>
  <c r="B35" i="8"/>
  <c r="F56" i="2"/>
  <c r="J10" i="2"/>
  <c r="D30" i="17"/>
  <c r="B18" i="9"/>
  <c r="B19" i="9" s="1"/>
  <c r="B27" i="9" s="1"/>
  <c r="D35" i="8"/>
  <c r="D36" i="8" s="1"/>
  <c r="J11" i="2"/>
  <c r="B30" i="17"/>
  <c r="I15" i="2" s="1"/>
  <c r="B23" i="16"/>
  <c r="B28" i="16" s="1"/>
  <c r="I14" i="2" s="1"/>
  <c r="B25" i="6"/>
  <c r="D25" i="6"/>
  <c r="D89" i="11"/>
  <c r="D113" i="11" s="1"/>
  <c r="C19" i="10"/>
  <c r="D18" i="9"/>
  <c r="B61" i="7"/>
  <c r="I11" i="2"/>
  <c r="D8" i="2"/>
  <c r="B19" i="10"/>
  <c r="M17" i="77"/>
  <c r="D61" i="7"/>
  <c r="D31" i="2"/>
  <c r="F144" i="52"/>
  <c r="D11" i="2" s="1"/>
  <c r="N9" i="63"/>
  <c r="N11" i="63" s="1"/>
  <c r="C26" i="64" s="1"/>
  <c r="B89" i="11"/>
  <c r="J7" i="2"/>
  <c r="N17" i="77"/>
  <c r="B8" i="64" s="1"/>
  <c r="C26" i="6"/>
  <c r="C35" i="6"/>
  <c r="G35" i="52"/>
  <c r="G39" i="52" s="1"/>
  <c r="G56" i="52" s="1"/>
  <c r="D47" i="7"/>
  <c r="B47" i="7"/>
  <c r="B49" i="7" s="1"/>
  <c r="C49" i="7"/>
  <c r="C62" i="7" s="1"/>
  <c r="D55" i="7"/>
  <c r="B55" i="7"/>
  <c r="B56" i="7" s="1"/>
  <c r="I25" i="2"/>
  <c r="H144" i="52"/>
  <c r="F106" i="52"/>
  <c r="D9" i="2" s="1"/>
  <c r="J38" i="2"/>
  <c r="J44" i="2"/>
  <c r="C43" i="8"/>
  <c r="J9" i="2"/>
  <c r="E9" i="63"/>
  <c r="E11" i="63" s="1"/>
  <c r="C17" i="64" s="1"/>
  <c r="F18" i="52"/>
  <c r="J18" i="77"/>
  <c r="J20" i="77" s="1"/>
  <c r="C11" i="64"/>
  <c r="D15" i="64" s="1"/>
  <c r="E15" i="64" s="1"/>
  <c r="E16" i="64" s="1"/>
  <c r="G8" i="77"/>
  <c r="M13" i="77"/>
  <c r="N9" i="77"/>
  <c r="N13" i="77" s="1"/>
  <c r="K42" i="2"/>
  <c r="K44" i="2" s="1"/>
  <c r="H106" i="52"/>
  <c r="E34" i="2"/>
  <c r="F32" i="2"/>
  <c r="K25" i="2"/>
  <c r="D23" i="16"/>
  <c r="I44" i="2"/>
  <c r="I33" i="2"/>
  <c r="H18" i="52"/>
  <c r="B7" i="63" l="1"/>
  <c r="G13" i="77"/>
  <c r="G18" i="77" s="1"/>
  <c r="G20" i="77" s="1"/>
  <c r="D19" i="9"/>
  <c r="D27" i="9" s="1"/>
  <c r="D114" i="11"/>
  <c r="B113" i="11"/>
  <c r="B114" i="11" s="1"/>
  <c r="B123" i="11" s="1"/>
  <c r="B8" i="63"/>
  <c r="D27" i="64"/>
  <c r="E45" i="2"/>
  <c r="D55" i="54"/>
  <c r="C27" i="64"/>
  <c r="F31" i="2"/>
  <c r="F45" i="2" s="1"/>
  <c r="B36" i="8"/>
  <c r="K38" i="2"/>
  <c r="K45" i="2" s="1"/>
  <c r="B26" i="6"/>
  <c r="I7" i="2"/>
  <c r="D26" i="6"/>
  <c r="B35" i="6"/>
  <c r="D28" i="16"/>
  <c r="D35" i="6"/>
  <c r="D56" i="7"/>
  <c r="D45" i="2"/>
  <c r="C55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J12" i="2"/>
  <c r="C123" i="11"/>
  <c r="F8" i="2"/>
  <c r="D49" i="7"/>
  <c r="B62" i="7"/>
  <c r="C63" i="7"/>
  <c r="C75" i="7" s="1"/>
  <c r="J45" i="2"/>
  <c r="F11" i="2"/>
  <c r="F35" i="52"/>
  <c r="F39" i="52" s="1"/>
  <c r="G145" i="52"/>
  <c r="E7" i="2"/>
  <c r="E26" i="2" s="1"/>
  <c r="B7" i="64"/>
  <c r="N18" i="77"/>
  <c r="N20" i="77" s="1"/>
  <c r="K11" i="2"/>
  <c r="D19" i="10"/>
  <c r="I10" i="2"/>
  <c r="I38" i="2"/>
  <c r="K15" i="2"/>
  <c r="H35" i="52"/>
  <c r="E55" i="54"/>
  <c r="F9" i="2"/>
  <c r="K10" i="2" l="1"/>
  <c r="E27" i="64"/>
  <c r="E59" i="2"/>
  <c r="I12" i="2"/>
  <c r="I9" i="2"/>
  <c r="B43" i="8"/>
  <c r="K14" i="2"/>
  <c r="K9" i="2"/>
  <c r="D62" i="7"/>
  <c r="K12" i="2"/>
  <c r="K7" i="2"/>
  <c r="D123" i="11"/>
  <c r="D43" i="8"/>
  <c r="B63" i="7"/>
  <c r="B75" i="7" s="1"/>
  <c r="J8" i="2"/>
  <c r="J26" i="2" s="1"/>
  <c r="B9" i="63"/>
  <c r="H39" i="52"/>
  <c r="I45" i="2"/>
  <c r="B9" i="64"/>
  <c r="D63" i="7" l="1"/>
  <c r="I8" i="2"/>
  <c r="J59" i="2"/>
  <c r="B11" i="64"/>
  <c r="H56" i="52"/>
  <c r="B11" i="63"/>
  <c r="D75" i="7" l="1"/>
  <c r="K8" i="2"/>
  <c r="I26" i="2"/>
  <c r="F7" i="2"/>
  <c r="F26" i="2" s="1"/>
  <c r="H145" i="52"/>
  <c r="K26" i="2" l="1"/>
  <c r="I59" i="2"/>
  <c r="F59" i="2"/>
  <c r="K59" i="2" l="1"/>
  <c r="F56" i="52" l="1"/>
  <c r="D7" i="2" l="1"/>
  <c r="F145" i="52"/>
  <c r="D26" i="2" l="1"/>
  <c r="D59" i="2" l="1"/>
</calcChain>
</file>

<file path=xl/sharedStrings.xml><?xml version="1.0" encoding="utf-8"?>
<sst xmlns="http://schemas.openxmlformats.org/spreadsheetml/2006/main" count="1514" uniqueCount="880">
  <si>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</si>
  <si>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</si>
  <si>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</si>
  <si>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</si>
  <si>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</si>
  <si>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</si>
  <si>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</si>
  <si>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</si>
  <si>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</si>
  <si>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</si>
  <si>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</si>
  <si>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</si>
  <si>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</si>
  <si>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</si>
  <si>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</si>
  <si>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</si>
  <si>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</si>
  <si>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</si>
  <si>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</si>
  <si>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</si>
  <si>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</si>
  <si>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</si>
  <si>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</si>
  <si>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</si>
  <si>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</si>
  <si>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</si>
  <si>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</si>
  <si>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</si>
  <si>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</si>
  <si>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</si>
  <si>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</si>
  <si>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</si>
  <si>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</si>
  <si>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</si>
  <si>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</si>
  <si>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</si>
  <si>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</si>
  <si>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</si>
  <si>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</si>
  <si>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</si>
  <si>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</si>
  <si>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</si>
  <si>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</si>
  <si>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</si>
  <si>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</si>
  <si>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</si>
  <si>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Internet alapú városi hálózat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</si>
  <si>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</si>
  <si>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</si>
  <si>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</si>
  <si>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</si>
  <si>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</si>
  <si>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</si>
  <si>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</si>
  <si>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</si>
  <si>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</si>
  <si>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</si>
  <si>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</si>
  <si>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</si>
  <si>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</si>
  <si>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</si>
  <si>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</si>
  <si>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</si>
  <si>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</si>
  <si>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</si>
  <si>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</si>
  <si>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</si>
  <si>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</si>
  <si>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</si>
  <si>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</si>
  <si>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</si>
  <si>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</si>
  <si>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</si>
  <si>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</si>
  <si>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</si>
  <si>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</si>
  <si>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</si>
  <si>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</si>
  <si>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</si>
  <si>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</si>
  <si>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</si>
  <si>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</si>
  <si>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</si>
  <si>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</si>
  <si>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</si>
  <si>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</si>
  <si>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</si>
  <si>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</si>
  <si>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</si>
  <si>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</si>
  <si>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</si>
  <si>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</si>
  <si>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</si>
  <si>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</si>
  <si>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</si>
  <si>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</si>
  <si>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</si>
  <si>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</si>
  <si>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</si>
  <si>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</si>
  <si>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</si>
  <si>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</si>
  <si>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</si>
  <si>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</si>
  <si>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</si>
  <si>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</si>
  <si>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</si>
  <si>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</si>
  <si>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</si>
  <si>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</si>
  <si>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</si>
  <si>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</si>
  <si>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</si>
  <si>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Lakáskölcsöntörlesztés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</si>
  <si>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</si>
  <si>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</si>
  <si>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</si>
  <si>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</si>
  <si>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</si>
  <si>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</si>
  <si>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</si>
  <si>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</si>
  <si>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</si>
  <si>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</si>
  <si>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</si>
  <si>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</si>
  <si>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</si>
  <si>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</si>
  <si>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</si>
  <si>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</si>
  <si>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</si>
  <si>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</si>
  <si>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</si>
  <si>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</si>
  <si>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</si>
  <si>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</si>
  <si>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</si>
  <si>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</si>
  <si>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</si>
  <si>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</si>
  <si>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</si>
  <si>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</si>
  <si>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</si>
  <si>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</si>
  <si>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</si>
  <si>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</si>
  <si>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</si>
  <si>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</si>
  <si>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</si>
  <si>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</si>
  <si>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</si>
  <si>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</si>
  <si>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</si>
  <si>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</si>
  <si>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</si>
  <si>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</si>
  <si>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</si>
  <si>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</si>
  <si>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</si>
  <si>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</si>
  <si>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</si>
  <si>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</si>
  <si>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</si>
  <si>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</si>
  <si>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</si>
  <si>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</si>
  <si>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</si>
  <si>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</si>
  <si>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</si>
  <si>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</si>
  <si>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</si>
  <si>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</si>
  <si>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</si>
  <si>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</si>
  <si>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</si>
  <si>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</si>
  <si>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</si>
  <si>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</si>
  <si>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</si>
  <si>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</si>
  <si>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</si>
  <si>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</si>
  <si>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</si>
  <si>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</si>
  <si>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</si>
  <si>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</si>
  <si>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</si>
  <si>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</si>
  <si>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</si>
  <si>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</si>
  <si>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</si>
  <si>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</si>
  <si>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</si>
  <si>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</si>
  <si>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</si>
  <si>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</si>
  <si>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</si>
  <si>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</si>
  <si>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</si>
  <si>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</si>
  <si>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</si>
  <si>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</si>
  <si>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</si>
  <si>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</si>
  <si>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</si>
  <si>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</si>
  <si>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</si>
  <si>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</si>
  <si>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</si>
  <si>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</si>
  <si>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</si>
  <si>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</si>
  <si>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</si>
  <si>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</si>
  <si>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</si>
  <si>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</si>
  <si>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</si>
  <si>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</si>
  <si>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</si>
  <si>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</si>
  <si>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</si>
  <si>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</si>
  <si>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</si>
  <si>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</si>
  <si>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</si>
  <si>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</si>
  <si>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</si>
  <si>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</si>
  <si>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</si>
  <si>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</si>
  <si>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</si>
  <si>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</si>
  <si>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</si>
  <si>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</si>
  <si>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</si>
  <si>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</si>
  <si>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</si>
  <si>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</si>
  <si>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</si>
  <si>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</si>
  <si>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</si>
  <si>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</si>
  <si>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</si>
  <si>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</si>
  <si>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Egészségügyi és Kulturális intézmények GESZ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</si>
  <si>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</si>
  <si>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</si>
  <si>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</si>
  <si>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</si>
  <si>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</si>
  <si>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</si>
  <si>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</si>
  <si>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</si>
  <si>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</si>
  <si>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</si>
  <si>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</si>
  <si>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</si>
  <si>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</si>
  <si>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</si>
  <si>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</si>
  <si>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</si>
  <si>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</si>
  <si>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</si>
  <si>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</si>
  <si>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</si>
  <si>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</si>
  <si>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</si>
  <si>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</si>
  <si>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</si>
  <si>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</si>
  <si>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</si>
  <si>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I. Helyi önkormányzatok működésének általános támogatása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</si>
  <si>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</si>
  <si>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</si>
  <si>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</si>
  <si>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</si>
  <si>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</si>
  <si>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</si>
  <si>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</si>
  <si>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</si>
  <si>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</si>
  <si>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</si>
  <si>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</si>
  <si>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</si>
  <si>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</si>
  <si>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</si>
  <si>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</si>
  <si>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</si>
  <si>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</si>
  <si>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</si>
  <si>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</si>
  <si>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</si>
  <si>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</si>
  <si>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</si>
  <si>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</si>
  <si>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</si>
  <si>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</si>
  <si>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</si>
  <si>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</si>
  <si>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</si>
  <si>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</si>
  <si>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</si>
  <si>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</si>
  <si>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</si>
  <si>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</si>
  <si>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</si>
  <si>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</si>
  <si>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</si>
  <si>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</si>
  <si>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</si>
  <si>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</si>
  <si>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</si>
  <si>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</si>
  <si>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</si>
  <si>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</si>
  <si>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</si>
  <si>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</si>
  <si>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</si>
  <si>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</si>
  <si>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</si>
  <si>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</si>
  <si>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</si>
  <si>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</si>
  <si>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</si>
  <si>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</si>
  <si>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</si>
  <si>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</si>
  <si>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</si>
  <si>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</si>
  <si>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</si>
  <si>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</si>
  <si>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</si>
  <si>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</si>
  <si>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</si>
  <si>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</si>
  <si>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</si>
  <si>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eredeti előirányzat</t>
  </si>
  <si>
    <t>Sorszám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</si>
  <si>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</si>
  <si>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</si>
  <si>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</si>
  <si>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</si>
  <si>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</si>
  <si>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</si>
  <si>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</si>
  <si>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</si>
  <si>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</si>
  <si>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</si>
  <si>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</si>
  <si>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</si>
  <si>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</si>
  <si>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 xml:space="preserve">TÁJÉKOZTATÓ </t>
  </si>
  <si>
    <t>ezer Ft-ban</t>
  </si>
  <si>
    <t>ellátottak térítési díjának,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</si>
  <si>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</si>
  <si>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</si>
  <si>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 iparűzési adó (háziorvosi mentesség)</t>
  </si>
  <si>
    <t>a helyiségek, eszközök hasznosításából származó bevételből nyújtott kedvezmény, mentesség összege</t>
  </si>
  <si>
    <t>egyéb nyújtott kedvezmény vagy kölcsön elengedésének összege</t>
  </si>
  <si>
    <t>1. Az Áht-ra való hivatkozással, a személyes gondoskodást nyújtó szociális és gyermekjóléti ellátások térítési díjáról szóló 11/1993.(IV.1.) sz.önkormányzati rendelet alapján a térítési díj méltányossági alapon történő csökkentése, illetve elengedése.</t>
  </si>
  <si>
    <t>3. SZMJV Önkormányzatának helyi adókról szóló rendelete alapján adott mentességek és kedvezmények.</t>
  </si>
  <si>
    <t>4. SZMJV Önkormányzatának vagyonrendelete alapján nyújtott kedvezmények, mentességek összege.</t>
  </si>
  <si>
    <t>5. Közterülethasználati díj mentesség az Önkormányzat rendelete alapján.</t>
  </si>
  <si>
    <t>Kimutatás az Európai Uniós támogatással megvalósuló projektekről</t>
  </si>
  <si>
    <t>EURÓPAI UNIÓS TÁMOGATÁSSAL MEGVALÓSULÚ PROJEKTEK BEVÉTELEI ÖSSZESEN</t>
  </si>
  <si>
    <t>MŰKÖDÉSI CÉLÚ NAGYPROJEKTEK, PROJEKTEK</t>
  </si>
  <si>
    <t>FELHALMOZÁSI CÉLÚ NAGYPROJEKTEK, PROJEKTEK</t>
  </si>
  <si>
    <t>EURÓPAI UNIÓS TÁMOGATÁSSAL MEGVALÓSULÚ PROJEKTEK KIADÁSAI ÖSSZESEN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</si>
  <si>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</si>
  <si>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</si>
  <si>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</si>
  <si>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</si>
  <si>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Kéményseprő ipari közszolgáltatás ellátásának támogatása</t>
  </si>
  <si>
    <t>Köznevelési GAMESZ</t>
  </si>
  <si>
    <t>Kéményseprő ipari közszolgáltatás ellátásának támogatása (központi ei.)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</si>
  <si>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</si>
  <si>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</si>
  <si>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</si>
  <si>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</si>
  <si>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</si>
  <si>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</si>
  <si>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</si>
  <si>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</si>
  <si>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</si>
  <si>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</si>
  <si>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</si>
  <si>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</si>
  <si>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</si>
  <si>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</si>
  <si>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</si>
  <si>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</si>
  <si>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</si>
  <si>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</si>
  <si>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</si>
  <si>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</si>
  <si>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</si>
  <si>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</si>
  <si>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</si>
  <si>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</si>
  <si>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</si>
  <si>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</si>
  <si>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</si>
  <si>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</si>
  <si>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</si>
  <si>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</si>
  <si>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</si>
  <si>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</si>
  <si>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</si>
  <si>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</si>
  <si>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</si>
  <si>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</si>
  <si>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</si>
  <si>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</si>
  <si>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</si>
  <si>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</si>
  <si>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</si>
  <si>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</si>
  <si>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</si>
  <si>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</si>
  <si>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</si>
  <si>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</si>
  <si>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</si>
  <si>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</si>
  <si>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</si>
  <si>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Könyvtári érdekeltségnövelő támogatás</t>
  </si>
  <si>
    <t>Szociális ágazati összevont pótlék</t>
  </si>
  <si>
    <t>Biztosító térítése, egyéb kártérítés, kötbér</t>
  </si>
  <si>
    <t>Támogatások elszámolása ÁH-on kívülről</t>
  </si>
  <si>
    <t>Központi költségvetés részére visszafizetési kötelezettség</t>
  </si>
  <si>
    <t>Közszolgáltatási szerződés helyi közlekedés</t>
  </si>
  <si>
    <t>Zanati Kulturális Egyesület</t>
  </si>
  <si>
    <t>Óvodai ellátó rendszerben prognosztizált munkaerő-hiány kezelése</t>
  </si>
  <si>
    <t>Tavak haszonbérbe adása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</si>
  <si>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</si>
  <si>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</si>
  <si>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</si>
  <si>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</si>
  <si>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</si>
  <si>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</si>
  <si>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</si>
  <si>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</si>
  <si>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</si>
  <si>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</si>
  <si>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</si>
  <si>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</si>
  <si>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>2025. évi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</si>
  <si>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</si>
  <si>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</si>
  <si>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</si>
  <si>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</si>
  <si>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</si>
  <si>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Adventi vásár díszkivilágítás támogatása</t>
  </si>
  <si>
    <t>Országos tanulmányi versenyeken eredményesen szereplő diákok és tanáraik jutalmazása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</si>
  <si>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</si>
  <si>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</si>
  <si>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</si>
  <si>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</si>
  <si>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</si>
  <si>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</si>
  <si>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</si>
  <si>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</si>
  <si>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</si>
  <si>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</si>
  <si>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</si>
  <si>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</si>
  <si>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</si>
  <si>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Csatorna fedél javítások</t>
  </si>
  <si>
    <t>2026. évi</t>
  </si>
  <si>
    <t>TOP Plusz 1.3.1.-00001 Fenntartható városfejlesztés</t>
  </si>
  <si>
    <t>Továbbszámlázott költségek megtérítése</t>
  </si>
  <si>
    <t>INTERREG Europe OD4GROWTH pályázat</t>
  </si>
  <si>
    <t xml:space="preserve">Identitás program </t>
  </si>
  <si>
    <t>HÁROFIT Közhasznú Egyesület -Rászoruló családoknak nyújtott tanévkezdési támogatás</t>
  </si>
  <si>
    <t xml:space="preserve">INTERREG Europe OD4GROWTH pályázat </t>
  </si>
  <si>
    <t>Hajdú utca burkolat javítás</t>
  </si>
  <si>
    <t>Ekata rendszer havi díj</t>
  </si>
  <si>
    <t>VDKSZ  működtetés</t>
  </si>
  <si>
    <t>Szombathelypont működtetés</t>
  </si>
  <si>
    <t>Összesen</t>
  </si>
  <si>
    <t>Szociális térkép</t>
  </si>
  <si>
    <t>Egyéb rendezvények</t>
  </si>
  <si>
    <t>2024. évi útfelújítási program</t>
  </si>
  <si>
    <t>Nyugíjas Bérlők Háza befizetés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</si>
  <si>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</si>
  <si>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</si>
  <si>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</si>
  <si>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</si>
  <si>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</si>
  <si>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</si>
  <si>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Vas Vármegyei Markusovszky Egyetemi Oktatókórház (parkoló bérlet díj támogatás)</t>
  </si>
  <si>
    <t xml:space="preserve">Szombathelyi Szépítő Egyesület támogatása </t>
  </si>
  <si>
    <t>Ingatlancseréből származó bevétel</t>
  </si>
  <si>
    <t>Ingatlancsere</t>
  </si>
  <si>
    <t>helyi iparűzési adó (2.500 eFt adóalap mentesség)</t>
  </si>
  <si>
    <t>SZÖVEGES INDOKOLÁS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</si>
  <si>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</si>
  <si>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</si>
  <si>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</si>
  <si>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</si>
  <si>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</si>
  <si>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</si>
  <si>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</si>
  <si>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</si>
  <si>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</si>
  <si>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</si>
  <si>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t>Weöres Sándor Színház Nkft. összesen</t>
  </si>
  <si>
    <t>2027. évi</t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</si>
  <si>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</si>
  <si>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</si>
  <si>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</si>
  <si>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</si>
  <si>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</si>
  <si>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</si>
  <si>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</si>
  <si>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</si>
  <si>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</si>
  <si>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</si>
  <si>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</si>
  <si>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</si>
  <si>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</si>
  <si>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</si>
  <si>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</si>
  <si>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</si>
  <si>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</si>
  <si>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</si>
  <si>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</si>
  <si>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</si>
  <si>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</si>
  <si>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Nyugdíjas Bérlők Háza - használatba vételi díj visszafizetése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</si>
  <si>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</si>
  <si>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</si>
  <si>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</si>
  <si>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</si>
  <si>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</si>
  <si>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</si>
  <si>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</si>
  <si>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</si>
  <si>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</si>
  <si>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 xml:space="preserve">Kiszámlázott és befizetendő áfa bevétel (PRENOR Kft. bérleti díj után) </t>
  </si>
  <si>
    <t>PRENOR Kft.tagi kölcsön, bérleti díj után járó kamatbevétel</t>
  </si>
  <si>
    <t>CERV-2023-CITIZENS-TOWN-TT projekt - Testre szabott energia</t>
  </si>
  <si>
    <t>Horizon Europe WeGenerate ("Társ város") projekt</t>
  </si>
  <si>
    <t>Szalézi Rendház Szombathely támogatása (nyári napközis tábor)</t>
  </si>
  <si>
    <t>Pécsi Tudományegyetem támogatás</t>
  </si>
  <si>
    <t>Prenor Kft.tagi kölcsön nyújtása</t>
  </si>
  <si>
    <t xml:space="preserve">Viktória FC támogatása 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</si>
  <si>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</si>
  <si>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</si>
  <si>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</si>
  <si>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</si>
  <si>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AGORA Savaria Kulturális és Médiaközpont Nkft. támogatása</t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</si>
  <si>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</si>
  <si>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</si>
  <si>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</si>
  <si>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</si>
  <si>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</si>
  <si>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</si>
  <si>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</si>
  <si>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</si>
  <si>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</si>
  <si>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</si>
  <si>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</si>
  <si>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</si>
  <si>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</si>
  <si>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</si>
  <si>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</si>
  <si>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</si>
  <si>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</si>
  <si>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</si>
  <si>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</si>
  <si>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</si>
  <si>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</si>
  <si>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</si>
  <si>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>HVSE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</si>
  <si>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</si>
  <si>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</si>
  <si>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</si>
  <si>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</si>
  <si>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</si>
  <si>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</si>
  <si>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</si>
  <si>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Egyéb különféle működési célú bevétel</t>
  </si>
  <si>
    <t>Szent Márton kártya értékesítése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</si>
  <si>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</si>
  <si>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</si>
  <si>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Alpokalja Nagycsaládos Egyesület Szombathely részére támogatás</t>
  </si>
  <si>
    <t xml:space="preserve">Polgármesteri Hivatal épület felújítás I. ütem - balesetveszély elhárítása </t>
  </si>
  <si>
    <t>Bartók Béla körút híd cél és fővizsgálat</t>
  </si>
  <si>
    <t>Kimutatás a versenyképes járások programból finanszírozott költségvetési tételekről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</si>
  <si>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</si>
  <si>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</si>
  <si>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</si>
  <si>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</si>
  <si>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</si>
  <si>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</si>
  <si>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</si>
  <si>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</si>
  <si>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 xml:space="preserve">2026. évi bevételei  kiemelt előirányzatonként </t>
  </si>
  <si>
    <t xml:space="preserve">2026. évi  kiadásai kiemelt előirányzatonként </t>
  </si>
  <si>
    <t>2028. évi</t>
  </si>
  <si>
    <t>Szombathely Megyei  Jogú Város Önkormányzata 2026. évi előirányzat felhasználási terve</t>
  </si>
  <si>
    <t>Szombathely Megyei Jogú Város Önkormányzata 2026. évi előirányzat felhasználási terve</t>
  </si>
  <si>
    <t xml:space="preserve">2026. évi közvetett támogatásairól </t>
  </si>
  <si>
    <t>Egyéb finanszírozási célú bevétel a 2026. évi költségvetési támogatási előleghez</t>
  </si>
  <si>
    <t>Egyéb finanszírozási célú kiadás - 2026.évi költségvetési támogatási előleg</t>
  </si>
  <si>
    <t>Települési önkormányzatok kulturális feladatainak bérjellegű támogatása (682/2021.(XII.6.) korm.rend.szerinti 20% és minimálbér és garantált bérminimum emelés)</t>
  </si>
  <si>
    <t>Pénzügyi megállapodás a MÁV Személyszállítási Zrt-vel - törlesztő részlet</t>
  </si>
  <si>
    <t>Versenyképes Járások Program</t>
  </si>
  <si>
    <t>Fogyatékossággal Élőket és Hajléktalanokat Ellátó Közhasznú Nkft. támogatása</t>
  </si>
  <si>
    <t>Fogyatékossággal Élőket és Hajléktalanokat Ellátó Közhasznú Nkft. támogatása (célja: tüzifa vásárlás)</t>
  </si>
  <si>
    <t>Szombathelyi Parkfenntartó Intézmény</t>
  </si>
  <si>
    <t>2025. évi helyi iparűzési adóbevétel többlete alapján meghatározott fizetési kötelezettség visszatérítése</t>
  </si>
  <si>
    <t>2025. évi IV.sz.</t>
  </si>
  <si>
    <t>Támogatások elszámolása államháztartáson belülről</t>
  </si>
  <si>
    <t>Energiaügyi Minisztérium - "Zöld óvoda" program támogatás</t>
  </si>
  <si>
    <t>INTERREG VI-A AT-HU 0200115  program - Közös drogprevenció képzési program és megvalósítása az osztrák-magyar határtérségben</t>
  </si>
  <si>
    <t xml:space="preserve">Közösségi közlekedés fejlesztése és fenntartása </t>
  </si>
  <si>
    <t xml:space="preserve">Minőségi közétkeztetés biztosítása </t>
  </si>
  <si>
    <t xml:space="preserve">Szombathelyi Fedett Uszoda és Termálfürdő fejlesztése és fenntartása </t>
  </si>
  <si>
    <t>Településképi bírság</t>
  </si>
  <si>
    <t>Prenor Kft. bérleti díj megtérítése 2024. évre</t>
  </si>
  <si>
    <t>Hulladékgazdálkodási feladatok ellátásához kapcsolódó önkormányatot megillető pénzügyi juttatás (MOHU-tól)</t>
  </si>
  <si>
    <t>Önkormányzat - lekötött Önkormányzati Magyar Államkötvény után</t>
  </si>
  <si>
    <t>Ingatlan cseréből származó áfa bevétel</t>
  </si>
  <si>
    <t>Bloomsday fesztivál támogatása</t>
  </si>
  <si>
    <t>Alpok Energia Kereskedelmi és Szolgáltató kft.támogatása</t>
  </si>
  <si>
    <t>Vasutas Települések Szövetsége támogatás</t>
  </si>
  <si>
    <t xml:space="preserve">Szombathelyi Zsidó Hitközségtől kapott támogatás </t>
  </si>
  <si>
    <t>Interreg CE Program - Green LaMiS projekt - ERFA támogatás</t>
  </si>
  <si>
    <t>EUI (Európai Települési Kezdeményezés) Peer Review projekt</t>
  </si>
  <si>
    <t>Interreg Austria-Hungary NextRegion projekt - támogatás</t>
  </si>
  <si>
    <t>TOP Plusz-3.2.1-23-SH1-2025-00001 Közösségfejlesztés Szombathelyen</t>
  </si>
  <si>
    <t>TOP Plusz-3.2.1-23-SH1-2025-00003 Identitáserősítő folyamatok támogatása, programok megvalósítása</t>
  </si>
  <si>
    <t>TOP Plusz-3.2.1-23-SH1-2025-00002 Helyi humán fejlesztéseket célzó programok megvalósítása</t>
  </si>
  <si>
    <t>Savaria Szimfónikus Zenekar</t>
  </si>
  <si>
    <t>Energiaügyi Minisztérium "Zöld óvoda" program támogatás (Mocorgó Óvoda)</t>
  </si>
  <si>
    <t>Települési önkormányzatok kulturális feladatainak bérjellegű támogatása a 682/2021. (XII.6.) korm.rend.-hez kapcsolódó 20% -  központi támogatás</t>
  </si>
  <si>
    <t xml:space="preserve">Közösségi Bérlakás Rendszert népszerűsítő kampány                            </t>
  </si>
  <si>
    <t>Megállapodás alapján helyközi autóbuszjáratok helyi tarifával történő igénybevétele-Szombathely, Petőfi telep</t>
  </si>
  <si>
    <t>Pénzügyi megállapodás a MÁV Személyszállítási Zrt-vel - járulékos kiadások</t>
  </si>
  <si>
    <t xml:space="preserve">Helyi iparűzési adóbevétel többlete alapján meghatározott fizetési kötelezettség </t>
  </si>
  <si>
    <t>Önkormányzati Magyar Államkötvény vásárlása - névértéken kívüli felhalmozott kamat</t>
  </si>
  <si>
    <t xml:space="preserve">Apáczai Csere János Alapítvány támogatása </t>
  </si>
  <si>
    <t>Pénzeszköz átadás a Nyugat-dunántúli Vízügyi Igazgatóság részére  - Pap árok mederrendezés</t>
  </si>
  <si>
    <t>Állami és önkormányzati adatbázisok használati, tovább vezetési, karbantartási és szolgáltatási díja - fordított áfa kiadás</t>
  </si>
  <si>
    <t>Egységes ügyiratkezelő szoftver az önkormányzat által müködtetett intézményekben - fordított áfa kiadás</t>
  </si>
  <si>
    <t>TOP Plusz 1.3.1.-00001 Fenntartható városfejlesztés - hozzájárulás</t>
  </si>
  <si>
    <t>INTERREG VI-A AT-HU program - Közös drogprevenciós képzési program kialakítása és megvalósítása az osztrák-magyar határtérségben  - támogatás és hozzájárulás</t>
  </si>
  <si>
    <t>Interreg Austria-Hungary NextRegion projekt támogatás</t>
  </si>
  <si>
    <t>Interreg Austria-Hungary NextRegion projekt hozzájárulás</t>
  </si>
  <si>
    <t>NetZeroCities Tanulóvárosi projekt</t>
  </si>
  <si>
    <t>Hulladékkezelési díj</t>
  </si>
  <si>
    <t>Zárt csapadék csatorna fenntartása - fordított áfa kiadás</t>
  </si>
  <si>
    <t xml:space="preserve">Parkoló kialakítása </t>
  </si>
  <si>
    <t>TOP – PLUSZ -3.4.1-23-SH1-2024-00003 – Bölcsődék fejlesztése Szombathelyen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</si>
  <si>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</si>
  <si>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</si>
  <si>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</si>
  <si>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-3.4.1-23-SH1-2024-00001 – Szociális alapszolgáltatások fejlesztése</t>
  </si>
  <si>
    <t>TOP – PLUSZ -3.4.1-23-SH1-2024-00002 – Egészségügyi alapellátás fejlesztése</t>
  </si>
  <si>
    <t>TOP – PLUSZ -6.2.1-23-SH1-2024-00001 – Sárdi-éri iparterület fejlesztése, kivezető út építése</t>
  </si>
  <si>
    <t>TOP – PLUSZ -1.3.2-23-SH1-2025-00001 – Parkolási infrastruktúra- és zöldfejlesztés a Derkovits városrészen</t>
  </si>
  <si>
    <t>TOP – PLUSZ -1.3.2-23-SH1-2025-00007 - Zöldfelületfejlesztés Szombathelyen</t>
  </si>
  <si>
    <t>TOP – PLUSZ -1.3.2-23-SH1-2025-00004 – Hunyadi út felújítása Szombathelyen I.ütem</t>
  </si>
  <si>
    <t>TOP – PLUSZ -1.3.2-23-SH1-2025-00005 - Kodály Z. u. felújítása Szombathelyen</t>
  </si>
  <si>
    <t>TOP – PLUSZ -1.3.2-23-SH1-2025-00012 –Belterületi úthálózat fejlesztése</t>
  </si>
  <si>
    <t>TOP – PLUSZ -1.3.2-23-SH1-2025-00002 – Kerékpárosbarát fejlesztések a déli városrészen</t>
  </si>
  <si>
    <t>TOP – PLUSZ -1.3.2-23-SH1-2025-00013 – Közúti infrastruktúra fejlesztése</t>
  </si>
  <si>
    <t>TOP – PLUSZ -1.3.2-23-SH1-2025-00009 - Belterületi utak fejlesztése Szombathelyen</t>
  </si>
  <si>
    <t>TOP – PLUSZ -1.3.2-23-SH1-2025-00003 - Kerékpárosbarát fejlesztések Szombathelyen</t>
  </si>
  <si>
    <t>TOP – PLUSZ -1.3.2-23-SH1-2025-00006 - Belterületi útfelújítások</t>
  </si>
  <si>
    <t>TOP – PLUSZ -1.3.2-23-SH1-2025-00010 – Belterületi utak korszerűsítése</t>
  </si>
  <si>
    <t>TOP – PLUSZ -1.3.2-23-SH1-2025-00011 –Markusovszky L. u. felújítása</t>
  </si>
  <si>
    <t>TOP – PLUSZ -1.3.2-23-SH1-2025-00014 - Bartók B.krt. híd felújítása</t>
  </si>
  <si>
    <t>TOP – PLUSZ -1.3.2-23-SH1-2025-00008 –Hunyadi utca felújítása Szombathelyen II.ütem</t>
  </si>
  <si>
    <t>Haladás 1919 Kft. üzletrész értékesítés</t>
  </si>
  <si>
    <t>Önkormányzati szociális bérlakás értékesítés</t>
  </si>
  <si>
    <t>Felhalmozáci célú pénzeszköz átvétel az MVM Zrt-től a Kálvária utca közműkivigtelezés utáni helyreállítás céljából megállapodás alapján</t>
  </si>
  <si>
    <t>Széll K. u. 51. sz. térfigyelő kamera telepítéséhez társasházak hozzájárulása</t>
  </si>
  <si>
    <t>Pénzeszközátadás Dob.u. felújításához</t>
  </si>
  <si>
    <t>Polgármesteri Hivatal épület felújítás I. ütem - balesetveszély elhárítása - fordított áfa kiadás</t>
  </si>
  <si>
    <t>Sárdi-éri iparterületen megvalósuló útfejlesztéshez kapcsolódó ingatlan kisajátítás kiadásai - fordított áfa kiadás</t>
  </si>
  <si>
    <t>Kálvária utca közműkivigtelezés utáni helyreállítása megállapodás alapján</t>
  </si>
  <si>
    <t>Zanati városrész útjainak felújításához (Áfonya u., Eper u., Korpás u., Fenyő u.) terület vásárlás, járda felújítás, csapadékvíz szikkasztó medence átalakítása, vízjogi és üzemeltetési engedélyek stb. - fordított áfa kiadás</t>
  </si>
  <si>
    <t>Széll K. u. 51. sz. térfigyelő kamera telepítése</t>
  </si>
  <si>
    <t>Térfigyelő kamerarendszer tárhely bővítés</t>
  </si>
  <si>
    <t xml:space="preserve">Tartalék - önkormányzati szociális bérlakás értékesítéséből származó bevételből </t>
  </si>
  <si>
    <t>Tartalék a 2026. évi költségvetéshez</t>
  </si>
  <si>
    <t>Egyéb finanszírozási célú kiadás - Önkormányzati Magyar Államkötvény vásárlása</t>
  </si>
  <si>
    <t>Egyéb finanszírozási célú bevétel - Önkormányzati Magyar Államkötvény visszaváltása</t>
  </si>
  <si>
    <t xml:space="preserve">Polgármesteri Hivatal épület felújítás II. ütem </t>
  </si>
  <si>
    <t xml:space="preserve">EUI03-195 "EffiComfort" projekt önrész </t>
  </si>
  <si>
    <t>JustNature projekt - szenzor állomások működtetése (időjárás állomások üzemeltetése)</t>
  </si>
  <si>
    <t xml:space="preserve">TARTALÉK - projekt önerő - Interreg DANUBE program - DanubesChillCities pályázat </t>
  </si>
  <si>
    <t xml:space="preserve">TARTALÉK - projekt önerő - Interreg Central Europe SUNFLOWER projekt </t>
  </si>
  <si>
    <t>Választási kiadások</t>
  </si>
  <si>
    <t>Forgalomszámláló szenzorok üzemeltetése</t>
  </si>
  <si>
    <t xml:space="preserve">Forgalomszámláló szenzorok beszerzése </t>
  </si>
  <si>
    <t xml:space="preserve">éves hídvizsgálat alapján híd javítás, felújítás </t>
  </si>
  <si>
    <t>2025. évi helyi iparűzési adóbevétel többletéből központilag vissza kapott támogatás</t>
  </si>
  <si>
    <t>Vízkészlet használati járulék</t>
  </si>
  <si>
    <t>Önkormányzati és intézményi informatikai fejlesztések</t>
  </si>
  <si>
    <t>Projektek, TOP projektek - önerő, hozzájárulás, előkészítés, egyéb beruházási feladatok</t>
  </si>
  <si>
    <t xml:space="preserve">Szombathelyi Szabadidősport Szövetség támogatása </t>
  </si>
  <si>
    <t>Zárt csapadék csatorna fenntartása, mosatása</t>
  </si>
  <si>
    <t xml:space="preserve">Járási igényeket kiszolgáló közösségi közlekedés fejlesztése és fenntartása </t>
  </si>
  <si>
    <t xml:space="preserve">Minőségi közétkeztetés biztosítása a járásban élő, szombathelyi köznevelési intézményekben ellátott gyermekek részére </t>
  </si>
  <si>
    <t xml:space="preserve">A járási szinten feladatellátást biztosító laborjárat és a betegirányító, diszpécser „szolgáltatás” működtetési költségeinek finanszírozása </t>
  </si>
  <si>
    <t xml:space="preserve">Felsőcsatári gyerektábor tervezési költségeinek finanszírozása </t>
  </si>
  <si>
    <t>2026. évben igényelt</t>
  </si>
  <si>
    <t>Vas Vármegye és Szombathely Megyei Jogú Város Nyugdíjas Szövetsége támogatása</t>
  </si>
  <si>
    <t>Herényi Kulturális és Sportegyesület - Alkotótábor megrendezése</t>
  </si>
  <si>
    <t>Tartalék - Felsőcsatári gyerektábor tervezési költségeire</t>
  </si>
  <si>
    <t>Működési célú maradvány (intézményekhez kapcsolódóan)</t>
  </si>
  <si>
    <t>Kulturális 15%-os illetmény emeléshez normatív támogatás - kulturális intézmények</t>
  </si>
  <si>
    <t>Kulturális 15%-os illetmény emeléshez normatív támogatás - kulturális gazdasági társaságok</t>
  </si>
  <si>
    <t>Tartalék - kulturális gazdasági társaságok 15%-os béremelésének tartaléka</t>
  </si>
  <si>
    <t>Táncverseny</t>
  </si>
  <si>
    <t xml:space="preserve">Munkáltató kölcsön </t>
  </si>
  <si>
    <r>
      <t>Weöres Sándor Színház Nkft.</t>
    </r>
    <r>
      <rPr>
        <b/>
        <i/>
        <sz val="16"/>
        <rFont val="Calibri"/>
        <family val="2"/>
        <charset val="238"/>
        <scheme val="minor"/>
      </rPr>
      <t xml:space="preserve"> önkormányzati támogatása</t>
    </r>
  </si>
  <si>
    <r>
      <t xml:space="preserve">Önkormányzati fenntartású Weöres Sándor Színház Nkft. </t>
    </r>
    <r>
      <rPr>
        <i/>
        <sz val="16"/>
        <rFont val="Calibri"/>
        <family val="2"/>
        <charset val="238"/>
        <scheme val="minor"/>
      </rPr>
      <t>közös működtetési támogatása</t>
    </r>
  </si>
  <si>
    <t xml:space="preserve">Szombathelyi Egészségügyi és Kulturális Intézmények GESZ </t>
  </si>
  <si>
    <t>Költségvetési szervek 2026. évi bevételei</t>
  </si>
  <si>
    <t>I N T É Z M É N Y</t>
  </si>
  <si>
    <t xml:space="preserve">Központi irányító szervi támogatás </t>
  </si>
  <si>
    <t>2026.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</si>
  <si>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</si>
  <si>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</si>
  <si>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</si>
  <si>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</si>
  <si>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</si>
  <si>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</si>
  <si>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</si>
  <si>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</si>
  <si>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</si>
  <si>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</si>
  <si>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</si>
  <si>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</si>
  <si>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</si>
  <si>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</si>
  <si>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</si>
  <si>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</si>
  <si>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</si>
  <si>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Benczur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</si>
  <si>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</si>
  <si>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</si>
  <si>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</si>
  <si>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</si>
  <si>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</si>
  <si>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</si>
  <si>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</si>
  <si>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</si>
  <si>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</si>
  <si>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</si>
  <si>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Szociális intézmények</t>
  </si>
  <si>
    <t>Egészségügyi intézmény</t>
  </si>
  <si>
    <t>Szombathelyi Egészségügyi 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</si>
  <si>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</si>
  <si>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</si>
  <si>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</si>
  <si>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</si>
  <si>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</si>
  <si>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2026. évi kiadásai</t>
  </si>
  <si>
    <t>Egyéb müködési célú kiadások</t>
  </si>
  <si>
    <t>Felhalmozási kiadások öszesen</t>
  </si>
  <si>
    <t>Szombathely Megyei Jogú Város Önkormányzatának</t>
  </si>
  <si>
    <t>2026. évi  engedélyezett létszámelőirányzata</t>
  </si>
  <si>
    <t>fő</t>
  </si>
  <si>
    <t>Intézmény</t>
  </si>
  <si>
    <t>2026. évi eredeti előirányzat funkciócsoportokba sorolt létszám megoszlása bérrendszerek szerint</t>
  </si>
  <si>
    <t>2025. évi záró előirányzat</t>
  </si>
  <si>
    <t>2026. évi eredeti előirányzat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</si>
  <si>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</si>
  <si>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</si>
  <si>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</si>
  <si>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</si>
  <si>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</si>
  <si>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</si>
  <si>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
 közfoglalkoztatottak</t>
  </si>
  <si>
    <t>Ó v o d á k :</t>
  </si>
  <si>
    <t>Kőrösi Csoma Sándor utcai Óvoda</t>
  </si>
  <si>
    <t>Benczúr Gyula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</si>
  <si>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</si>
  <si>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</si>
  <si>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</si>
  <si>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</si>
  <si>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</si>
  <si>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>Szombathelyi Egészségügyi és Kulturális GESZ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</si>
  <si>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</si>
  <si>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</si>
  <si>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</si>
  <si>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(Költségvetési törvény 2. melléklet)</t>
  </si>
  <si>
    <t xml:space="preserve">2025. év  eredeti előirányzat </t>
  </si>
  <si>
    <t xml:space="preserve">2026. év  eredeti előirányzat </t>
  </si>
  <si>
    <t xml:space="preserve">Eltérés </t>
  </si>
  <si>
    <t>1.1. TELEPÜLÉSI ÖNKORMÁNYZATOK MŰKÖDÉSÉNEK ÁLTALÁNOS TÁMOGATÁSA</t>
  </si>
  <si>
    <t>1.1.1. Önkormányzati hivatal működésének támogatása</t>
  </si>
  <si>
    <t>1.1.2. Településüzemeltetés - zöldterület gazdálkodás támogatása</t>
  </si>
  <si>
    <t>1.1.3. Településüzemeltetés - közvilágítás támogatása</t>
  </si>
  <si>
    <t>1.1.4. Településüzemeltetés - köztemető támogatása</t>
  </si>
  <si>
    <t>1.1.5. Településüzemeltetés - közutak támogatása</t>
  </si>
  <si>
    <t>1.1.6. Egyéb önkormányzati feladatok támogatása</t>
  </si>
  <si>
    <t>1.1.7. Lakott külterülettel kapcsolatos feladatok támogatása</t>
  </si>
  <si>
    <t>1.1.8.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</si>
  <si>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</si>
  <si>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</si>
  <si>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</si>
  <si>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</si>
  <si>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</si>
  <si>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</si>
  <si>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</si>
  <si>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</si>
  <si>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</si>
  <si>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</si>
  <si>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</si>
  <si>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</si>
  <si>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</si>
  <si>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</si>
  <si>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</si>
  <si>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</si>
  <si>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</si>
  <si>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</si>
  <si>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</si>
  <si>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</si>
  <si>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</si>
  <si>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</si>
  <si>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</si>
  <si>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</si>
  <si>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</si>
  <si>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</si>
  <si>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</si>
  <si>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</si>
  <si>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</si>
  <si>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</si>
  <si>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</si>
  <si>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</si>
  <si>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</si>
  <si>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</si>
  <si>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</si>
  <si>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</si>
  <si>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</si>
  <si>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</si>
  <si>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</si>
  <si>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</si>
  <si>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</si>
  <si>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</si>
  <si>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</si>
  <si>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</si>
  <si>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</si>
  <si>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</si>
  <si>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</si>
  <si>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</si>
  <si>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</si>
  <si>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</si>
  <si>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</si>
  <si>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</si>
  <si>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</si>
  <si>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</si>
  <si>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</si>
  <si>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</si>
  <si>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</si>
  <si>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</si>
  <si>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2.4.2. Vármegyei hatókörű városi múzeumok feladatainak támogatása</t>
  </si>
  <si>
    <t>2.4.3. Vármegyei hatókörű városi  könyvtárak feladatainak támogatása</t>
  </si>
  <si>
    <t>2.4.6. Zeneművészeti szervezetek támogatása</t>
  </si>
  <si>
    <t xml:space="preserve">2.4.7.  Települési önkormányzatok kulturális feladatainak bérjellegű támogatása  </t>
  </si>
  <si>
    <t>Kulturális inézmények és cégek 15%-os bérfejlesztéséhez támogatás</t>
  </si>
  <si>
    <t>Kulturális feladatok támogatása összesen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</si>
  <si>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</si>
  <si>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</si>
  <si>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</si>
  <si>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</si>
  <si>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</si>
  <si>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</si>
  <si>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</si>
  <si>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>MINDÖSSZESEN</t>
  </si>
  <si>
    <t>módosított 
előirányzat</t>
  </si>
  <si>
    <t>eredeti 
előirányzat</t>
  </si>
  <si>
    <t>Tulajdonosi bevételek</t>
  </si>
  <si>
    <t>Egyéb 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</si>
</sst>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0_ ;\-#,##0\ "/>
    <numFmt numFmtId="166" formatCode="#,##0.00_ ;\-#,##0.00\ "/>
  </numFmts>
  <fonts count="104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u/>
      <sz val="16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Arial CE"/>
      <charset val="238"/>
    </font>
    <font>
      <sz val="12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sz val="12"/>
      <name val="Arial CE"/>
      <charset val="238"/>
    </font>
    <font>
      <b/>
      <sz val="22"/>
      <name val="Arial CE"/>
      <charset val="238"/>
    </font>
    <font>
      <sz val="2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20"/>
      <name val="Arial CE"/>
      <charset val="238"/>
    </font>
    <font>
      <b/>
      <sz val="18"/>
      <name val="Arial CE"/>
      <charset val="238"/>
    </font>
    <font>
      <b/>
      <sz val="24"/>
      <name val="Arial CE"/>
      <charset val="238"/>
    </font>
    <font>
      <b/>
      <i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12"/>
      <name val="Times New Roman CE"/>
      <charset val="238"/>
    </font>
    <font>
      <sz val="26"/>
      <name val="Times New Roman CE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26"/>
      <name val="Times New Roman CE"/>
      <charset val="238"/>
    </font>
    <font>
      <b/>
      <u/>
      <sz val="30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30"/>
      <name val="Calibri"/>
      <family val="2"/>
      <charset val="238"/>
      <scheme val="minor"/>
    </font>
    <font>
      <sz val="30"/>
      <color indexed="10"/>
      <name val="Calibri"/>
      <family val="2"/>
      <charset val="238"/>
      <scheme val="minor"/>
    </font>
    <font>
      <b/>
      <sz val="20"/>
      <color indexed="10"/>
      <name val="Calibri"/>
      <family val="2"/>
      <charset val="238"/>
      <scheme val="minor"/>
    </font>
    <font>
      <sz val="16"/>
      <name val="Times New Roman CE"/>
      <charset val="238"/>
    </font>
    <font>
      <sz val="16"/>
      <color indexed="10"/>
      <name val="Times New Roman CE"/>
      <charset val="238"/>
    </font>
    <font>
      <b/>
      <sz val="16"/>
      <color indexed="10"/>
      <name val="Arial CE"/>
      <family val="2"/>
      <charset val="238"/>
    </font>
    <font>
      <b/>
      <sz val="26"/>
      <color indexed="10"/>
      <name val="Calibri"/>
      <family val="2"/>
      <charset val="238"/>
      <scheme val="minor"/>
    </font>
    <font>
      <b/>
      <sz val="26"/>
      <color indexed="10"/>
      <name val="Arial CE"/>
      <family val="2"/>
      <charset val="238"/>
    </font>
    <font>
      <b/>
      <sz val="2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sz val="22"/>
      <color theme="1"/>
      <name val="Arial"/>
      <family val="2"/>
      <charset val="238"/>
    </font>
    <font>
      <b/>
      <i/>
      <sz val="26"/>
      <name val="Arial"/>
      <family val="2"/>
      <charset val="238"/>
    </font>
    <font>
      <b/>
      <sz val="26"/>
      <color indexed="8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</borders>
  <cellStyleXfs count="64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4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39" fillId="0" borderId="0"/>
    <xf numFmtId="164" fontId="39" fillId="0" borderId="0" applyFont="0" applyFill="0" applyBorder="0" applyAlignment="0" applyProtection="0"/>
    <xf numFmtId="0" fontId="3" fillId="0" borderId="0"/>
    <xf numFmtId="0" fontId="64" fillId="0" borderId="0"/>
    <xf numFmtId="0" fontId="64" fillId="0" borderId="0"/>
    <xf numFmtId="0" fontId="23" fillId="0" borderId="0"/>
    <xf numFmtId="0" fontId="1" fillId="0" borderId="0"/>
  </cellStyleXfs>
  <cellXfs count="958">
    <xf numFmtId="0" fontId="0" fillId="0" borderId="0" xfId="0"/>
    <xf numFmtId="0" fontId="25" fillId="0" borderId="0" xfId="0" applyFont="1"/>
    <xf numFmtId="0" fontId="27" fillId="0" borderId="0" xfId="0" applyFont="1"/>
    <xf numFmtId="3" fontId="28" fillId="0" borderId="25" xfId="0" applyNumberFormat="1" applyFont="1" applyBorder="1" applyAlignment="1">
      <alignment horizontal="center"/>
    </xf>
    <xf numFmtId="3" fontId="27" fillId="0" borderId="0" xfId="0" applyNumberFormat="1" applyFont="1"/>
    <xf numFmtId="3" fontId="27" fillId="0" borderId="21" xfId="0" applyNumberFormat="1" applyFont="1" applyBorder="1"/>
    <xf numFmtId="3" fontId="27" fillId="0" borderId="21" xfId="0" applyNumberFormat="1" applyFont="1" applyBorder="1" applyAlignment="1">
      <alignment horizontal="right"/>
    </xf>
    <xf numFmtId="3" fontId="27" fillId="0" borderId="33" xfId="0" applyNumberFormat="1" applyFont="1" applyBorder="1"/>
    <xf numFmtId="3" fontId="27" fillId="0" borderId="33" xfId="0" applyNumberFormat="1" applyFont="1" applyBorder="1" applyAlignment="1">
      <alignment horizontal="right"/>
    </xf>
    <xf numFmtId="3" fontId="27" fillId="0" borderId="26" xfId="0" applyNumberFormat="1" applyFont="1" applyBorder="1"/>
    <xf numFmtId="3" fontId="27" fillId="0" borderId="34" xfId="0" applyNumberFormat="1" applyFont="1" applyBorder="1"/>
    <xf numFmtId="3" fontId="30" fillId="0" borderId="26" xfId="0" applyNumberFormat="1" applyFont="1" applyBorder="1"/>
    <xf numFmtId="3" fontId="31" fillId="0" borderId="35" xfId="0" applyNumberFormat="1" applyFont="1" applyBorder="1"/>
    <xf numFmtId="3" fontId="31" fillId="0" borderId="37" xfId="0" applyNumberFormat="1" applyFont="1" applyBorder="1" applyAlignment="1">
      <alignment horizontal="right"/>
    </xf>
    <xf numFmtId="3" fontId="27" fillId="0" borderId="26" xfId="0" applyNumberFormat="1" applyFont="1" applyBorder="1" applyAlignment="1">
      <alignment horizontal="right"/>
    </xf>
    <xf numFmtId="0" fontId="25" fillId="0" borderId="0" xfId="48" applyFont="1"/>
    <xf numFmtId="3" fontId="31" fillId="0" borderId="41" xfId="0" applyNumberFormat="1" applyFont="1" applyBorder="1"/>
    <xf numFmtId="3" fontId="31" fillId="0" borderId="37" xfId="0" applyNumberFormat="1" applyFont="1" applyBorder="1"/>
    <xf numFmtId="3" fontId="31" fillId="0" borderId="44" xfId="0" applyNumberFormat="1" applyFont="1" applyBorder="1"/>
    <xf numFmtId="3" fontId="31" fillId="0" borderId="0" xfId="0" applyNumberFormat="1" applyFont="1"/>
    <xf numFmtId="3" fontId="27" fillId="0" borderId="45" xfId="0" applyNumberFormat="1" applyFont="1" applyBorder="1"/>
    <xf numFmtId="3" fontId="30" fillId="0" borderId="0" xfId="0" applyNumberFormat="1" applyFont="1"/>
    <xf numFmtId="3" fontId="28" fillId="0" borderId="29" xfId="0" applyNumberFormat="1" applyFont="1" applyBorder="1" applyAlignment="1">
      <alignment horizontal="center"/>
    </xf>
    <xf numFmtId="0" fontId="31" fillId="0" borderId="25" xfId="0" applyFont="1" applyBorder="1" applyAlignment="1">
      <alignment horizontal="left"/>
    </xf>
    <xf numFmtId="3" fontId="30" fillId="0" borderId="26" xfId="0" applyNumberFormat="1" applyFont="1" applyBorder="1" applyProtection="1">
      <protection locked="0"/>
    </xf>
    <xf numFmtId="3" fontId="32" fillId="0" borderId="26" xfId="0" applyNumberFormat="1" applyFont="1" applyBorder="1"/>
    <xf numFmtId="3" fontId="30" fillId="0" borderId="48" xfId="0" applyNumberFormat="1" applyFont="1" applyBorder="1" applyProtection="1">
      <protection locked="0"/>
    </xf>
    <xf numFmtId="3" fontId="30" fillId="0" borderId="50" xfId="0" applyNumberFormat="1" applyFont="1" applyBorder="1" applyProtection="1">
      <protection locked="0"/>
    </xf>
    <xf numFmtId="3" fontId="27" fillId="0" borderId="21" xfId="0" applyNumberFormat="1" applyFont="1" applyBorder="1" applyProtection="1">
      <protection locked="0"/>
    </xf>
    <xf numFmtId="3" fontId="27" fillId="0" borderId="33" xfId="0" applyNumberFormat="1" applyFont="1" applyBorder="1" applyProtection="1">
      <protection locked="0"/>
    </xf>
    <xf numFmtId="3" fontId="30" fillId="0" borderId="48" xfId="0" applyNumberFormat="1" applyFont="1" applyBorder="1"/>
    <xf numFmtId="3" fontId="27" fillId="0" borderId="26" xfId="0" applyNumberFormat="1" applyFont="1" applyBorder="1" applyProtection="1">
      <protection locked="0"/>
    </xf>
    <xf numFmtId="3" fontId="30" fillId="0" borderId="50" xfId="0" applyNumberFormat="1" applyFont="1" applyBorder="1"/>
    <xf numFmtId="3" fontId="27" fillId="0" borderId="48" xfId="0" applyNumberFormat="1" applyFont="1" applyBorder="1"/>
    <xf numFmtId="3" fontId="30" fillId="0" borderId="41" xfId="0" applyNumberFormat="1" applyFont="1" applyBorder="1"/>
    <xf numFmtId="3" fontId="31" fillId="0" borderId="29" xfId="0" applyNumberFormat="1" applyFont="1" applyBorder="1"/>
    <xf numFmtId="0" fontId="25" fillId="0" borderId="19" xfId="0" applyFont="1" applyBorder="1" applyAlignment="1">
      <alignment horizontal="left"/>
    </xf>
    <xf numFmtId="3" fontId="31" fillId="0" borderId="41" xfId="0" applyNumberFormat="1" applyFont="1" applyBorder="1" applyProtection="1">
      <protection locked="0"/>
    </xf>
    <xf numFmtId="0" fontId="30" fillId="0" borderId="25" xfId="0" applyFont="1" applyBorder="1" applyAlignment="1">
      <alignment horizontal="left"/>
    </xf>
    <xf numFmtId="0" fontId="30" fillId="0" borderId="26" xfId="0" applyFont="1" applyBorder="1" applyAlignment="1">
      <alignment horizontal="left"/>
    </xf>
    <xf numFmtId="0" fontId="29" fillId="0" borderId="0" xfId="48" applyFont="1" applyAlignment="1">
      <alignment horizontal="left"/>
    </xf>
    <xf numFmtId="3" fontId="31" fillId="0" borderId="26" xfId="0" applyNumberFormat="1" applyFont="1" applyBorder="1"/>
    <xf numFmtId="3" fontId="27" fillId="0" borderId="34" xfId="0" applyNumberFormat="1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0" fontId="27" fillId="0" borderId="25" xfId="0" applyFont="1" applyBorder="1"/>
    <xf numFmtId="0" fontId="25" fillId="0" borderId="32" xfId="0" applyFont="1" applyBorder="1" applyAlignment="1">
      <alignment horizontal="left"/>
    </xf>
    <xf numFmtId="3" fontId="27" fillId="26" borderId="21" xfId="0" applyNumberFormat="1" applyFont="1" applyFill="1" applyBorder="1"/>
    <xf numFmtId="3" fontId="27" fillId="26" borderId="57" xfId="0" applyNumberFormat="1" applyFont="1" applyFill="1" applyBorder="1"/>
    <xf numFmtId="3" fontId="31" fillId="0" borderId="54" xfId="0" applyNumberFormat="1" applyFont="1" applyBorder="1" applyAlignment="1">
      <alignment horizontal="right" wrapText="1"/>
    </xf>
    <xf numFmtId="3" fontId="31" fillId="0" borderId="41" xfId="0" applyNumberFormat="1" applyFont="1" applyBorder="1" applyAlignment="1">
      <alignment horizontal="right" wrapText="1"/>
    </xf>
    <xf numFmtId="3" fontId="27" fillId="26" borderId="26" xfId="0" applyNumberFormat="1" applyFont="1" applyFill="1" applyBorder="1"/>
    <xf numFmtId="3" fontId="31" fillId="0" borderId="54" xfId="0" applyNumberFormat="1" applyFont="1" applyBorder="1"/>
    <xf numFmtId="0" fontId="31" fillId="0" borderId="0" xfId="0" applyFont="1"/>
    <xf numFmtId="3" fontId="27" fillId="0" borderId="25" xfId="0" applyNumberFormat="1" applyFont="1" applyBorder="1"/>
    <xf numFmtId="3" fontId="30" fillId="0" borderId="26" xfId="0" applyNumberFormat="1" applyFont="1" applyBorder="1" applyAlignment="1">
      <alignment horizontal="left"/>
    </xf>
    <xf numFmtId="3" fontId="27" fillId="0" borderId="21" xfId="0" applyNumberFormat="1" applyFont="1" applyBorder="1" applyAlignment="1">
      <alignment wrapText="1"/>
    </xf>
    <xf numFmtId="3" fontId="31" fillId="0" borderId="48" xfId="0" applyNumberFormat="1" applyFont="1" applyBorder="1" applyAlignment="1">
      <alignment horizontal="center"/>
    </xf>
    <xf numFmtId="3" fontId="27" fillId="0" borderId="21" xfId="52" applyNumberFormat="1" applyFont="1" applyBorder="1" applyAlignment="1">
      <alignment horizontal="right" wrapText="1"/>
    </xf>
    <xf numFmtId="3" fontId="31" fillId="26" borderId="37" xfId="0" applyNumberFormat="1" applyFont="1" applyFill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31" fillId="0" borderId="43" xfId="0" applyNumberFormat="1" applyFont="1" applyBorder="1"/>
    <xf numFmtId="3" fontId="31" fillId="0" borderId="18" xfId="0" applyNumberFormat="1" applyFont="1" applyBorder="1"/>
    <xf numFmtId="0" fontId="27" fillId="0" borderId="0" xfId="0" applyFont="1" applyAlignment="1">
      <alignment wrapText="1"/>
    </xf>
    <xf numFmtId="0" fontId="30" fillId="0" borderId="23" xfId="0" applyFont="1" applyBorder="1" applyAlignment="1">
      <alignment wrapText="1"/>
    </xf>
    <xf numFmtId="0" fontId="30" fillId="0" borderId="25" xfId="0" applyFont="1" applyBorder="1" applyAlignment="1">
      <alignment wrapText="1"/>
    </xf>
    <xf numFmtId="3" fontId="27" fillId="26" borderId="21" xfId="0" applyNumberFormat="1" applyFont="1" applyFill="1" applyBorder="1" applyAlignment="1">
      <alignment wrapText="1"/>
    </xf>
    <xf numFmtId="3" fontId="27" fillId="0" borderId="26" xfId="0" applyNumberFormat="1" applyFont="1" applyBorder="1" applyAlignment="1">
      <alignment wrapText="1"/>
    </xf>
    <xf numFmtId="3" fontId="31" fillId="0" borderId="41" xfId="0" applyNumberFormat="1" applyFont="1" applyBorder="1" applyAlignment="1">
      <alignment wrapText="1"/>
    </xf>
    <xf numFmtId="3" fontId="31" fillId="0" borderId="37" xfId="0" applyNumberFormat="1" applyFont="1" applyBorder="1" applyAlignment="1">
      <alignment wrapText="1"/>
    </xf>
    <xf numFmtId="0" fontId="31" fillId="0" borderId="0" xfId="0" applyFont="1" applyAlignment="1">
      <alignment wrapText="1"/>
    </xf>
    <xf numFmtId="3" fontId="27" fillId="0" borderId="21" xfId="0" applyNumberFormat="1" applyFont="1" applyBorder="1" applyAlignment="1">
      <alignment horizontal="right" wrapText="1"/>
    </xf>
    <xf numFmtId="0" fontId="31" fillId="0" borderId="40" xfId="0" applyFont="1" applyBorder="1" applyAlignment="1">
      <alignment wrapText="1"/>
    </xf>
    <xf numFmtId="3" fontId="31" fillId="0" borderId="44" xfId="0" applyNumberFormat="1" applyFont="1" applyBorder="1" applyAlignment="1">
      <alignment wrapText="1"/>
    </xf>
    <xf numFmtId="0" fontId="27" fillId="0" borderId="31" xfId="0" applyFont="1" applyBorder="1"/>
    <xf numFmtId="3" fontId="27" fillId="0" borderId="60" xfId="0" applyNumberFormat="1" applyFont="1" applyBorder="1"/>
    <xf numFmtId="3" fontId="31" fillId="0" borderId="61" xfId="0" applyNumberFormat="1" applyFont="1" applyBorder="1"/>
    <xf numFmtId="3" fontId="27" fillId="0" borderId="34" xfId="0" applyNumberFormat="1" applyFont="1" applyBorder="1" applyAlignment="1">
      <alignment horizontal="right" wrapText="1"/>
    </xf>
    <xf numFmtId="3" fontId="31" fillId="0" borderId="37" xfId="0" applyNumberFormat="1" applyFont="1" applyBorder="1" applyAlignment="1">
      <alignment horizontal="right" wrapText="1"/>
    </xf>
    <xf numFmtId="3" fontId="27" fillId="26" borderId="26" xfId="0" applyNumberFormat="1" applyFont="1" applyFill="1" applyBorder="1" applyAlignment="1">
      <alignment horizontal="right" wrapText="1"/>
    </xf>
    <xf numFmtId="0" fontId="33" fillId="0" borderId="26" xfId="0" applyFont="1" applyBorder="1" applyAlignment="1">
      <alignment horizontal="right" wrapText="1"/>
    </xf>
    <xf numFmtId="3" fontId="27" fillId="26" borderId="21" xfId="0" applyNumberFormat="1" applyFont="1" applyFill="1" applyBorder="1" applyAlignment="1">
      <alignment horizontal="right" wrapText="1"/>
    </xf>
    <xf numFmtId="3" fontId="31" fillId="0" borderId="50" xfId="0" applyNumberFormat="1" applyFont="1" applyBorder="1" applyAlignment="1">
      <alignment horizontal="right" wrapText="1"/>
    </xf>
    <xf numFmtId="3" fontId="27" fillId="0" borderId="26" xfId="0" applyNumberFormat="1" applyFont="1" applyBorder="1" applyAlignment="1">
      <alignment horizontal="right" wrapText="1"/>
    </xf>
    <xf numFmtId="3" fontId="31" fillId="0" borderId="29" xfId="0" applyNumberFormat="1" applyFont="1" applyBorder="1" applyAlignment="1">
      <alignment horizontal="right" wrapText="1"/>
    </xf>
    <xf numFmtId="3" fontId="30" fillId="0" borderId="29" xfId="0" applyNumberFormat="1" applyFont="1" applyBorder="1" applyAlignment="1">
      <alignment horizontal="right" wrapText="1"/>
    </xf>
    <xf numFmtId="0" fontId="27" fillId="0" borderId="0" xfId="0" applyFont="1" applyAlignment="1">
      <alignment horizontal="right" wrapText="1"/>
    </xf>
    <xf numFmtId="3" fontId="34" fillId="0" borderId="0" xfId="0" applyNumberFormat="1" applyFont="1"/>
    <xf numFmtId="3" fontId="27" fillId="26" borderId="21" xfId="0" applyNumberFormat="1" applyFont="1" applyFill="1" applyBorder="1" applyProtection="1">
      <protection locked="0"/>
    </xf>
    <xf numFmtId="3" fontId="27" fillId="0" borderId="57" xfId="0" applyNumberFormat="1" applyFont="1" applyBorder="1" applyProtection="1">
      <protection locked="0"/>
    </xf>
    <xf numFmtId="3" fontId="27" fillId="26" borderId="33" xfId="0" applyNumberFormat="1" applyFont="1" applyFill="1" applyBorder="1" applyProtection="1">
      <protection locked="0"/>
    </xf>
    <xf numFmtId="3" fontId="27" fillId="26" borderId="33" xfId="46" applyNumberFormat="1" applyFont="1" applyFill="1" applyBorder="1" applyProtection="1">
      <protection locked="0"/>
    </xf>
    <xf numFmtId="3" fontId="27" fillId="26" borderId="26" xfId="0" applyNumberFormat="1" applyFont="1" applyFill="1" applyBorder="1" applyProtection="1">
      <protection locked="0"/>
    </xf>
    <xf numFmtId="3" fontId="27" fillId="26" borderId="26" xfId="46" applyNumberFormat="1" applyFont="1" applyFill="1" applyBorder="1" applyProtection="1">
      <protection locked="0"/>
    </xf>
    <xf numFmtId="0" fontId="26" fillId="0" borderId="0" xfId="48" applyFont="1"/>
    <xf numFmtId="3" fontId="27" fillId="0" borderId="21" xfId="48" applyNumberFormat="1" applyFont="1" applyBorder="1"/>
    <xf numFmtId="3" fontId="27" fillId="0" borderId="33" xfId="48" applyNumberFormat="1" applyFont="1" applyBorder="1"/>
    <xf numFmtId="3" fontId="31" fillId="0" borderId="37" xfId="48" applyNumberFormat="1" applyFont="1" applyBorder="1"/>
    <xf numFmtId="3" fontId="27" fillId="0" borderId="34" xfId="48" applyNumberFormat="1" applyFont="1" applyBorder="1"/>
    <xf numFmtId="3" fontId="31" fillId="0" borderId="50" xfId="48" applyNumberFormat="1" applyFont="1" applyBorder="1"/>
    <xf numFmtId="0" fontId="28" fillId="0" borderId="0" xfId="48" applyFont="1" applyAlignment="1">
      <alignment horizontal="left"/>
    </xf>
    <xf numFmtId="3" fontId="27" fillId="0" borderId="33" xfId="48" applyNumberFormat="1" applyFont="1" applyBorder="1" applyAlignment="1">
      <alignment horizontal="right"/>
    </xf>
    <xf numFmtId="3" fontId="31" fillId="0" borderId="50" xfId="48" applyNumberFormat="1" applyFont="1" applyBorder="1" applyAlignment="1">
      <alignment horizontal="right"/>
    </xf>
    <xf numFmtId="3" fontId="31" fillId="0" borderId="41" xfId="48" applyNumberFormat="1" applyFont="1" applyBorder="1" applyAlignment="1">
      <alignment horizontal="right"/>
    </xf>
    <xf numFmtId="0" fontId="28" fillId="0" borderId="0" xfId="48" applyFont="1" applyAlignment="1">
      <alignment horizontal="center"/>
    </xf>
    <xf numFmtId="0" fontId="29" fillId="0" borderId="0" xfId="48" applyFont="1" applyAlignment="1">
      <alignment horizontal="center"/>
    </xf>
    <xf numFmtId="0" fontId="31" fillId="0" borderId="25" xfId="48" applyFont="1" applyBorder="1"/>
    <xf numFmtId="3" fontId="27" fillId="25" borderId="33" xfId="48" applyNumberFormat="1" applyFont="1" applyFill="1" applyBorder="1" applyAlignment="1">
      <alignment horizontal="right"/>
    </xf>
    <xf numFmtId="3" fontId="31" fillId="0" borderId="48" xfId="48" applyNumberFormat="1" applyFont="1" applyBorder="1"/>
    <xf numFmtId="0" fontId="31" fillId="0" borderId="48" xfId="48" applyFont="1" applyBorder="1"/>
    <xf numFmtId="3" fontId="27" fillId="25" borderId="21" xfId="48" applyNumberFormat="1" applyFont="1" applyFill="1" applyBorder="1"/>
    <xf numFmtId="3" fontId="27" fillId="0" borderId="26" xfId="48" applyNumberFormat="1" applyFont="1" applyBorder="1"/>
    <xf numFmtId="0" fontId="30" fillId="0" borderId="26" xfId="48" applyFont="1" applyBorder="1"/>
    <xf numFmtId="3" fontId="31" fillId="0" borderId="29" xfId="48" applyNumberFormat="1" applyFont="1" applyBorder="1"/>
    <xf numFmtId="0" fontId="29" fillId="0" borderId="43" xfId="51" applyFont="1" applyBorder="1" applyAlignment="1">
      <alignment horizontal="justify"/>
    </xf>
    <xf numFmtId="3" fontId="29" fillId="0" borderId="37" xfId="51" applyNumberFormat="1" applyFont="1" applyBorder="1"/>
    <xf numFmtId="3" fontId="25" fillId="0" borderId="35" xfId="51" applyNumberFormat="1" applyFont="1" applyBorder="1"/>
    <xf numFmtId="3" fontId="25" fillId="0" borderId="26" xfId="51" applyNumberFormat="1" applyFont="1" applyBorder="1"/>
    <xf numFmtId="0" fontId="29" fillId="0" borderId="43" xfId="51" applyFont="1" applyBorder="1"/>
    <xf numFmtId="0" fontId="29" fillId="0" borderId="23" xfId="51" applyFont="1" applyBorder="1" applyAlignment="1">
      <alignment horizontal="justify"/>
    </xf>
    <xf numFmtId="0" fontId="25" fillId="0" borderId="22" xfId="49" applyFont="1" applyBorder="1"/>
    <xf numFmtId="0" fontId="25" fillId="0" borderId="11" xfId="49" applyFont="1" applyBorder="1"/>
    <xf numFmtId="0" fontId="25" fillId="0" borderId="11" xfId="49" applyFont="1" applyBorder="1" applyAlignment="1">
      <alignment wrapText="1"/>
    </xf>
    <xf numFmtId="0" fontId="25" fillId="0" borderId="63" xfId="49" applyFont="1" applyBorder="1"/>
    <xf numFmtId="0" fontId="25" fillId="0" borderId="23" xfId="49" applyFont="1" applyBorder="1"/>
    <xf numFmtId="0" fontId="25" fillId="0" borderId="18" xfId="49" applyFont="1" applyBorder="1"/>
    <xf numFmtId="0" fontId="29" fillId="0" borderId="18" xfId="51" applyFont="1" applyBorder="1" applyAlignment="1">
      <alignment horizontal="justify"/>
    </xf>
    <xf numFmtId="0" fontId="31" fillId="0" borderId="23" xfId="0" applyFont="1" applyBorder="1" applyAlignment="1">
      <alignment horizontal="left"/>
    </xf>
    <xf numFmtId="3" fontId="34" fillId="0" borderId="57" xfId="0" applyNumberFormat="1" applyFont="1" applyBorder="1"/>
    <xf numFmtId="3" fontId="34" fillId="0" borderId="21" xfId="0" applyNumberFormat="1" applyFont="1" applyBorder="1"/>
    <xf numFmtId="3" fontId="34" fillId="0" borderId="33" xfId="0" applyNumberFormat="1" applyFont="1" applyBorder="1"/>
    <xf numFmtId="3" fontId="34" fillId="0" borderId="57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right"/>
    </xf>
    <xf numFmtId="3" fontId="34" fillId="0" borderId="33" xfId="0" applyNumberFormat="1" applyFont="1" applyBorder="1" applyAlignment="1">
      <alignment horizontal="right"/>
    </xf>
    <xf numFmtId="3" fontId="34" fillId="0" borderId="34" xfId="0" applyNumberFormat="1" applyFont="1" applyBorder="1"/>
    <xf numFmtId="3" fontId="35" fillId="0" borderId="36" xfId="0" applyNumberFormat="1" applyFont="1" applyBorder="1"/>
    <xf numFmtId="3" fontId="34" fillId="0" borderId="25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Continuous"/>
    </xf>
    <xf numFmtId="3" fontId="34" fillId="0" borderId="26" xfId="0" applyNumberFormat="1" applyFont="1" applyBorder="1" applyAlignment="1">
      <alignment horizontal="right"/>
    </xf>
    <xf numFmtId="3" fontId="34" fillId="0" borderId="21" xfId="48" applyNumberFormat="1" applyFont="1" applyBorder="1" applyAlignment="1">
      <alignment horizontal="right"/>
    </xf>
    <xf numFmtId="3" fontId="36" fillId="0" borderId="37" xfId="0" applyNumberFormat="1" applyFont="1" applyBorder="1" applyAlignment="1">
      <alignment horizontal="right"/>
    </xf>
    <xf numFmtId="3" fontId="36" fillId="0" borderId="37" xfId="0" applyNumberFormat="1" applyFont="1" applyBorder="1"/>
    <xf numFmtId="3" fontId="34" fillId="0" borderId="26" xfId="0" applyNumberFormat="1" applyFont="1" applyBorder="1"/>
    <xf numFmtId="3" fontId="36" fillId="0" borderId="41" xfId="0" applyNumberFormat="1" applyFont="1" applyBorder="1" applyAlignment="1">
      <alignment horizontal="right"/>
    </xf>
    <xf numFmtId="3" fontId="36" fillId="0" borderId="26" xfId="0" applyNumberFormat="1" applyFont="1" applyBorder="1" applyAlignment="1">
      <alignment horizontal="centerContinuous"/>
    </xf>
    <xf numFmtId="3" fontId="36" fillId="0" borderId="26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"/>
    </xf>
    <xf numFmtId="3" fontId="34" fillId="0" borderId="29" xfId="0" applyNumberFormat="1" applyFont="1" applyBorder="1" applyAlignment="1">
      <alignment horizontal="center"/>
    </xf>
    <xf numFmtId="3" fontId="36" fillId="0" borderId="25" xfId="0" applyNumberFormat="1" applyFont="1" applyBorder="1"/>
    <xf numFmtId="3" fontId="36" fillId="0" borderId="44" xfId="0" applyNumberFormat="1" applyFont="1" applyBorder="1"/>
    <xf numFmtId="3" fontId="34" fillId="0" borderId="29" xfId="0" applyNumberFormat="1" applyFont="1" applyBorder="1"/>
    <xf numFmtId="0" fontId="27" fillId="0" borderId="19" xfId="0" applyFont="1" applyBorder="1"/>
    <xf numFmtId="0" fontId="34" fillId="0" borderId="19" xfId="0" applyFont="1" applyBorder="1"/>
    <xf numFmtId="0" fontId="34" fillId="0" borderId="0" xfId="0" applyFont="1"/>
    <xf numFmtId="3" fontId="36" fillId="0" borderId="0" xfId="0" applyNumberFormat="1" applyFont="1" applyAlignment="1">
      <alignment horizontal="left"/>
    </xf>
    <xf numFmtId="3" fontId="36" fillId="0" borderId="26" xfId="0" applyNumberFormat="1" applyFont="1" applyBorder="1" applyAlignment="1">
      <alignment horizontal="left"/>
    </xf>
    <xf numFmtId="3" fontId="37" fillId="0" borderId="40" xfId="0" applyNumberFormat="1" applyFont="1" applyBorder="1" applyAlignment="1">
      <alignment horizontal="centerContinuous"/>
    </xf>
    <xf numFmtId="3" fontId="36" fillId="0" borderId="40" xfId="0" applyNumberFormat="1" applyFont="1" applyBorder="1" applyAlignment="1">
      <alignment horizontal="centerContinuous"/>
    </xf>
    <xf numFmtId="3" fontId="36" fillId="0" borderId="25" xfId="0" applyNumberFormat="1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3" fontId="34" fillId="0" borderId="28" xfId="0" applyNumberFormat="1" applyFont="1" applyBorder="1"/>
    <xf numFmtId="0" fontId="27" fillId="0" borderId="58" xfId="0" applyFont="1" applyBorder="1"/>
    <xf numFmtId="0" fontId="27" fillId="0" borderId="32" xfId="0" applyFont="1" applyBorder="1"/>
    <xf numFmtId="0" fontId="27" fillId="0" borderId="18" xfId="0" applyFont="1" applyBorder="1"/>
    <xf numFmtId="3" fontId="31" fillId="0" borderId="32" xfId="0" applyNumberFormat="1" applyFont="1" applyBorder="1"/>
    <xf numFmtId="3" fontId="27" fillId="0" borderId="32" xfId="0" applyNumberFormat="1" applyFont="1" applyBorder="1"/>
    <xf numFmtId="0" fontId="27" fillId="0" borderId="0" xfId="48" applyFont="1"/>
    <xf numFmtId="0" fontId="31" fillId="0" borderId="24" xfId="0" applyFont="1" applyBorder="1"/>
    <xf numFmtId="0" fontId="31" fillId="0" borderId="40" xfId="0" applyFont="1" applyBorder="1"/>
    <xf numFmtId="0" fontId="27" fillId="0" borderId="32" xfId="0" applyFont="1" applyBorder="1" applyAlignment="1">
      <alignment wrapText="1"/>
    </xf>
    <xf numFmtId="3" fontId="31" fillId="26" borderId="43" xfId="0" applyNumberFormat="1" applyFont="1" applyFill="1" applyBorder="1" applyAlignment="1">
      <alignment horizontal="right"/>
    </xf>
    <xf numFmtId="3" fontId="31" fillId="26" borderId="37" xfId="0" applyNumberFormat="1" applyFont="1" applyFill="1" applyBorder="1"/>
    <xf numFmtId="0" fontId="27" fillId="0" borderId="19" xfId="48" applyFont="1" applyBorder="1" applyAlignment="1">
      <alignment horizontal="justify"/>
    </xf>
    <xf numFmtId="0" fontId="25" fillId="0" borderId="19" xfId="48" applyFont="1" applyBorder="1" applyAlignment="1">
      <alignment horizontal="justify"/>
    </xf>
    <xf numFmtId="0" fontId="27" fillId="0" borderId="25" xfId="48" applyFont="1" applyBorder="1" applyAlignment="1">
      <alignment horizontal="center"/>
    </xf>
    <xf numFmtId="3" fontId="31" fillId="0" borderId="26" xfId="48" applyNumberFormat="1" applyFont="1" applyBorder="1"/>
    <xf numFmtId="3" fontId="27" fillId="0" borderId="70" xfId="0" applyNumberFormat="1" applyFont="1" applyBorder="1" applyAlignment="1">
      <alignment horizontal="right" wrapText="1"/>
    </xf>
    <xf numFmtId="0" fontId="25" fillId="0" borderId="27" xfId="51" applyFont="1" applyBorder="1"/>
    <xf numFmtId="3" fontId="27" fillId="26" borderId="21" xfId="46" applyNumberFormat="1" applyFont="1" applyFill="1" applyBorder="1" applyProtection="1">
      <protection locked="0"/>
    </xf>
    <xf numFmtId="0" fontId="27" fillId="0" borderId="62" xfId="0" applyFont="1" applyBorder="1"/>
    <xf numFmtId="3" fontId="27" fillId="0" borderId="0" xfId="0" applyNumberFormat="1" applyFont="1" applyAlignment="1">
      <alignment horizontal="right" wrapText="1"/>
    </xf>
    <xf numFmtId="3" fontId="31" fillId="26" borderId="26" xfId="0" applyNumberFormat="1" applyFont="1" applyFill="1" applyBorder="1" applyAlignment="1">
      <alignment horizontal="right" wrapText="1"/>
    </xf>
    <xf numFmtId="3" fontId="27" fillId="26" borderId="35" xfId="0" applyNumberFormat="1" applyFont="1" applyFill="1" applyBorder="1"/>
    <xf numFmtId="3" fontId="31" fillId="0" borderId="25" xfId="0" applyNumberFormat="1" applyFont="1" applyBorder="1"/>
    <xf numFmtId="3" fontId="31" fillId="25" borderId="29" xfId="48" applyNumberFormat="1" applyFont="1" applyFill="1" applyBorder="1"/>
    <xf numFmtId="3" fontId="27" fillId="0" borderId="0" xfId="0" applyNumberFormat="1" applyFont="1" applyAlignment="1">
      <alignment wrapText="1"/>
    </xf>
    <xf numFmtId="3" fontId="27" fillId="0" borderId="19" xfId="0" applyNumberFormat="1" applyFont="1" applyBorder="1"/>
    <xf numFmtId="3" fontId="27" fillId="0" borderId="56" xfId="0" applyNumberFormat="1" applyFont="1" applyBorder="1" applyAlignment="1">
      <alignment wrapText="1"/>
    </xf>
    <xf numFmtId="0" fontId="31" fillId="0" borderId="18" xfId="48" applyFont="1" applyBorder="1"/>
    <xf numFmtId="0" fontId="27" fillId="0" borderId="18" xfId="48" applyFont="1" applyBorder="1" applyAlignment="1">
      <alignment horizontal="right"/>
    </xf>
    <xf numFmtId="3" fontId="27" fillId="25" borderId="26" xfId="48" applyNumberFormat="1" applyFont="1" applyFill="1" applyBorder="1"/>
    <xf numFmtId="3" fontId="27" fillId="0" borderId="60" xfId="0" applyNumberFormat="1" applyFont="1" applyBorder="1" applyAlignment="1">
      <alignment horizontal="right" wrapText="1"/>
    </xf>
    <xf numFmtId="3" fontId="27" fillId="0" borderId="46" xfId="0" applyNumberFormat="1" applyFont="1" applyBorder="1" applyAlignment="1">
      <alignment horizontal="right"/>
    </xf>
    <xf numFmtId="0" fontId="31" fillId="0" borderId="0" xfId="48" applyFont="1" applyAlignment="1">
      <alignment horizontal="center"/>
    </xf>
    <xf numFmtId="3" fontId="30" fillId="26" borderId="21" xfId="0" applyNumberFormat="1" applyFont="1" applyFill="1" applyBorder="1" applyProtection="1">
      <protection locked="0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9" fillId="0" borderId="24" xfId="48" applyFont="1" applyBorder="1" applyAlignment="1">
      <alignment horizontal="center"/>
    </xf>
    <xf numFmtId="0" fontId="28" fillId="0" borderId="43" xfId="48" applyFont="1" applyBorder="1" applyAlignment="1">
      <alignment horizontal="left"/>
    </xf>
    <xf numFmtId="0" fontId="25" fillId="0" borderId="19" xfId="0" applyFont="1" applyBorder="1" applyAlignment="1">
      <alignment horizontal="left" wrapText="1"/>
    </xf>
    <xf numFmtId="0" fontId="27" fillId="0" borderId="0" xfId="48" applyFont="1" applyAlignment="1">
      <alignment horizontal="right"/>
    </xf>
    <xf numFmtId="0" fontId="31" fillId="0" borderId="24" xfId="48" applyFont="1" applyBorder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0" fontId="31" fillId="0" borderId="27" xfId="48" applyFont="1" applyBorder="1" applyAlignment="1">
      <alignment horizontal="center"/>
    </xf>
    <xf numFmtId="0" fontId="31" fillId="0" borderId="28" xfId="48" applyFont="1" applyBorder="1" applyAlignment="1">
      <alignment horizontal="center"/>
    </xf>
    <xf numFmtId="3" fontId="31" fillId="0" borderId="26" xfId="0" applyNumberFormat="1" applyFont="1" applyBorder="1" applyAlignment="1">
      <alignment horizontal="center"/>
    </xf>
    <xf numFmtId="0" fontId="31" fillId="0" borderId="18" xfId="48" applyFont="1" applyBorder="1" applyAlignment="1">
      <alignment horizontal="left"/>
    </xf>
    <xf numFmtId="0" fontId="31" fillId="0" borderId="66" xfId="48" applyFont="1" applyBorder="1"/>
    <xf numFmtId="0" fontId="27" fillId="0" borderId="56" xfId="0" applyFont="1" applyBorder="1" applyAlignment="1">
      <alignment horizontal="left" wrapText="1" shrinkToFit="1"/>
    </xf>
    <xf numFmtId="0" fontId="27" fillId="0" borderId="65" xfId="0" applyFont="1" applyBorder="1" applyAlignment="1">
      <alignment horizontal="left" wrapText="1" shrinkToFit="1"/>
    </xf>
    <xf numFmtId="0" fontId="31" fillId="0" borderId="38" xfId="48" applyFont="1" applyBorder="1" applyAlignment="1">
      <alignment horizontal="center"/>
    </xf>
    <xf numFmtId="0" fontId="27" fillId="0" borderId="19" xfId="48" applyFont="1" applyBorder="1" applyAlignment="1">
      <alignment wrapText="1"/>
    </xf>
    <xf numFmtId="0" fontId="25" fillId="0" borderId="0" xfId="51" applyFont="1"/>
    <xf numFmtId="0" fontId="40" fillId="0" borderId="0" xfId="51" applyFont="1"/>
    <xf numFmtId="0" fontId="29" fillId="0" borderId="0" xfId="51" applyFont="1"/>
    <xf numFmtId="0" fontId="29" fillId="0" borderId="0" xfId="51" applyFont="1" applyAlignment="1">
      <alignment horizontal="right"/>
    </xf>
    <xf numFmtId="0" fontId="29" fillId="0" borderId="25" xfId="51" applyFont="1" applyBorder="1" applyAlignment="1">
      <alignment horizontal="center"/>
    </xf>
    <xf numFmtId="0" fontId="29" fillId="0" borderId="23" xfId="51" applyFont="1" applyBorder="1" applyAlignment="1">
      <alignment horizontal="center"/>
    </xf>
    <xf numFmtId="0" fontId="29" fillId="0" borderId="66" xfId="51" applyFont="1" applyBorder="1" applyAlignment="1">
      <alignment horizontal="center"/>
    </xf>
    <xf numFmtId="0" fontId="29" fillId="0" borderId="26" xfId="51" applyFont="1" applyBorder="1" applyAlignment="1">
      <alignment horizontal="center"/>
    </xf>
    <xf numFmtId="0" fontId="25" fillId="0" borderId="18" xfId="51" applyFont="1" applyBorder="1"/>
    <xf numFmtId="0" fontId="29" fillId="0" borderId="38" xfId="51" applyFont="1" applyBorder="1" applyAlignment="1">
      <alignment horizontal="center"/>
    </xf>
    <xf numFmtId="0" fontId="29" fillId="0" borderId="29" xfId="51" applyFont="1" applyBorder="1" applyAlignment="1">
      <alignment horizontal="center"/>
    </xf>
    <xf numFmtId="0" fontId="29" fillId="0" borderId="29" xfId="51" applyFont="1" applyBorder="1" applyAlignment="1">
      <alignment horizontal="center" vertical="center" wrapText="1"/>
    </xf>
    <xf numFmtId="0" fontId="29" fillId="0" borderId="39" xfId="51" applyFont="1" applyBorder="1" applyAlignment="1">
      <alignment horizontal="center" vertical="center" wrapText="1"/>
    </xf>
    <xf numFmtId="0" fontId="25" fillId="0" borderId="29" xfId="51" applyFont="1" applyBorder="1" applyAlignment="1">
      <alignment horizontal="center" vertical="center" wrapText="1"/>
    </xf>
    <xf numFmtId="0" fontId="29" fillId="0" borderId="39" xfId="51" applyFont="1" applyBorder="1" applyAlignment="1">
      <alignment horizontal="justify"/>
    </xf>
    <xf numFmtId="0" fontId="29" fillId="0" borderId="18" xfId="51" applyFont="1" applyBorder="1" applyAlignment="1">
      <alignment horizontal="center"/>
    </xf>
    <xf numFmtId="0" fontId="25" fillId="0" borderId="25" xfId="51" applyFont="1" applyBorder="1" applyAlignment="1">
      <alignment horizontal="center"/>
    </xf>
    <xf numFmtId="0" fontId="25" fillId="0" borderId="66" xfId="51" applyFont="1" applyBorder="1" applyAlignment="1">
      <alignment horizontal="center"/>
    </xf>
    <xf numFmtId="3" fontId="29" fillId="0" borderId="35" xfId="51" applyNumberFormat="1" applyFont="1" applyBorder="1" applyAlignment="1">
      <alignment horizontal="center"/>
    </xf>
    <xf numFmtId="3" fontId="29" fillId="0" borderId="35" xfId="51" applyNumberFormat="1" applyFont="1" applyBorder="1"/>
    <xf numFmtId="3" fontId="29" fillId="0" borderId="26" xfId="51" applyNumberFormat="1" applyFont="1" applyBorder="1" applyAlignment="1">
      <alignment horizontal="center"/>
    </xf>
    <xf numFmtId="3" fontId="29" fillId="0" borderId="50" xfId="51" applyNumberFormat="1" applyFont="1" applyBorder="1" applyAlignment="1">
      <alignment horizontal="center"/>
    </xf>
    <xf numFmtId="3" fontId="25" fillId="0" borderId="50" xfId="51" applyNumberFormat="1" applyFont="1" applyBorder="1"/>
    <xf numFmtId="3" fontId="29" fillId="0" borderId="48" xfId="51" applyNumberFormat="1" applyFont="1" applyBorder="1" applyAlignment="1">
      <alignment horizontal="center"/>
    </xf>
    <xf numFmtId="3" fontId="29" fillId="0" borderId="26" xfId="51" applyNumberFormat="1" applyFont="1" applyBorder="1"/>
    <xf numFmtId="3" fontId="29" fillId="0" borderId="37" xfId="51" applyNumberFormat="1" applyFont="1" applyBorder="1" applyAlignment="1">
      <alignment horizontal="center"/>
    </xf>
    <xf numFmtId="3" fontId="29" fillId="0" borderId="70" xfId="51" applyNumberFormat="1" applyFont="1" applyBorder="1" applyAlignment="1">
      <alignment horizontal="center"/>
    </xf>
    <xf numFmtId="3" fontId="25" fillId="0" borderId="25" xfId="51" applyNumberFormat="1" applyFont="1" applyBorder="1"/>
    <xf numFmtId="3" fontId="25" fillId="0" borderId="37" xfId="51" applyNumberFormat="1" applyFont="1" applyBorder="1"/>
    <xf numFmtId="3" fontId="25" fillId="0" borderId="38" xfId="51" applyNumberFormat="1" applyFont="1" applyBorder="1"/>
    <xf numFmtId="3" fontId="29" fillId="0" borderId="25" xfId="51" applyNumberFormat="1" applyFont="1" applyBorder="1" applyAlignment="1">
      <alignment horizontal="center"/>
    </xf>
    <xf numFmtId="3" fontId="25" fillId="0" borderId="66" xfId="51" applyNumberFormat="1" applyFont="1" applyBorder="1"/>
    <xf numFmtId="3" fontId="36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right"/>
    </xf>
    <xf numFmtId="0" fontId="36" fillId="0" borderId="23" xfId="0" applyFont="1" applyBorder="1" applyAlignment="1">
      <alignment horizontal="left"/>
    </xf>
    <xf numFmtId="3" fontId="36" fillId="0" borderId="24" xfId="0" applyNumberFormat="1" applyFont="1" applyBorder="1" applyAlignment="1">
      <alignment horizontal="left"/>
    </xf>
    <xf numFmtId="3" fontId="36" fillId="0" borderId="25" xfId="0" applyNumberFormat="1" applyFont="1" applyBorder="1" applyAlignment="1">
      <alignment horizontal="center"/>
    </xf>
    <xf numFmtId="3" fontId="34" fillId="0" borderId="24" xfId="0" applyNumberFormat="1" applyFont="1" applyBorder="1"/>
    <xf numFmtId="0" fontId="36" fillId="0" borderId="18" xfId="0" applyFont="1" applyBorder="1" applyAlignment="1">
      <alignment horizontal="left"/>
    </xf>
    <xf numFmtId="3" fontId="36" fillId="0" borderId="26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Continuous"/>
    </xf>
    <xf numFmtId="3" fontId="36" fillId="0" borderId="28" xfId="0" applyNumberFormat="1" applyFont="1" applyBorder="1" applyAlignment="1">
      <alignment horizontal="centerContinuous"/>
    </xf>
    <xf numFmtId="3" fontId="36" fillId="0" borderId="29" xfId="0" applyNumberFormat="1" applyFont="1" applyBorder="1" applyAlignment="1">
      <alignment horizontal="right"/>
    </xf>
    <xf numFmtId="0" fontId="34" fillId="0" borderId="28" xfId="0" applyFont="1" applyBorder="1"/>
    <xf numFmtId="3" fontId="36" fillId="0" borderId="28" xfId="0" applyNumberFormat="1" applyFont="1" applyBorder="1" applyAlignment="1">
      <alignment horizontal="right"/>
    </xf>
    <xf numFmtId="0" fontId="34" fillId="0" borderId="30" xfId="0" applyFont="1" applyBorder="1"/>
    <xf numFmtId="0" fontId="34" fillId="0" borderId="71" xfId="0" applyFont="1" applyBorder="1"/>
    <xf numFmtId="3" fontId="36" fillId="0" borderId="71" xfId="0" applyNumberFormat="1" applyFont="1" applyBorder="1" applyAlignment="1">
      <alignment horizontal="right"/>
    </xf>
    <xf numFmtId="0" fontId="34" fillId="0" borderId="58" xfId="0" applyFont="1" applyBorder="1"/>
    <xf numFmtId="3" fontId="36" fillId="0" borderId="19" xfId="0" applyNumberFormat="1" applyFont="1" applyBorder="1"/>
    <xf numFmtId="0" fontId="34" fillId="0" borderId="31" xfId="0" applyFont="1" applyBorder="1"/>
    <xf numFmtId="0" fontId="34" fillId="0" borderId="32" xfId="0" applyFont="1" applyBorder="1"/>
    <xf numFmtId="3" fontId="37" fillId="0" borderId="32" xfId="0" applyNumberFormat="1" applyFont="1" applyBorder="1" applyAlignment="1">
      <alignment horizontal="left"/>
    </xf>
    <xf numFmtId="3" fontId="34" fillId="0" borderId="18" xfId="0" applyNumberFormat="1" applyFont="1" applyBorder="1"/>
    <xf numFmtId="3" fontId="36" fillId="0" borderId="32" xfId="0" applyNumberFormat="1" applyFont="1" applyBorder="1"/>
    <xf numFmtId="0" fontId="34" fillId="0" borderId="18" xfId="0" applyFont="1" applyBorder="1"/>
    <xf numFmtId="0" fontId="34" fillId="0" borderId="26" xfId="0" applyFont="1" applyBorder="1"/>
    <xf numFmtId="3" fontId="34" fillId="0" borderId="32" xfId="0" applyNumberFormat="1" applyFont="1" applyBorder="1"/>
    <xf numFmtId="3" fontId="34" fillId="0" borderId="32" xfId="0" applyNumberFormat="1" applyFont="1" applyBorder="1" applyAlignment="1">
      <alignment horizontal="left"/>
    </xf>
    <xf numFmtId="0" fontId="34" fillId="0" borderId="64" xfId="0" applyFont="1" applyBorder="1"/>
    <xf numFmtId="3" fontId="36" fillId="0" borderId="18" xfId="0" applyNumberFormat="1" applyFont="1" applyBorder="1"/>
    <xf numFmtId="3" fontId="37" fillId="0" borderId="0" xfId="0" applyNumberFormat="1" applyFont="1"/>
    <xf numFmtId="3" fontId="37" fillId="0" borderId="26" xfId="0" applyNumberFormat="1" applyFont="1" applyBorder="1"/>
    <xf numFmtId="0" fontId="34" fillId="0" borderId="32" xfId="0" applyFont="1" applyBorder="1" applyAlignment="1">
      <alignment wrapText="1"/>
    </xf>
    <xf numFmtId="3" fontId="36" fillId="0" borderId="22" xfId="0" applyNumberFormat="1" applyFont="1" applyBorder="1"/>
    <xf numFmtId="0" fontId="36" fillId="0" borderId="20" xfId="0" applyFont="1" applyBorder="1"/>
    <xf numFmtId="3" fontId="36" fillId="0" borderId="20" xfId="0" applyNumberFormat="1" applyFont="1" applyBorder="1"/>
    <xf numFmtId="3" fontId="36" fillId="0" borderId="35" xfId="0" applyNumberFormat="1" applyFont="1" applyBorder="1"/>
    <xf numFmtId="0" fontId="35" fillId="0" borderId="53" xfId="0" applyFont="1" applyBorder="1"/>
    <xf numFmtId="3" fontId="36" fillId="0" borderId="54" xfId="0" applyNumberFormat="1" applyFont="1" applyBorder="1" applyAlignment="1">
      <alignment horizontal="left"/>
    </xf>
    <xf numFmtId="3" fontId="36" fillId="0" borderId="53" xfId="0" applyNumberFormat="1" applyFont="1" applyBorder="1" applyAlignment="1">
      <alignment horizontal="centerContinuous"/>
    </xf>
    <xf numFmtId="3" fontId="36" fillId="0" borderId="72" xfId="0" applyNumberFormat="1" applyFont="1" applyBorder="1" applyAlignment="1">
      <alignment horizontal="center"/>
    </xf>
    <xf numFmtId="3" fontId="36" fillId="0" borderId="66" xfId="0" applyNumberFormat="1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3" fontId="36" fillId="0" borderId="38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3" fontId="36" fillId="0" borderId="39" xfId="0" applyNumberFormat="1" applyFont="1" applyBorder="1" applyAlignment="1">
      <alignment horizontal="centerContinuous"/>
    </xf>
    <xf numFmtId="3" fontId="34" fillId="0" borderId="18" xfId="0" applyNumberFormat="1" applyFont="1" applyBorder="1" applyAlignment="1">
      <alignment horizontal="left"/>
    </xf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Continuous"/>
    </xf>
    <xf numFmtId="0" fontId="36" fillId="0" borderId="24" xfId="0" applyFont="1" applyBorder="1"/>
    <xf numFmtId="3" fontId="36" fillId="0" borderId="24" xfId="0" applyNumberFormat="1" applyFont="1" applyBorder="1" applyAlignment="1">
      <alignment horizontal="right"/>
    </xf>
    <xf numFmtId="3" fontId="36" fillId="0" borderId="25" xfId="0" applyNumberFormat="1" applyFont="1" applyBorder="1" applyAlignment="1">
      <alignment horizontal="right"/>
    </xf>
    <xf numFmtId="3" fontId="34" fillId="0" borderId="31" xfId="0" applyNumberFormat="1" applyFont="1" applyBorder="1" applyAlignment="1">
      <alignment horizontal="left"/>
    </xf>
    <xf numFmtId="3" fontId="34" fillId="0" borderId="32" xfId="0" applyNumberFormat="1" applyFont="1" applyBorder="1" applyAlignment="1">
      <alignment horizontal="centerContinuous"/>
    </xf>
    <xf numFmtId="3" fontId="36" fillId="0" borderId="19" xfId="0" applyNumberFormat="1" applyFont="1" applyBorder="1" applyAlignment="1">
      <alignment horizontal="right"/>
    </xf>
    <xf numFmtId="3" fontId="34" fillId="0" borderId="32" xfId="0" applyNumberFormat="1" applyFont="1" applyBorder="1" applyAlignment="1">
      <alignment horizontal="center"/>
    </xf>
    <xf numFmtId="3" fontId="36" fillId="0" borderId="32" xfId="0" applyNumberFormat="1" applyFont="1" applyBorder="1" applyAlignment="1">
      <alignment horizontal="right"/>
    </xf>
    <xf numFmtId="3" fontId="34" fillId="0" borderId="18" xfId="0" applyNumberFormat="1" applyFont="1" applyBorder="1" applyAlignment="1">
      <alignment horizontal="centerContinuous"/>
    </xf>
    <xf numFmtId="3" fontId="36" fillId="0" borderId="18" xfId="0" applyNumberFormat="1" applyFont="1" applyBorder="1" applyAlignment="1">
      <alignment horizontal="centerContinuous"/>
    </xf>
    <xf numFmtId="3" fontId="36" fillId="0" borderId="0" xfId="0" applyNumberFormat="1" applyFont="1" applyAlignment="1">
      <alignment horizontal="centerContinuous"/>
    </xf>
    <xf numFmtId="0" fontId="36" fillId="0" borderId="40" xfId="0" applyFont="1" applyBorder="1"/>
    <xf numFmtId="3" fontId="36" fillId="0" borderId="40" xfId="0" applyNumberFormat="1" applyFont="1" applyBorder="1" applyAlignment="1">
      <alignment horizontal="right"/>
    </xf>
    <xf numFmtId="3" fontId="36" fillId="0" borderId="18" xfId="0" applyNumberFormat="1" applyFont="1" applyBorder="1" applyAlignment="1">
      <alignment horizontal="left"/>
    </xf>
    <xf numFmtId="0" fontId="34" fillId="0" borderId="0" xfId="48" applyFont="1"/>
    <xf numFmtId="3" fontId="34" fillId="0" borderId="0" xfId="0" applyNumberFormat="1" applyFont="1" applyAlignment="1">
      <alignment horizontal="center"/>
    </xf>
    <xf numFmtId="0" fontId="34" fillId="0" borderId="0" xfId="48" applyFont="1" applyAlignment="1">
      <alignment horizontal="left"/>
    </xf>
    <xf numFmtId="0" fontId="36" fillId="0" borderId="49" xfId="0" applyFont="1" applyBorder="1"/>
    <xf numFmtId="3" fontId="36" fillId="0" borderId="49" xfId="0" applyNumberFormat="1" applyFont="1" applyBorder="1" applyAlignment="1">
      <alignment horizontal="right"/>
    </xf>
    <xf numFmtId="3" fontId="36" fillId="0" borderId="41" xfId="0" applyNumberFormat="1" applyFont="1" applyBorder="1"/>
    <xf numFmtId="3" fontId="36" fillId="0" borderId="43" xfId="0" applyNumberFormat="1" applyFont="1" applyBorder="1"/>
    <xf numFmtId="3" fontId="36" fillId="0" borderId="40" xfId="0" applyNumberFormat="1" applyFont="1" applyBorder="1"/>
    <xf numFmtId="3" fontId="36" fillId="0" borderId="40" xfId="0" applyNumberFormat="1" applyFont="1" applyBorder="1" applyAlignment="1">
      <alignment horizontal="left"/>
    </xf>
    <xf numFmtId="3" fontId="36" fillId="0" borderId="0" xfId="0" applyNumberFormat="1" applyFont="1"/>
    <xf numFmtId="3" fontId="36" fillId="0" borderId="24" xfId="0" applyNumberFormat="1" applyFont="1" applyBorder="1"/>
    <xf numFmtId="3" fontId="36" fillId="0" borderId="15" xfId="0" applyNumberFormat="1" applyFont="1" applyBorder="1"/>
    <xf numFmtId="3" fontId="36" fillId="0" borderId="67" xfId="0" applyNumberFormat="1" applyFont="1" applyBorder="1"/>
    <xf numFmtId="3" fontId="36" fillId="0" borderId="42" xfId="0" applyNumberFormat="1" applyFont="1" applyBorder="1"/>
    <xf numFmtId="3" fontId="36" fillId="0" borderId="42" xfId="0" applyNumberFormat="1" applyFont="1" applyBorder="1" applyAlignment="1">
      <alignment horizontal="left"/>
    </xf>
    <xf numFmtId="0" fontId="34" fillId="0" borderId="19" xfId="48" applyFont="1" applyBorder="1" applyAlignment="1">
      <alignment horizontal="justify"/>
    </xf>
    <xf numFmtId="0" fontId="34" fillId="27" borderId="19" xfId="48" applyFont="1" applyFill="1" applyBorder="1" applyAlignment="1">
      <alignment horizontal="justify"/>
    </xf>
    <xf numFmtId="0" fontId="34" fillId="0" borderId="32" xfId="48" applyFont="1" applyBorder="1" applyAlignment="1">
      <alignment horizontal="justify"/>
    </xf>
    <xf numFmtId="0" fontId="37" fillId="0" borderId="43" xfId="0" applyFont="1" applyBorder="1"/>
    <xf numFmtId="3" fontId="36" fillId="0" borderId="27" xfId="0" applyNumberFormat="1" applyFont="1" applyBorder="1"/>
    <xf numFmtId="0" fontId="37" fillId="0" borderId="27" xfId="0" applyFont="1" applyBorder="1"/>
    <xf numFmtId="3" fontId="42" fillId="0" borderId="0" xfId="0" applyNumberFormat="1" applyFont="1"/>
    <xf numFmtId="3" fontId="35" fillId="0" borderId="0" xfId="0" applyNumberFormat="1" applyFont="1"/>
    <xf numFmtId="0" fontId="27" fillId="0" borderId="28" xfId="0" applyFont="1" applyBorder="1"/>
    <xf numFmtId="0" fontId="31" fillId="0" borderId="28" xfId="0" applyFont="1" applyBorder="1"/>
    <xf numFmtId="3" fontId="27" fillId="0" borderId="0" xfId="0" applyNumberFormat="1" applyFont="1" applyAlignment="1">
      <alignment horizontal="right"/>
    </xf>
    <xf numFmtId="0" fontId="27" fillId="0" borderId="24" xfId="0" applyFont="1" applyBorder="1"/>
    <xf numFmtId="0" fontId="27" fillId="0" borderId="27" xfId="0" applyFont="1" applyBorder="1"/>
    <xf numFmtId="0" fontId="31" fillId="0" borderId="28" xfId="0" applyFont="1" applyBorder="1" applyAlignment="1">
      <alignment horizontal="left"/>
    </xf>
    <xf numFmtId="0" fontId="31" fillId="0" borderId="28" xfId="0" applyFont="1" applyBorder="1" applyAlignment="1">
      <alignment horizontal="right"/>
    </xf>
    <xf numFmtId="0" fontId="31" fillId="0" borderId="18" xfId="0" applyFont="1" applyBorder="1"/>
    <xf numFmtId="0" fontId="31" fillId="0" borderId="0" xfId="0" applyFont="1" applyAlignment="1">
      <alignment horizontal="left"/>
    </xf>
    <xf numFmtId="0" fontId="30" fillId="0" borderId="18" xfId="0" applyFont="1" applyBorder="1"/>
    <xf numFmtId="0" fontId="30" fillId="0" borderId="0" xfId="0" applyFont="1"/>
    <xf numFmtId="3" fontId="30" fillId="0" borderId="0" xfId="0" applyNumberFormat="1" applyFont="1" applyProtection="1">
      <protection locked="0"/>
    </xf>
    <xf numFmtId="0" fontId="32" fillId="0" borderId="0" xfId="0" applyFont="1"/>
    <xf numFmtId="0" fontId="30" fillId="0" borderId="47" xfId="0" applyFont="1" applyBorder="1"/>
    <xf numFmtId="3" fontId="30" fillId="0" borderId="47" xfId="0" applyNumberFormat="1" applyFont="1" applyBorder="1" applyProtection="1">
      <protection locked="0"/>
    </xf>
    <xf numFmtId="0" fontId="30" fillId="0" borderId="20" xfId="0" applyFont="1" applyBorder="1"/>
    <xf numFmtId="0" fontId="32" fillId="0" borderId="14" xfId="0" applyFont="1" applyBorder="1"/>
    <xf numFmtId="0" fontId="30" fillId="0" borderId="0" xfId="0" applyFont="1" applyAlignment="1">
      <alignment wrapText="1"/>
    </xf>
    <xf numFmtId="0" fontId="30" fillId="0" borderId="49" xfId="0" applyFont="1" applyBorder="1"/>
    <xf numFmtId="0" fontId="30" fillId="0" borderId="49" xfId="0" applyFont="1" applyBorder="1" applyAlignment="1">
      <alignment wrapText="1"/>
    </xf>
    <xf numFmtId="0" fontId="30" fillId="0" borderId="47" xfId="0" applyFont="1" applyBorder="1" applyAlignment="1">
      <alignment wrapText="1"/>
    </xf>
    <xf numFmtId="3" fontId="27" fillId="0" borderId="19" xfId="0" applyNumberFormat="1" applyFont="1" applyBorder="1" applyProtection="1">
      <protection locked="0"/>
    </xf>
    <xf numFmtId="0" fontId="27" fillId="0" borderId="20" xfId="0" applyFont="1" applyBorder="1"/>
    <xf numFmtId="0" fontId="27" fillId="0" borderId="51" xfId="0" applyFont="1" applyBorder="1"/>
    <xf numFmtId="3" fontId="27" fillId="0" borderId="52" xfId="0" applyNumberFormat="1" applyFont="1" applyBorder="1" applyProtection="1">
      <protection locked="0"/>
    </xf>
    <xf numFmtId="3" fontId="27" fillId="0" borderId="32" xfId="0" applyNumberFormat="1" applyFont="1" applyBorder="1" applyProtection="1">
      <protection locked="0"/>
    </xf>
    <xf numFmtId="3" fontId="30" fillId="0" borderId="49" xfId="0" applyNumberFormat="1" applyFont="1" applyBorder="1"/>
    <xf numFmtId="3" fontId="30" fillId="0" borderId="47" xfId="0" applyNumberFormat="1" applyFont="1" applyBorder="1"/>
    <xf numFmtId="0" fontId="30" fillId="0" borderId="18" xfId="0" applyFont="1" applyBorder="1" applyAlignment="1">
      <alignment wrapText="1"/>
    </xf>
    <xf numFmtId="0" fontId="27" fillId="0" borderId="19" xfId="0" applyFont="1" applyBorder="1" applyAlignment="1">
      <alignment wrapText="1"/>
    </xf>
    <xf numFmtId="3" fontId="27" fillId="0" borderId="19" xfId="0" applyNumberFormat="1" applyFont="1" applyBorder="1" applyAlignment="1" applyProtection="1">
      <alignment wrapText="1"/>
      <protection locked="0"/>
    </xf>
    <xf numFmtId="0" fontId="30" fillId="0" borderId="51" xfId="0" applyFont="1" applyBorder="1"/>
    <xf numFmtId="3" fontId="30" fillId="0" borderId="49" xfId="0" applyNumberFormat="1" applyFont="1" applyBorder="1" applyProtection="1">
      <protection locked="0"/>
    </xf>
    <xf numFmtId="0" fontId="30" fillId="0" borderId="11" xfId="0" applyFont="1" applyBorder="1"/>
    <xf numFmtId="3" fontId="27" fillId="0" borderId="38" xfId="0" applyNumberFormat="1" applyFont="1" applyBorder="1"/>
    <xf numFmtId="0" fontId="30" fillId="0" borderId="53" xfId="0" applyFont="1" applyBorder="1"/>
    <xf numFmtId="3" fontId="30" fillId="0" borderId="53" xfId="0" applyNumberFormat="1" applyFont="1" applyBorder="1" applyProtection="1">
      <protection locked="0"/>
    </xf>
    <xf numFmtId="0" fontId="30" fillId="0" borderId="28" xfId="0" applyFont="1" applyBorder="1" applyAlignment="1">
      <alignment horizontal="left"/>
    </xf>
    <xf numFmtId="0" fontId="27" fillId="0" borderId="28" xfId="0" applyFont="1" applyBorder="1" applyAlignment="1">
      <alignment horizontal="left"/>
    </xf>
    <xf numFmtId="0" fontId="27" fillId="0" borderId="40" xfId="0" applyFont="1" applyBorder="1" applyAlignment="1">
      <alignment horizontal="left"/>
    </xf>
    <xf numFmtId="0" fontId="43" fillId="0" borderId="65" xfId="0" applyFont="1" applyBorder="1" applyAlignment="1">
      <alignment wrapText="1"/>
    </xf>
    <xf numFmtId="3" fontId="27" fillId="0" borderId="32" xfId="0" applyNumberFormat="1" applyFont="1" applyBorder="1" applyAlignment="1" applyProtection="1">
      <alignment wrapText="1"/>
      <protection locked="0"/>
    </xf>
    <xf numFmtId="0" fontId="27" fillId="0" borderId="19" xfId="0" applyFont="1" applyBorder="1" applyAlignment="1">
      <alignment horizontal="left"/>
    </xf>
    <xf numFmtId="3" fontId="27" fillId="0" borderId="0" xfId="0" applyNumberFormat="1" applyFont="1" applyProtection="1">
      <protection locked="0"/>
    </xf>
    <xf numFmtId="0" fontId="31" fillId="0" borderId="40" xfId="0" applyFont="1" applyBorder="1" applyAlignment="1">
      <alignment horizontal="left"/>
    </xf>
    <xf numFmtId="0" fontId="31" fillId="0" borderId="54" xfId="0" applyFont="1" applyBorder="1"/>
    <xf numFmtId="0" fontId="30" fillId="0" borderId="53" xfId="0" applyFont="1" applyBorder="1" applyAlignment="1">
      <alignment horizontal="left"/>
    </xf>
    <xf numFmtId="0" fontId="31" fillId="0" borderId="53" xfId="0" applyFont="1" applyBorder="1" applyAlignment="1">
      <alignment horizontal="left"/>
    </xf>
    <xf numFmtId="0" fontId="31" fillId="0" borderId="23" xfId="0" applyFont="1" applyBorder="1"/>
    <xf numFmtId="0" fontId="30" fillId="0" borderId="24" xfId="0" applyFont="1" applyBorder="1"/>
    <xf numFmtId="0" fontId="30" fillId="0" borderId="2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38" xfId="0" applyFont="1" applyBorder="1" applyAlignment="1">
      <alignment horizontal="left"/>
    </xf>
    <xf numFmtId="0" fontId="27" fillId="0" borderId="19" xfId="0" applyFont="1" applyBorder="1" applyAlignment="1">
      <alignment vertical="top" wrapText="1"/>
    </xf>
    <xf numFmtId="0" fontId="32" fillId="0" borderId="32" xfId="0" applyFont="1" applyBorder="1"/>
    <xf numFmtId="0" fontId="32" fillId="0" borderId="19" xfId="0" applyFont="1" applyBorder="1"/>
    <xf numFmtId="0" fontId="31" fillId="0" borderId="55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1" fillId="0" borderId="0" xfId="48" applyFont="1" applyAlignment="1">
      <alignment horizontal="left"/>
    </xf>
    <xf numFmtId="0" fontId="31" fillId="0" borderId="18" xfId="0" applyFont="1" applyBorder="1" applyAlignment="1">
      <alignment horizontal="center"/>
    </xf>
    <xf numFmtId="0" fontId="27" fillId="0" borderId="56" xfId="0" applyFont="1" applyBorder="1" applyAlignment="1">
      <alignment wrapText="1"/>
    </xf>
    <xf numFmtId="0" fontId="32" fillId="0" borderId="0" xfId="0" applyFont="1" applyAlignment="1">
      <alignment horizontal="left"/>
    </xf>
    <xf numFmtId="0" fontId="27" fillId="0" borderId="56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0" fontId="27" fillId="0" borderId="32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1" fillId="0" borderId="25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3" fontId="31" fillId="0" borderId="29" xfId="0" applyNumberFormat="1" applyFont="1" applyBorder="1" applyAlignment="1">
      <alignment horizontal="center"/>
    </xf>
    <xf numFmtId="0" fontId="27" fillId="26" borderId="31" xfId="0" applyFont="1" applyFill="1" applyBorder="1"/>
    <xf numFmtId="0" fontId="27" fillId="26" borderId="58" xfId="0" applyFont="1" applyFill="1" applyBorder="1"/>
    <xf numFmtId="0" fontId="31" fillId="26" borderId="37" xfId="0" applyFont="1" applyFill="1" applyBorder="1"/>
    <xf numFmtId="0" fontId="27" fillId="0" borderId="31" xfId="0" applyFont="1" applyBorder="1" applyAlignment="1">
      <alignment wrapText="1"/>
    </xf>
    <xf numFmtId="0" fontId="27" fillId="0" borderId="33" xfId="0" applyFont="1" applyBorder="1" applyAlignment="1">
      <alignment horizontal="justify"/>
    </xf>
    <xf numFmtId="0" fontId="27" fillId="0" borderId="35" xfId="0" applyFont="1" applyBorder="1" applyAlignment="1">
      <alignment wrapText="1"/>
    </xf>
    <xf numFmtId="0" fontId="31" fillId="0" borderId="41" xfId="0" applyFont="1" applyBorder="1" applyAlignment="1">
      <alignment wrapText="1"/>
    </xf>
    <xf numFmtId="0" fontId="31" fillId="0" borderId="23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27" fillId="26" borderId="30" xfId="0" applyFont="1" applyFill="1" applyBorder="1"/>
    <xf numFmtId="0" fontId="31" fillId="0" borderId="43" xfId="0" applyFont="1" applyBorder="1"/>
    <xf numFmtId="3" fontId="27" fillId="26" borderId="0" xfId="0" applyNumberFormat="1" applyFont="1" applyFill="1" applyAlignment="1">
      <alignment horizontal="right"/>
    </xf>
    <xf numFmtId="0" fontId="27" fillId="0" borderId="29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1" fillId="0" borderId="29" xfId="0" applyFont="1" applyBorder="1" applyAlignment="1">
      <alignment horizontal="justify"/>
    </xf>
    <xf numFmtId="0" fontId="31" fillId="0" borderId="37" xfId="0" applyFont="1" applyBorder="1" applyAlignment="1">
      <alignment horizontal="justify"/>
    </xf>
    <xf numFmtId="0" fontId="30" fillId="0" borderId="37" xfId="0" applyFont="1" applyBorder="1"/>
    <xf numFmtId="0" fontId="30" fillId="0" borderId="25" xfId="0" applyFont="1" applyBorder="1" applyAlignment="1">
      <alignment horizontal="center"/>
    </xf>
    <xf numFmtId="0" fontId="27" fillId="0" borderId="21" xfId="0" applyFont="1" applyBorder="1"/>
    <xf numFmtId="0" fontId="27" fillId="0" borderId="46" xfId="46" applyFont="1" applyBorder="1" applyAlignment="1">
      <alignment wrapText="1"/>
    </xf>
    <xf numFmtId="0" fontId="31" fillId="0" borderId="37" xfId="0" applyFont="1" applyBorder="1"/>
    <xf numFmtId="0" fontId="31" fillId="0" borderId="35" xfId="0" applyFont="1" applyBorder="1"/>
    <xf numFmtId="0" fontId="31" fillId="0" borderId="37" xfId="0" applyFont="1" applyBorder="1" applyAlignment="1">
      <alignment horizontal="left" wrapText="1"/>
    </xf>
    <xf numFmtId="0" fontId="31" fillId="0" borderId="26" xfId="0" applyFont="1" applyBorder="1" applyAlignment="1">
      <alignment horizontal="center" wrapText="1"/>
    </xf>
    <xf numFmtId="0" fontId="27" fillId="0" borderId="33" xfId="0" applyFont="1" applyBorder="1"/>
    <xf numFmtId="3" fontId="27" fillId="0" borderId="59" xfId="52" applyNumberFormat="1" applyFont="1" applyBorder="1" applyAlignment="1">
      <alignment horizontal="justify" wrapText="1"/>
    </xf>
    <xf numFmtId="0" fontId="27" fillId="0" borderId="31" xfId="0" applyFont="1" applyBorder="1" applyAlignment="1">
      <alignment horizontal="justify"/>
    </xf>
    <xf numFmtId="3" fontId="27" fillId="0" borderId="33" xfId="52" applyNumberFormat="1" applyFont="1" applyBorder="1" applyAlignment="1">
      <alignment horizontal="justify" vertical="top" wrapText="1"/>
    </xf>
    <xf numFmtId="3" fontId="27" fillId="0" borderId="59" xfId="52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/>
    </xf>
    <xf numFmtId="0" fontId="30" fillId="0" borderId="41" xfId="0" applyFont="1" applyBorder="1" applyAlignment="1">
      <alignment horizontal="center"/>
    </xf>
    <xf numFmtId="0" fontId="31" fillId="0" borderId="29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3" fontId="27" fillId="0" borderId="58" xfId="52" applyNumberFormat="1" applyFont="1" applyBorder="1" applyAlignment="1">
      <alignment horizontal="justify" vertical="top" wrapText="1"/>
    </xf>
    <xf numFmtId="0" fontId="30" fillId="0" borderId="41" xfId="0" applyFont="1" applyBorder="1"/>
    <xf numFmtId="0" fontId="31" fillId="0" borderId="41" xfId="0" applyFont="1" applyBorder="1"/>
    <xf numFmtId="0" fontId="31" fillId="0" borderId="26" xfId="0" applyFont="1" applyBorder="1" applyAlignment="1">
      <alignment horizontal="center"/>
    </xf>
    <xf numFmtId="3" fontId="27" fillId="0" borderId="21" xfId="52" applyNumberFormat="1" applyFont="1" applyBorder="1" applyAlignment="1">
      <alignment horizontal="justify" vertical="top" wrapText="1"/>
    </xf>
    <xf numFmtId="3" fontId="27" fillId="0" borderId="18" xfId="52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 wrapText="1"/>
    </xf>
    <xf numFmtId="0" fontId="31" fillId="0" borderId="29" xfId="0" applyFont="1" applyBorder="1"/>
    <xf numFmtId="0" fontId="30" fillId="0" borderId="0" xfId="0" applyFont="1" applyAlignment="1">
      <alignment horizontal="left" wrapText="1"/>
    </xf>
    <xf numFmtId="0" fontId="31" fillId="0" borderId="25" xfId="0" applyFont="1" applyBorder="1" applyAlignment="1">
      <alignment horizontal="center" wrapText="1"/>
    </xf>
    <xf numFmtId="0" fontId="31" fillId="0" borderId="29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31" fillId="26" borderId="57" xfId="0" applyFont="1" applyFill="1" applyBorder="1" applyAlignment="1">
      <alignment horizontal="justify" wrapText="1"/>
    </xf>
    <xf numFmtId="0" fontId="27" fillId="26" borderId="58" xfId="0" applyFont="1" applyFill="1" applyBorder="1" applyAlignment="1">
      <alignment horizontal="left" wrapText="1"/>
    </xf>
    <xf numFmtId="0" fontId="27" fillId="26" borderId="31" xfId="0" applyFont="1" applyFill="1" applyBorder="1" applyAlignment="1">
      <alignment horizontal="justify" wrapText="1"/>
    </xf>
    <xf numFmtId="0" fontId="27" fillId="0" borderId="58" xfId="0" applyFont="1" applyBorder="1" applyAlignment="1">
      <alignment wrapText="1"/>
    </xf>
    <xf numFmtId="0" fontId="27" fillId="0" borderId="34" xfId="0" applyFont="1" applyBorder="1" applyAlignment="1">
      <alignment horizontal="justify" wrapText="1"/>
    </xf>
    <xf numFmtId="0" fontId="27" fillId="0" borderId="31" xfId="0" applyFont="1" applyBorder="1" applyAlignment="1">
      <alignment horizontal="justify" wrapText="1"/>
    </xf>
    <xf numFmtId="0" fontId="31" fillId="0" borderId="54" xfId="0" applyFont="1" applyBorder="1" applyAlignment="1">
      <alignment wrapText="1"/>
    </xf>
    <xf numFmtId="0" fontId="31" fillId="0" borderId="27" xfId="0" applyFont="1" applyBorder="1" applyAlignment="1">
      <alignment wrapText="1"/>
    </xf>
    <xf numFmtId="0" fontId="31" fillId="0" borderId="23" xfId="0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43" xfId="0" applyFont="1" applyBorder="1" applyAlignment="1">
      <alignment horizontal="justify" wrapText="1"/>
    </xf>
    <xf numFmtId="0" fontId="31" fillId="0" borderId="43" xfId="0" applyFont="1" applyBorder="1" applyAlignment="1">
      <alignment wrapText="1"/>
    </xf>
    <xf numFmtId="3" fontId="27" fillId="26" borderId="0" xfId="0" applyNumberFormat="1" applyFont="1" applyFill="1" applyAlignment="1">
      <alignment horizontal="right" wrapText="1"/>
    </xf>
    <xf numFmtId="0" fontId="31" fillId="26" borderId="37" xfId="0" applyFont="1" applyFill="1" applyBorder="1" applyAlignment="1">
      <alignment horizontal="justify"/>
    </xf>
    <xf numFmtId="0" fontId="30" fillId="0" borderId="18" xfId="0" applyFont="1" applyBorder="1" applyAlignment="1">
      <alignment horizontal="justify"/>
    </xf>
    <xf numFmtId="0" fontId="27" fillId="0" borderId="33" xfId="0" applyFont="1" applyBorder="1" applyAlignment="1">
      <alignment wrapText="1"/>
    </xf>
    <xf numFmtId="0" fontId="31" fillId="0" borderId="54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3" fontId="31" fillId="26" borderId="37" xfId="0" applyNumberFormat="1" applyFont="1" applyFill="1" applyBorder="1" applyAlignment="1">
      <alignment wrapText="1"/>
    </xf>
    <xf numFmtId="3" fontId="30" fillId="0" borderId="18" xfId="0" applyNumberFormat="1" applyFont="1" applyBorder="1" applyAlignment="1">
      <alignment wrapText="1"/>
    </xf>
    <xf numFmtId="0" fontId="31" fillId="0" borderId="27" xfId="0" applyFont="1" applyBorder="1"/>
    <xf numFmtId="3" fontId="27" fillId="26" borderId="0" xfId="0" applyNumberFormat="1" applyFont="1" applyFill="1"/>
    <xf numFmtId="0" fontId="32" fillId="0" borderId="0" xfId="0" applyFont="1" applyAlignment="1">
      <alignment horizontal="right" wrapText="1"/>
    </xf>
    <xf numFmtId="0" fontId="27" fillId="0" borderId="29" xfId="0" applyFont="1" applyBorder="1" applyAlignment="1">
      <alignment horizontal="left" wrapText="1"/>
    </xf>
    <xf numFmtId="0" fontId="31" fillId="0" borderId="37" xfId="0" applyFont="1" applyBorder="1" applyAlignment="1">
      <alignment horizontal="justify" wrapText="1"/>
    </xf>
    <xf numFmtId="0" fontId="31" fillId="26" borderId="21" xfId="0" applyFont="1" applyFill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44" fillId="0" borderId="26" xfId="0" applyFont="1" applyBorder="1" applyAlignment="1">
      <alignment horizontal="left" wrapText="1"/>
    </xf>
    <xf numFmtId="0" fontId="27" fillId="26" borderId="21" xfId="0" applyFont="1" applyFill="1" applyBorder="1" applyAlignment="1">
      <alignment horizontal="left" wrapText="1"/>
    </xf>
    <xf numFmtId="0" fontId="27" fillId="26" borderId="33" xfId="0" applyFont="1" applyFill="1" applyBorder="1" applyAlignment="1">
      <alignment horizontal="left" wrapText="1"/>
    </xf>
    <xf numFmtId="0" fontId="27" fillId="26" borderId="26" xfId="0" applyFont="1" applyFill="1" applyBorder="1" applyAlignment="1">
      <alignment horizontal="left" wrapText="1"/>
    </xf>
    <xf numFmtId="0" fontId="31" fillId="0" borderId="50" xfId="0" applyFont="1" applyBorder="1" applyAlignment="1">
      <alignment horizontal="left" wrapText="1"/>
    </xf>
    <xf numFmtId="0" fontId="44" fillId="0" borderId="48" xfId="0" applyFont="1" applyBorder="1" applyAlignment="1">
      <alignment horizontal="left" wrapText="1"/>
    </xf>
    <xf numFmtId="0" fontId="27" fillId="0" borderId="21" xfId="0" applyFont="1" applyBorder="1" applyAlignment="1">
      <alignment horizontal="left" wrapText="1"/>
    </xf>
    <xf numFmtId="0" fontId="27" fillId="0" borderId="33" xfId="0" applyFont="1" applyBorder="1" applyAlignment="1">
      <alignment horizontal="left" wrapText="1"/>
    </xf>
    <xf numFmtId="0" fontId="33" fillId="0" borderId="26" xfId="0" applyFont="1" applyBorder="1" applyAlignment="1">
      <alignment horizontal="left" wrapText="1"/>
    </xf>
    <xf numFmtId="0" fontId="27" fillId="0" borderId="60" xfId="0" applyFont="1" applyBorder="1" applyAlignment="1">
      <alignment horizontal="left" wrapText="1"/>
    </xf>
    <xf numFmtId="0" fontId="27" fillId="0" borderId="34" xfId="0" applyFont="1" applyBorder="1" applyAlignment="1">
      <alignment horizontal="left" wrapText="1"/>
    </xf>
    <xf numFmtId="0" fontId="44" fillId="0" borderId="34" xfId="0" applyFont="1" applyBorder="1" applyAlignment="1">
      <alignment horizontal="left" wrapText="1"/>
    </xf>
    <xf numFmtId="0" fontId="44" fillId="0" borderId="25" xfId="0" applyFont="1" applyBorder="1" applyAlignment="1">
      <alignment horizontal="left" wrapText="1"/>
    </xf>
    <xf numFmtId="0" fontId="27" fillId="0" borderId="21" xfId="0" applyFont="1" applyBorder="1" applyAlignment="1">
      <alignment horizontal="left" wrapText="1" shrinkToFit="1"/>
    </xf>
    <xf numFmtId="0" fontId="27" fillId="0" borderId="33" xfId="0" applyFont="1" applyBorder="1" applyAlignment="1">
      <alignment horizontal="left" wrapText="1" shrinkToFit="1"/>
    </xf>
    <xf numFmtId="0" fontId="31" fillId="0" borderId="29" xfId="0" applyFont="1" applyBorder="1" applyAlignment="1">
      <alignment horizontal="left" wrapText="1"/>
    </xf>
    <xf numFmtId="0" fontId="30" fillId="0" borderId="29" xfId="0" applyFont="1" applyBorder="1" applyAlignment="1">
      <alignment horizontal="left" wrapText="1"/>
    </xf>
    <xf numFmtId="0" fontId="30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3" fontId="32" fillId="0" borderId="0" xfId="0" applyNumberFormat="1" applyFont="1" applyAlignment="1">
      <alignment horizontal="right" wrapText="1"/>
    </xf>
    <xf numFmtId="0" fontId="27" fillId="0" borderId="27" xfId="0" applyFont="1" applyBorder="1" applyAlignment="1">
      <alignment horizontal="left" wrapText="1"/>
    </xf>
    <xf numFmtId="0" fontId="27" fillId="0" borderId="73" xfId="0" applyFont="1" applyBorder="1" applyAlignment="1">
      <alignment horizontal="justify" wrapText="1"/>
    </xf>
    <xf numFmtId="0" fontId="31" fillId="0" borderId="43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27" fillId="26" borderId="57" xfId="0" applyFont="1" applyFill="1" applyBorder="1"/>
    <xf numFmtId="0" fontId="27" fillId="0" borderId="21" xfId="0" applyFont="1" applyBorder="1" applyAlignment="1">
      <alignment horizontal="justify"/>
    </xf>
    <xf numFmtId="164" fontId="27" fillId="0" borderId="0" xfId="36" applyFont="1"/>
    <xf numFmtId="0" fontId="27" fillId="0" borderId="0" xfId="0" applyFont="1" applyAlignment="1">
      <alignment horizontal="right"/>
    </xf>
    <xf numFmtId="0" fontId="31" fillId="0" borderId="43" xfId="0" applyFont="1" applyBorder="1" applyAlignment="1">
      <alignment horizontal="left"/>
    </xf>
    <xf numFmtId="0" fontId="27" fillId="26" borderId="0" xfId="0" applyFont="1" applyFill="1"/>
    <xf numFmtId="3" fontId="31" fillId="0" borderId="25" xfId="0" applyNumberFormat="1" applyFont="1" applyBorder="1" applyAlignment="1">
      <alignment horizontal="center" wrapText="1"/>
    </xf>
    <xf numFmtId="3" fontId="31" fillId="0" borderId="29" xfId="0" applyNumberFormat="1" applyFont="1" applyBorder="1" applyAlignment="1">
      <alignment horizontal="center" wrapText="1"/>
    </xf>
    <xf numFmtId="0" fontId="27" fillId="26" borderId="31" xfId="0" applyFont="1" applyFill="1" applyBorder="1" applyAlignment="1">
      <alignment horizontal="left"/>
    </xf>
    <xf numFmtId="0" fontId="27" fillId="26" borderId="31" xfId="0" applyFont="1" applyFill="1" applyBorder="1" applyAlignment="1">
      <alignment horizontal="left" vertical="center" wrapText="1"/>
    </xf>
    <xf numFmtId="0" fontId="27" fillId="26" borderId="31" xfId="0" applyFont="1" applyFill="1" applyBorder="1" applyAlignment="1">
      <alignment horizontal="justify"/>
    </xf>
    <xf numFmtId="0" fontId="27" fillId="26" borderId="31" xfId="0" applyFont="1" applyFill="1" applyBorder="1" applyAlignment="1">
      <alignment horizontal="left" wrapText="1"/>
    </xf>
    <xf numFmtId="0" fontId="27" fillId="26" borderId="18" xfId="0" applyFont="1" applyFill="1" applyBorder="1" applyAlignment="1">
      <alignment horizontal="left" wrapText="1"/>
    </xf>
    <xf numFmtId="3" fontId="27" fillId="26" borderId="0" xfId="0" applyNumberFormat="1" applyFont="1" applyFill="1" applyProtection="1">
      <protection locked="0"/>
    </xf>
    <xf numFmtId="0" fontId="45" fillId="0" borderId="0" xfId="48" applyFont="1"/>
    <xf numFmtId="0" fontId="27" fillId="0" borderId="23" xfId="48" applyFont="1" applyBorder="1"/>
    <xf numFmtId="0" fontId="27" fillId="0" borderId="27" xfId="48" applyFont="1" applyBorder="1"/>
    <xf numFmtId="0" fontId="27" fillId="0" borderId="28" xfId="48" applyFont="1" applyBorder="1" applyAlignment="1">
      <alignment horizontal="center"/>
    </xf>
    <xf numFmtId="0" fontId="31" fillId="0" borderId="23" xfId="48" applyFont="1" applyBorder="1"/>
    <xf numFmtId="0" fontId="27" fillId="0" borderId="24" xfId="48" applyFont="1" applyBorder="1" applyAlignment="1">
      <alignment horizontal="center"/>
    </xf>
    <xf numFmtId="0" fontId="31" fillId="0" borderId="43" xfId="48" applyFont="1" applyBorder="1"/>
    <xf numFmtId="0" fontId="31" fillId="0" borderId="63" xfId="48" applyFont="1" applyBorder="1" applyAlignment="1">
      <alignment horizontal="left"/>
    </xf>
    <xf numFmtId="0" fontId="31" fillId="0" borderId="25" xfId="48" applyFont="1" applyBorder="1" applyAlignment="1">
      <alignment horizontal="center"/>
    </xf>
    <xf numFmtId="0" fontId="31" fillId="0" borderId="26" xfId="48" applyFont="1" applyBorder="1" applyAlignment="1">
      <alignment horizontal="justify"/>
    </xf>
    <xf numFmtId="0" fontId="31" fillId="0" borderId="34" xfId="48" applyFont="1" applyBorder="1" applyAlignment="1">
      <alignment horizontal="justify"/>
    </xf>
    <xf numFmtId="0" fontId="27" fillId="0" borderId="19" xfId="48" applyFont="1" applyBorder="1" applyAlignment="1">
      <alignment horizontal="left" wrapText="1"/>
    </xf>
    <xf numFmtId="0" fontId="31" fillId="0" borderId="48" xfId="48" applyFont="1" applyBorder="1" applyAlignment="1">
      <alignment horizontal="left"/>
    </xf>
    <xf numFmtId="0" fontId="41" fillId="0" borderId="0" xfId="48" applyFont="1"/>
    <xf numFmtId="0" fontId="25" fillId="0" borderId="28" xfId="48" applyFont="1" applyBorder="1" applyAlignment="1">
      <alignment horizontal="center"/>
    </xf>
    <xf numFmtId="0" fontId="25" fillId="0" borderId="24" xfId="48" applyFont="1" applyBorder="1" applyAlignment="1">
      <alignment horizontal="center"/>
    </xf>
    <xf numFmtId="0" fontId="25" fillId="0" borderId="19" xfId="48" applyFont="1" applyBorder="1" applyAlignment="1">
      <alignment horizontal="left"/>
    </xf>
    <xf numFmtId="0" fontId="25" fillId="0" borderId="32" xfId="48" applyFont="1" applyBorder="1" applyAlignment="1">
      <alignment horizontal="left"/>
    </xf>
    <xf numFmtId="0" fontId="25" fillId="0" borderId="40" xfId="48" applyFont="1" applyBorder="1" applyAlignment="1">
      <alignment horizontal="center"/>
    </xf>
    <xf numFmtId="0" fontId="29" fillId="0" borderId="47" xfId="48" applyFont="1" applyBorder="1" applyAlignment="1">
      <alignment horizontal="center"/>
    </xf>
    <xf numFmtId="0" fontId="29" fillId="0" borderId="0" xfId="48" applyFont="1" applyAlignment="1">
      <alignment horizontal="justify"/>
    </xf>
    <xf numFmtId="0" fontId="29" fillId="0" borderId="64" xfId="48" applyFont="1" applyBorder="1" applyAlignment="1">
      <alignment horizontal="justify"/>
    </xf>
    <xf numFmtId="0" fontId="25" fillId="0" borderId="19" xfId="48" applyFont="1" applyBorder="1" applyAlignment="1">
      <alignment horizontal="left" wrapText="1"/>
    </xf>
    <xf numFmtId="0" fontId="31" fillId="0" borderId="0" xfId="48" applyFont="1"/>
    <xf numFmtId="3" fontId="27" fillId="0" borderId="0" xfId="48" applyNumberFormat="1" applyFont="1"/>
    <xf numFmtId="0" fontId="31" fillId="0" borderId="18" xfId="48" applyFont="1" applyBorder="1" applyAlignment="1">
      <alignment horizontal="right"/>
    </xf>
    <xf numFmtId="0" fontId="31" fillId="0" borderId="24" xfId="48" applyFont="1" applyBorder="1"/>
    <xf numFmtId="3" fontId="31" fillId="0" borderId="0" xfId="48" applyNumberFormat="1" applyFont="1"/>
    <xf numFmtId="0" fontId="27" fillId="0" borderId="65" xfId="48" applyFont="1" applyBorder="1" applyAlignment="1">
      <alignment horizontal="left" wrapText="1"/>
    </xf>
    <xf numFmtId="0" fontId="27" fillId="0" borderId="56" xfId="48" applyFont="1" applyBorder="1" applyAlignment="1">
      <alignment horizontal="left" wrapText="1"/>
    </xf>
    <xf numFmtId="0" fontId="31" fillId="0" borderId="11" xfId="48" applyFont="1" applyBorder="1" applyAlignment="1">
      <alignment horizontal="right"/>
    </xf>
    <xf numFmtId="0" fontId="31" fillId="0" borderId="49" xfId="48" applyFont="1" applyBorder="1" applyAlignment="1">
      <alignment horizontal="center"/>
    </xf>
    <xf numFmtId="0" fontId="31" fillId="0" borderId="63" xfId="48" applyFont="1" applyBorder="1" applyAlignment="1">
      <alignment horizontal="right"/>
    </xf>
    <xf numFmtId="0" fontId="31" fillId="0" borderId="47" xfId="48" applyFont="1" applyBorder="1"/>
    <xf numFmtId="0" fontId="27" fillId="0" borderId="19" xfId="48" applyFont="1" applyBorder="1"/>
    <xf numFmtId="3" fontId="27" fillId="0" borderId="19" xfId="0" applyNumberFormat="1" applyFont="1" applyBorder="1" applyAlignment="1">
      <alignment horizontal="justify"/>
    </xf>
    <xf numFmtId="0" fontId="31" fillId="0" borderId="49" xfId="48" applyFont="1" applyBorder="1"/>
    <xf numFmtId="0" fontId="38" fillId="0" borderId="0" xfId="48" applyFont="1"/>
    <xf numFmtId="0" fontId="30" fillId="0" borderId="18" xfId="48" applyFont="1" applyBorder="1" applyAlignment="1">
      <alignment horizontal="left"/>
    </xf>
    <xf numFmtId="0" fontId="30" fillId="0" borderId="0" xfId="48" applyFont="1"/>
    <xf numFmtId="0" fontId="27" fillId="0" borderId="32" xfId="48" applyFont="1" applyBorder="1" applyAlignment="1">
      <alignment wrapText="1"/>
    </xf>
    <xf numFmtId="3" fontId="27" fillId="0" borderId="0" xfId="0" applyNumberFormat="1" applyFont="1" applyAlignment="1">
      <alignment horizontal="justify"/>
    </xf>
    <xf numFmtId="0" fontId="27" fillId="0" borderId="43" xfId="48" applyFont="1" applyBorder="1" applyAlignment="1">
      <alignment horizontal="right"/>
    </xf>
    <xf numFmtId="0" fontId="31" fillId="0" borderId="40" xfId="48" applyFont="1" applyBorder="1"/>
    <xf numFmtId="0" fontId="31" fillId="0" borderId="27" xfId="48" applyFont="1" applyBorder="1" applyAlignment="1">
      <alignment horizontal="right"/>
    </xf>
    <xf numFmtId="0" fontId="31" fillId="0" borderId="28" xfId="48" applyFont="1" applyBorder="1"/>
    <xf numFmtId="0" fontId="27" fillId="0" borderId="44" xfId="48" applyFont="1" applyBorder="1"/>
    <xf numFmtId="0" fontId="38" fillId="0" borderId="0" xfId="51" applyFont="1"/>
    <xf numFmtId="0" fontId="31" fillId="0" borderId="0" xfId="51" applyFont="1" applyAlignment="1">
      <alignment horizontal="center"/>
    </xf>
    <xf numFmtId="0" fontId="27" fillId="0" borderId="0" xfId="51" applyFont="1"/>
    <xf numFmtId="3" fontId="27" fillId="0" borderId="0" xfId="51" applyNumberFormat="1" applyFont="1"/>
    <xf numFmtId="0" fontId="27" fillId="0" borderId="0" xfId="51" applyFont="1" applyAlignment="1">
      <alignment horizontal="right"/>
    </xf>
    <xf numFmtId="0" fontId="31" fillId="0" borderId="23" xfId="51" applyFont="1" applyBorder="1" applyAlignment="1">
      <alignment horizontal="center"/>
    </xf>
    <xf numFmtId="0" fontId="27" fillId="0" borderId="25" xfId="51" applyFont="1" applyBorder="1" applyAlignment="1">
      <alignment horizontal="center"/>
    </xf>
    <xf numFmtId="0" fontId="27" fillId="0" borderId="18" xfId="51" applyFont="1" applyBorder="1"/>
    <xf numFmtId="0" fontId="27" fillId="0" borderId="26" xfId="51" applyFont="1" applyBorder="1" applyAlignment="1">
      <alignment horizontal="center"/>
    </xf>
    <xf numFmtId="0" fontId="27" fillId="0" borderId="27" xfId="51" applyFont="1" applyBorder="1"/>
    <xf numFmtId="0" fontId="27" fillId="0" borderId="29" xfId="51" applyFont="1" applyBorder="1" applyAlignment="1">
      <alignment horizontal="center" vertical="center" wrapText="1"/>
    </xf>
    <xf numFmtId="3" fontId="31" fillId="0" borderId="0" xfId="51" applyNumberFormat="1" applyFont="1"/>
    <xf numFmtId="0" fontId="27" fillId="0" borderId="73" xfId="51" applyFont="1" applyBorder="1"/>
    <xf numFmtId="3" fontId="27" fillId="0" borderId="70" xfId="51" applyNumberFormat="1" applyFont="1" applyBorder="1"/>
    <xf numFmtId="3" fontId="27" fillId="0" borderId="29" xfId="51" applyNumberFormat="1" applyFont="1" applyBorder="1"/>
    <xf numFmtId="0" fontId="31" fillId="0" borderId="43" xfId="51" applyFont="1" applyBorder="1" applyAlignment="1">
      <alignment horizontal="justify"/>
    </xf>
    <xf numFmtId="3" fontId="31" fillId="0" borderId="37" xfId="51" applyNumberFormat="1" applyFont="1" applyBorder="1"/>
    <xf numFmtId="0" fontId="31" fillId="0" borderId="0" xfId="51" applyFont="1"/>
    <xf numFmtId="0" fontId="27" fillId="0" borderId="18" xfId="51" applyFont="1" applyBorder="1" applyAlignment="1">
      <alignment horizontal="justify"/>
    </xf>
    <xf numFmtId="3" fontId="27" fillId="0" borderId="35" xfId="51" applyNumberFormat="1" applyFont="1" applyBorder="1"/>
    <xf numFmtId="3" fontId="27" fillId="0" borderId="26" xfId="51" applyNumberFormat="1" applyFont="1" applyBorder="1"/>
    <xf numFmtId="0" fontId="31" fillId="0" borderId="43" xfId="51" applyFont="1" applyBorder="1"/>
    <xf numFmtId="2" fontId="27" fillId="0" borderId="0" xfId="51" applyNumberFormat="1" applyFont="1"/>
    <xf numFmtId="3" fontId="38" fillId="0" borderId="0" xfId="51" applyNumberFormat="1" applyFont="1"/>
    <xf numFmtId="0" fontId="27" fillId="0" borderId="29" xfId="51" applyFont="1" applyBorder="1" applyAlignment="1">
      <alignment horizontal="justify"/>
    </xf>
    <xf numFmtId="0" fontId="27" fillId="0" borderId="23" xfId="51" applyFont="1" applyBorder="1" applyAlignment="1">
      <alignment horizontal="justify"/>
    </xf>
    <xf numFmtId="0" fontId="27" fillId="0" borderId="23" xfId="0" applyFont="1" applyBorder="1" applyAlignment="1">
      <alignment horizontal="center"/>
    </xf>
    <xf numFmtId="0" fontId="27" fillId="0" borderId="67" xfId="0" applyFont="1" applyBorder="1" applyAlignment="1">
      <alignment horizontal="center" wrapText="1"/>
    </xf>
    <xf numFmtId="0" fontId="27" fillId="0" borderId="16" xfId="0" applyFont="1" applyBorder="1" applyAlignment="1">
      <alignment horizontal="center" wrapText="1"/>
    </xf>
    <xf numFmtId="0" fontId="31" fillId="0" borderId="68" xfId="0" applyFont="1" applyBorder="1"/>
    <xf numFmtId="0" fontId="27" fillId="0" borderId="68" xfId="0" applyFont="1" applyBorder="1"/>
    <xf numFmtId="0" fontId="27" fillId="0" borderId="17" xfId="0" applyFont="1" applyBorder="1"/>
    <xf numFmtId="4" fontId="27" fillId="0" borderId="0" xfId="0" applyNumberFormat="1" applyFont="1"/>
    <xf numFmtId="3" fontId="27" fillId="0" borderId="22" xfId="0" applyNumberFormat="1" applyFont="1" applyBorder="1"/>
    <xf numFmtId="3" fontId="27" fillId="0" borderId="46" xfId="0" applyNumberFormat="1" applyFont="1" applyBorder="1"/>
    <xf numFmtId="3" fontId="27" fillId="0" borderId="10" xfId="0" applyNumberFormat="1" applyFont="1" applyBorder="1"/>
    <xf numFmtId="3" fontId="27" fillId="0" borderId="11" xfId="0" applyNumberFormat="1" applyFont="1" applyBorder="1"/>
    <xf numFmtId="3" fontId="27" fillId="0" borderId="13" xfId="0" applyNumberFormat="1" applyFont="1" applyBorder="1"/>
    <xf numFmtId="3" fontId="27" fillId="0" borderId="54" xfId="0" applyNumberFormat="1" applyFont="1" applyBorder="1"/>
    <xf numFmtId="3" fontId="27" fillId="0" borderId="69" xfId="0" applyNumberFormat="1" applyFont="1" applyBorder="1"/>
    <xf numFmtId="3" fontId="27" fillId="0" borderId="69" xfId="0" applyNumberFormat="1" applyFont="1" applyBorder="1" applyAlignment="1">
      <alignment horizontal="right"/>
    </xf>
    <xf numFmtId="3" fontId="31" fillId="0" borderId="27" xfId="0" applyNumberFormat="1" applyFont="1" applyBorder="1"/>
    <xf numFmtId="3" fontId="27" fillId="0" borderId="68" xfId="0" applyNumberFormat="1" applyFont="1" applyBorder="1"/>
    <xf numFmtId="3" fontId="31" fillId="0" borderId="68" xfId="0" applyNumberFormat="1" applyFont="1" applyBorder="1" applyAlignment="1">
      <alignment horizontal="right"/>
    </xf>
    <xf numFmtId="3" fontId="27" fillId="0" borderId="17" xfId="0" applyNumberFormat="1" applyFont="1" applyBorder="1"/>
    <xf numFmtId="165" fontId="27" fillId="0" borderId="0" xfId="36" applyNumberFormat="1" applyFont="1" applyFill="1"/>
    <xf numFmtId="0" fontId="27" fillId="0" borderId="0" xfId="46" applyFont="1" applyAlignment="1">
      <alignment horizontal="left"/>
    </xf>
    <xf numFmtId="0" fontId="27" fillId="0" borderId="0" xfId="46" applyFont="1"/>
    <xf numFmtId="0" fontId="27" fillId="0" borderId="0" xfId="46" applyFont="1" applyAlignment="1">
      <alignment horizontal="center"/>
    </xf>
    <xf numFmtId="0" fontId="31" fillId="0" borderId="0" xfId="46" applyFont="1"/>
    <xf numFmtId="0" fontId="27" fillId="0" borderId="0" xfId="46" applyFont="1" applyAlignment="1">
      <alignment horizontal="right"/>
    </xf>
    <xf numFmtId="3" fontId="31" fillId="0" borderId="25" xfId="46" applyNumberFormat="1" applyFont="1" applyBorder="1" applyAlignment="1">
      <alignment horizontal="center"/>
    </xf>
    <xf numFmtId="3" fontId="31" fillId="0" borderId="24" xfId="46" applyNumberFormat="1" applyFont="1" applyBorder="1" applyAlignment="1">
      <alignment horizontal="center"/>
    </xf>
    <xf numFmtId="3" fontId="31" fillId="0" borderId="66" xfId="46" applyNumberFormat="1" applyFont="1" applyBorder="1" applyAlignment="1">
      <alignment horizontal="center"/>
    </xf>
    <xf numFmtId="3" fontId="27" fillId="0" borderId="29" xfId="46" applyNumberFormat="1" applyFont="1" applyBorder="1"/>
    <xf numFmtId="3" fontId="27" fillId="0" borderId="28" xfId="46" applyNumberFormat="1" applyFont="1" applyBorder="1"/>
    <xf numFmtId="3" fontId="31" fillId="0" borderId="39" xfId="46" applyNumberFormat="1" applyFont="1" applyBorder="1" applyAlignment="1">
      <alignment horizontal="center"/>
    </xf>
    <xf numFmtId="3" fontId="27" fillId="0" borderId="37" xfId="46" applyNumberFormat="1" applyFont="1" applyBorder="1"/>
    <xf numFmtId="3" fontId="27" fillId="0" borderId="40" xfId="46" applyNumberFormat="1" applyFont="1" applyBorder="1" applyAlignment="1">
      <alignment horizontal="justify"/>
    </xf>
    <xf numFmtId="3" fontId="27" fillId="0" borderId="25" xfId="46" applyNumberFormat="1" applyFont="1" applyBorder="1"/>
    <xf numFmtId="3" fontId="27" fillId="0" borderId="73" xfId="46" applyNumberFormat="1" applyFont="1" applyBorder="1" applyAlignment="1">
      <alignment horizontal="justify"/>
    </xf>
    <xf numFmtId="3" fontId="27" fillId="0" borderId="70" xfId="46" applyNumberFormat="1" applyFont="1" applyBorder="1"/>
    <xf numFmtId="3" fontId="27" fillId="0" borderId="26" xfId="46" applyNumberFormat="1" applyFont="1" applyBorder="1"/>
    <xf numFmtId="3" fontId="27" fillId="0" borderId="20" xfId="46" applyNumberFormat="1" applyFont="1" applyBorder="1"/>
    <xf numFmtId="3" fontId="27" fillId="0" borderId="35" xfId="46" applyNumberFormat="1" applyFont="1" applyBorder="1"/>
    <xf numFmtId="3" fontId="27" fillId="0" borderId="0" xfId="46" applyNumberFormat="1" applyFont="1"/>
    <xf numFmtId="3" fontId="27" fillId="0" borderId="28" xfId="46" applyNumberFormat="1" applyFont="1" applyBorder="1" applyAlignment="1">
      <alignment horizontal="justify"/>
    </xf>
    <xf numFmtId="3" fontId="31" fillId="0" borderId="29" xfId="46" applyNumberFormat="1" applyFont="1" applyBorder="1"/>
    <xf numFmtId="3" fontId="31" fillId="0" borderId="28" xfId="46" applyNumberFormat="1" applyFont="1" applyBorder="1"/>
    <xf numFmtId="0" fontId="30" fillId="0" borderId="0" xfId="50" applyFont="1"/>
    <xf numFmtId="0" fontId="27" fillId="0" borderId="45" xfId="50" applyFont="1" applyBorder="1" applyAlignment="1">
      <alignment wrapText="1"/>
    </xf>
    <xf numFmtId="0" fontId="27" fillId="0" borderId="0" xfId="50" applyFont="1"/>
    <xf numFmtId="0" fontId="26" fillId="0" borderId="0" xfId="48" applyFont="1" applyAlignment="1">
      <alignment horizontal="right"/>
    </xf>
    <xf numFmtId="0" fontId="28" fillId="0" borderId="23" xfId="48" applyFont="1" applyBorder="1" applyAlignment="1">
      <alignment horizontal="center"/>
    </xf>
    <xf numFmtId="0" fontId="28" fillId="0" borderId="27" xfId="48" applyFont="1" applyBorder="1" applyAlignment="1">
      <alignment horizontal="center"/>
    </xf>
    <xf numFmtId="3" fontId="26" fillId="0" borderId="26" xfId="0" applyNumberFormat="1" applyFont="1" applyBorder="1" applyAlignment="1">
      <alignment horizontal="right" wrapText="1"/>
    </xf>
    <xf numFmtId="3" fontId="26" fillId="0" borderId="50" xfId="0" applyNumberFormat="1" applyFont="1" applyBorder="1" applyAlignment="1">
      <alignment horizontal="right" wrapText="1"/>
    </xf>
    <xf numFmtId="3" fontId="28" fillId="0" borderId="37" xfId="48" applyNumberFormat="1" applyFont="1" applyBorder="1"/>
    <xf numFmtId="3" fontId="28" fillId="0" borderId="0" xfId="48" applyNumberFormat="1" applyFont="1"/>
    <xf numFmtId="0" fontId="25" fillId="0" borderId="32" xfId="48" applyFont="1" applyBorder="1" applyAlignment="1">
      <alignment horizontal="left" wrapText="1"/>
    </xf>
    <xf numFmtId="0" fontId="46" fillId="0" borderId="70" xfId="0" applyFont="1" applyBorder="1" applyAlignment="1">
      <alignment wrapText="1"/>
    </xf>
    <xf numFmtId="0" fontId="46" fillId="0" borderId="50" xfId="0" applyFont="1" applyBorder="1" applyAlignment="1">
      <alignment wrapText="1"/>
    </xf>
    <xf numFmtId="0" fontId="46" fillId="0" borderId="18" xfId="0" applyFont="1" applyBorder="1" applyAlignment="1">
      <alignment wrapText="1"/>
    </xf>
    <xf numFmtId="0" fontId="30" fillId="0" borderId="38" xfId="48" applyFont="1" applyBorder="1"/>
    <xf numFmtId="3" fontId="27" fillId="0" borderId="74" xfId="0" applyNumberFormat="1" applyFont="1" applyBorder="1"/>
    <xf numFmtId="3" fontId="47" fillId="0" borderId="0" xfId="47" applyNumberFormat="1" applyFont="1"/>
    <xf numFmtId="3" fontId="4" fillId="0" borderId="0" xfId="47" applyNumberFormat="1" applyFont="1" applyAlignment="1">
      <alignment horizontal="right"/>
    </xf>
    <xf numFmtId="3" fontId="48" fillId="0" borderId="0" xfId="47" applyNumberFormat="1" applyFont="1"/>
    <xf numFmtId="3" fontId="31" fillId="0" borderId="0" xfId="47" applyNumberFormat="1" applyFont="1"/>
    <xf numFmtId="3" fontId="26" fillId="0" borderId="0" xfId="47" applyNumberFormat="1" applyFont="1" applyAlignment="1">
      <alignment horizontal="right"/>
    </xf>
    <xf numFmtId="3" fontId="31" fillId="0" borderId="25" xfId="47" applyNumberFormat="1" applyFont="1" applyBorder="1" applyAlignment="1">
      <alignment horizontal="center"/>
    </xf>
    <xf numFmtId="3" fontId="36" fillId="0" borderId="25" xfId="47" applyNumberFormat="1" applyFont="1" applyBorder="1" applyAlignment="1">
      <alignment horizontal="center"/>
    </xf>
    <xf numFmtId="3" fontId="36" fillId="0" borderId="23" xfId="47" applyNumberFormat="1" applyFont="1" applyBorder="1" applyAlignment="1">
      <alignment horizontal="center"/>
    </xf>
    <xf numFmtId="3" fontId="50" fillId="0" borderId="0" xfId="47" applyNumberFormat="1" applyFont="1" applyAlignment="1">
      <alignment horizontal="center"/>
    </xf>
    <xf numFmtId="3" fontId="49" fillId="0" borderId="26" xfId="47" applyNumberFormat="1" applyFont="1" applyBorder="1" applyAlignment="1">
      <alignment horizontal="center" vertical="center"/>
    </xf>
    <xf numFmtId="3" fontId="49" fillId="0" borderId="26" xfId="47" applyNumberFormat="1" applyFont="1" applyBorder="1" applyAlignment="1">
      <alignment horizontal="center" vertical="center" wrapText="1"/>
    </xf>
    <xf numFmtId="3" fontId="49" fillId="0" borderId="26" xfId="47" applyNumberFormat="1" applyFont="1" applyBorder="1" applyAlignment="1">
      <alignment horizontal="distributed" vertical="center" wrapText="1"/>
    </xf>
    <xf numFmtId="3" fontId="51" fillId="0" borderId="0" xfId="47" applyNumberFormat="1" applyFont="1" applyAlignment="1">
      <alignment horizontal="distributed"/>
    </xf>
    <xf numFmtId="3" fontId="36" fillId="0" borderId="29" xfId="47" applyNumberFormat="1" applyFont="1" applyBorder="1" applyAlignment="1">
      <alignment horizontal="center" vertical="center"/>
    </xf>
    <xf numFmtId="3" fontId="36" fillId="0" borderId="29" xfId="47" applyNumberFormat="1" applyFont="1" applyBorder="1" applyAlignment="1">
      <alignment horizontal="center"/>
    </xf>
    <xf numFmtId="3" fontId="36" fillId="0" borderId="26" xfId="47" applyNumberFormat="1" applyFont="1" applyBorder="1" applyAlignment="1">
      <alignment horizontal="center"/>
    </xf>
    <xf numFmtId="3" fontId="34" fillId="0" borderId="25" xfId="47" applyNumberFormat="1" applyFont="1" applyBorder="1" applyAlignment="1">
      <alignment horizontal="right"/>
    </xf>
    <xf numFmtId="3" fontId="34" fillId="0" borderId="35" xfId="47" applyNumberFormat="1" applyFont="1" applyBorder="1" applyAlignment="1">
      <alignment horizontal="left"/>
    </xf>
    <xf numFmtId="3" fontId="52" fillId="0" borderId="35" xfId="47" applyNumberFormat="1" applyFont="1" applyBorder="1" applyAlignment="1">
      <alignment horizontal="right"/>
    </xf>
    <xf numFmtId="3" fontId="53" fillId="0" borderId="35" xfId="47" applyNumberFormat="1" applyFont="1" applyBorder="1" applyAlignment="1">
      <alignment horizontal="right"/>
    </xf>
    <xf numFmtId="3" fontId="34" fillId="0" borderId="50" xfId="47" applyNumberFormat="1" applyFont="1" applyBorder="1" applyAlignment="1">
      <alignment horizontal="left"/>
    </xf>
    <xf numFmtId="3" fontId="52" fillId="0" borderId="50" xfId="47" applyNumberFormat="1" applyFont="1" applyBorder="1" applyAlignment="1">
      <alignment horizontal="right"/>
    </xf>
    <xf numFmtId="3" fontId="34" fillId="0" borderId="26" xfId="47" applyNumberFormat="1" applyFont="1" applyBorder="1" applyAlignment="1">
      <alignment horizontal="left"/>
    </xf>
    <xf numFmtId="3" fontId="52" fillId="0" borderId="26" xfId="47" applyNumberFormat="1" applyFont="1" applyBorder="1" applyAlignment="1">
      <alignment horizontal="right"/>
    </xf>
    <xf numFmtId="3" fontId="36" fillId="0" borderId="37" xfId="47" applyNumberFormat="1" applyFont="1" applyBorder="1" applyAlignment="1">
      <alignment horizontal="left"/>
    </xf>
    <xf numFmtId="3" fontId="53" fillId="0" borderId="37" xfId="47" applyNumberFormat="1" applyFont="1" applyBorder="1" applyAlignment="1">
      <alignment horizontal="right"/>
    </xf>
    <xf numFmtId="3" fontId="54" fillId="0" borderId="0" xfId="47" applyNumberFormat="1" applyFont="1"/>
    <xf numFmtId="0" fontId="34" fillId="0" borderId="37" xfId="47" applyFont="1" applyBorder="1"/>
    <xf numFmtId="3" fontId="52" fillId="0" borderId="37" xfId="47" applyNumberFormat="1" applyFont="1" applyBorder="1" applyAlignment="1">
      <alignment horizontal="right"/>
    </xf>
    <xf numFmtId="3" fontId="36" fillId="0" borderId="29" xfId="47" applyNumberFormat="1" applyFont="1" applyBorder="1" applyAlignment="1">
      <alignment horizontal="left"/>
    </xf>
    <xf numFmtId="3" fontId="53" fillId="0" borderId="29" xfId="47" applyNumberFormat="1" applyFont="1" applyBorder="1" applyAlignment="1">
      <alignment horizontal="right"/>
    </xf>
    <xf numFmtId="3" fontId="50" fillId="0" borderId="0" xfId="47" applyNumberFormat="1" applyFont="1"/>
    <xf numFmtId="3" fontId="53" fillId="0" borderId="26" xfId="47" applyNumberFormat="1" applyFont="1" applyBorder="1" applyAlignment="1">
      <alignment horizontal="right"/>
    </xf>
    <xf numFmtId="3" fontId="34" fillId="0" borderId="21" xfId="47" applyNumberFormat="1" applyFont="1" applyBorder="1" applyAlignment="1">
      <alignment horizontal="left"/>
    </xf>
    <xf numFmtId="3" fontId="34" fillId="0" borderId="41" xfId="47" applyNumberFormat="1" applyFont="1" applyBorder="1" applyAlignment="1">
      <alignment horizontal="left"/>
    </xf>
    <xf numFmtId="3" fontId="52" fillId="0" borderId="41" xfId="47" applyNumberFormat="1" applyFont="1" applyBorder="1" applyAlignment="1">
      <alignment horizontal="right"/>
    </xf>
    <xf numFmtId="3" fontId="53" fillId="0" borderId="41" xfId="47" applyNumberFormat="1" applyFont="1" applyBorder="1" applyAlignment="1">
      <alignment horizontal="right"/>
    </xf>
    <xf numFmtId="3" fontId="53" fillId="0" borderId="25" xfId="47" applyNumberFormat="1" applyFont="1" applyBorder="1" applyAlignment="1">
      <alignment horizontal="right"/>
    </xf>
    <xf numFmtId="3" fontId="52" fillId="0" borderId="29" xfId="47" applyNumberFormat="1" applyFont="1" applyBorder="1" applyAlignment="1">
      <alignment horizontal="right"/>
    </xf>
    <xf numFmtId="3" fontId="52" fillId="0" borderId="25" xfId="47" applyNumberFormat="1" applyFont="1" applyBorder="1" applyAlignment="1">
      <alignment horizontal="right"/>
    </xf>
    <xf numFmtId="3" fontId="34" fillId="0" borderId="29" xfId="47" applyNumberFormat="1" applyFont="1" applyBorder="1" applyAlignment="1">
      <alignment horizontal="left"/>
    </xf>
    <xf numFmtId="3" fontId="34" fillId="0" borderId="35" xfId="47" applyNumberFormat="1" applyFont="1" applyBorder="1"/>
    <xf numFmtId="3" fontId="55" fillId="0" borderId="0" xfId="47" applyNumberFormat="1" applyFont="1"/>
    <xf numFmtId="0" fontId="56" fillId="0" borderId="0" xfId="47" applyFont="1"/>
    <xf numFmtId="3" fontId="48" fillId="0" borderId="0" xfId="47" applyNumberFormat="1" applyFont="1" applyAlignment="1">
      <alignment horizontal="right"/>
    </xf>
    <xf numFmtId="3" fontId="57" fillId="0" borderId="0" xfId="47" applyNumberFormat="1" applyFont="1"/>
    <xf numFmtId="3" fontId="50" fillId="0" borderId="0" xfId="47" applyNumberFormat="1" applyFont="1" applyAlignment="1">
      <alignment horizontal="right"/>
    </xf>
    <xf numFmtId="3" fontId="36" fillId="0" borderId="0" xfId="47" applyNumberFormat="1" applyFont="1"/>
    <xf numFmtId="3" fontId="28" fillId="0" borderId="0" xfId="47" applyNumberFormat="1" applyFont="1" applyAlignment="1">
      <alignment horizontal="right"/>
    </xf>
    <xf numFmtId="3" fontId="53" fillId="0" borderId="25" xfId="47" applyNumberFormat="1" applyFont="1" applyBorder="1" applyAlignment="1">
      <alignment horizontal="center"/>
    </xf>
    <xf numFmtId="3" fontId="31" fillId="0" borderId="66" xfId="47" applyNumberFormat="1" applyFont="1" applyBorder="1" applyAlignment="1">
      <alignment horizontal="center"/>
    </xf>
    <xf numFmtId="3" fontId="49" fillId="0" borderId="18" xfId="47" applyNumberFormat="1" applyFont="1" applyBorder="1" applyAlignment="1">
      <alignment horizontal="center" vertical="center"/>
    </xf>
    <xf numFmtId="3" fontId="49" fillId="0" borderId="18" xfId="47" applyNumberFormat="1" applyFont="1" applyBorder="1" applyAlignment="1">
      <alignment horizontal="center" vertical="center" wrapText="1"/>
    </xf>
    <xf numFmtId="3" fontId="49" fillId="0" borderId="38" xfId="47" applyNumberFormat="1" applyFont="1" applyBorder="1" applyAlignment="1">
      <alignment horizontal="center" vertical="center" wrapText="1"/>
    </xf>
    <xf numFmtId="3" fontId="50" fillId="0" borderId="0" xfId="47" applyNumberFormat="1" applyFont="1" applyAlignment="1">
      <alignment horizontal="distributed"/>
    </xf>
    <xf numFmtId="3" fontId="36" fillId="0" borderId="27" xfId="47" applyNumberFormat="1" applyFont="1" applyBorder="1" applyAlignment="1">
      <alignment horizontal="center" vertical="center"/>
    </xf>
    <xf numFmtId="3" fontId="36" fillId="0" borderId="27" xfId="47" applyNumberFormat="1" applyFont="1" applyBorder="1" applyAlignment="1">
      <alignment horizontal="center"/>
    </xf>
    <xf numFmtId="3" fontId="31" fillId="0" borderId="29" xfId="47" applyNumberFormat="1" applyFont="1" applyBorder="1" applyAlignment="1">
      <alignment horizontal="justify" vertical="center"/>
    </xf>
    <xf numFmtId="3" fontId="31" fillId="0" borderId="39" xfId="47" applyNumberFormat="1" applyFont="1" applyBorder="1" applyAlignment="1">
      <alignment horizontal="justify" vertical="center"/>
    </xf>
    <xf numFmtId="3" fontId="50" fillId="0" borderId="0" xfId="47" applyNumberFormat="1" applyFont="1" applyAlignment="1">
      <alignment horizontal="justify"/>
    </xf>
    <xf numFmtId="3" fontId="36" fillId="0" borderId="25" xfId="47" applyNumberFormat="1" applyFont="1" applyBorder="1" applyAlignment="1">
      <alignment horizontal="right"/>
    </xf>
    <xf numFmtId="3" fontId="31" fillId="0" borderId="25" xfId="47" applyNumberFormat="1" applyFont="1" applyBorder="1" applyAlignment="1">
      <alignment horizontal="center" vertical="center"/>
    </xf>
    <xf numFmtId="3" fontId="31" fillId="0" borderId="26" xfId="47" applyNumberFormat="1" applyFont="1" applyBorder="1" applyAlignment="1">
      <alignment horizontal="center" vertical="center"/>
    </xf>
    <xf numFmtId="0" fontId="31" fillId="0" borderId="26" xfId="47" applyFont="1" applyBorder="1"/>
    <xf numFmtId="3" fontId="52" fillId="0" borderId="26" xfId="47" applyNumberFormat="1" applyFont="1" applyBorder="1"/>
    <xf numFmtId="3" fontId="53" fillId="0" borderId="26" xfId="47" applyNumberFormat="1" applyFont="1" applyBorder="1"/>
    <xf numFmtId="3" fontId="52" fillId="0" borderId="50" xfId="47" applyNumberFormat="1" applyFont="1" applyBorder="1"/>
    <xf numFmtId="3" fontId="53" fillId="0" borderId="50" xfId="47" applyNumberFormat="1" applyFont="1" applyBorder="1"/>
    <xf numFmtId="3" fontId="52" fillId="0" borderId="35" xfId="47" applyNumberFormat="1" applyFont="1" applyBorder="1"/>
    <xf numFmtId="3" fontId="53" fillId="0" borderId="35" xfId="47" applyNumberFormat="1" applyFont="1" applyBorder="1"/>
    <xf numFmtId="3" fontId="52" fillId="0" borderId="26" xfId="47" applyNumberFormat="1" applyFont="1" applyBorder="1" applyAlignment="1">
      <alignment horizontal="left"/>
    </xf>
    <xf numFmtId="3" fontId="52" fillId="0" borderId="37" xfId="47" applyNumberFormat="1" applyFont="1" applyBorder="1"/>
    <xf numFmtId="3" fontId="53" fillId="0" borderId="37" xfId="47" applyNumberFormat="1" applyFont="1" applyBorder="1"/>
    <xf numFmtId="3" fontId="36" fillId="0" borderId="75" xfId="47" applyNumberFormat="1" applyFont="1" applyBorder="1" applyAlignment="1">
      <alignment horizontal="left"/>
    </xf>
    <xf numFmtId="3" fontId="53" fillId="0" borderId="38" xfId="47" applyNumberFormat="1" applyFont="1" applyBorder="1" applyAlignment="1">
      <alignment horizontal="right"/>
    </xf>
    <xf numFmtId="3" fontId="53" fillId="0" borderId="26" xfId="47" applyNumberFormat="1" applyFont="1" applyBorder="1" applyAlignment="1">
      <alignment horizontal="center" vertical="center"/>
    </xf>
    <xf numFmtId="3" fontId="36" fillId="0" borderId="18" xfId="47" applyNumberFormat="1" applyFont="1" applyBorder="1" applyAlignment="1">
      <alignment horizontal="center"/>
    </xf>
    <xf numFmtId="3" fontId="36" fillId="0" borderId="26" xfId="47" applyNumberFormat="1" applyFont="1" applyBorder="1" applyAlignment="1">
      <alignment horizontal="right"/>
    </xf>
    <xf numFmtId="3" fontId="36" fillId="0" borderId="38" xfId="47" applyNumberFormat="1" applyFont="1" applyBorder="1" applyAlignment="1">
      <alignment horizontal="right"/>
    </xf>
    <xf numFmtId="3" fontId="36" fillId="0" borderId="76" xfId="47" applyNumberFormat="1" applyFont="1" applyBorder="1" applyAlignment="1">
      <alignment horizontal="right"/>
    </xf>
    <xf numFmtId="3" fontId="34" fillId="0" borderId="58" xfId="47" applyNumberFormat="1" applyFont="1" applyBorder="1" applyAlignment="1">
      <alignment horizontal="left"/>
    </xf>
    <xf numFmtId="3" fontId="52" fillId="0" borderId="14" xfId="47" applyNumberFormat="1" applyFont="1" applyBorder="1" applyAlignment="1">
      <alignment horizontal="right"/>
    </xf>
    <xf numFmtId="3" fontId="34" fillId="0" borderId="11" xfId="47" applyNumberFormat="1" applyFont="1" applyBorder="1" applyAlignment="1">
      <alignment horizontal="left"/>
    </xf>
    <xf numFmtId="3" fontId="52" fillId="0" borderId="12" xfId="47" applyNumberFormat="1" applyFont="1" applyBorder="1" applyAlignment="1">
      <alignment horizontal="right"/>
    </xf>
    <xf numFmtId="3" fontId="34" fillId="0" borderId="54" xfId="47" applyNumberFormat="1" applyFont="1" applyBorder="1" applyAlignment="1">
      <alignment horizontal="left"/>
    </xf>
    <xf numFmtId="3" fontId="52" fillId="0" borderId="36" xfId="47" applyNumberFormat="1" applyFont="1" applyBorder="1" applyAlignment="1">
      <alignment horizontal="right"/>
    </xf>
    <xf numFmtId="3" fontId="52" fillId="0" borderId="41" xfId="47" applyNumberFormat="1" applyFont="1" applyBorder="1"/>
    <xf numFmtId="3" fontId="53" fillId="0" borderId="41" xfId="47" applyNumberFormat="1" applyFont="1" applyBorder="1"/>
    <xf numFmtId="3" fontId="59" fillId="0" borderId="25" xfId="47" applyNumberFormat="1" applyFont="1" applyBorder="1" applyAlignment="1">
      <alignment horizontal="center"/>
    </xf>
    <xf numFmtId="3" fontId="52" fillId="0" borderId="29" xfId="47" applyNumberFormat="1" applyFont="1" applyBorder="1"/>
    <xf numFmtId="3" fontId="53" fillId="0" borderId="29" xfId="47" applyNumberFormat="1" applyFont="1" applyBorder="1"/>
    <xf numFmtId="3" fontId="60" fillId="0" borderId="25" xfId="47" applyNumberFormat="1" applyFont="1" applyBorder="1" applyAlignment="1">
      <alignment horizontal="center"/>
    </xf>
    <xf numFmtId="0" fontId="36" fillId="0" borderId="37" xfId="47" applyFont="1" applyBorder="1"/>
    <xf numFmtId="3" fontId="27" fillId="0" borderId="0" xfId="47" applyNumberFormat="1" applyFont="1"/>
    <xf numFmtId="0" fontId="63" fillId="0" borderId="0" xfId="59" applyFont="1"/>
    <xf numFmtId="0" fontId="65" fillId="0" borderId="0" xfId="60" applyFont="1"/>
    <xf numFmtId="0" fontId="61" fillId="0" borderId="0" xfId="59" applyFont="1"/>
    <xf numFmtId="0" fontId="61" fillId="0" borderId="0" xfId="59" applyFont="1" applyAlignment="1">
      <alignment horizontal="right"/>
    </xf>
    <xf numFmtId="0" fontId="66" fillId="0" borderId="0" xfId="59" applyFont="1"/>
    <xf numFmtId="0" fontId="64" fillId="0" borderId="0" xfId="60"/>
    <xf numFmtId="0" fontId="67" fillId="0" borderId="0" xfId="59" applyFont="1"/>
    <xf numFmtId="3" fontId="62" fillId="0" borderId="23" xfId="61" applyNumberFormat="1" applyFont="1" applyBorder="1" applyAlignment="1">
      <alignment horizontal="center"/>
    </xf>
    <xf numFmtId="0" fontId="68" fillId="0" borderId="0" xfId="60" applyFont="1"/>
    <xf numFmtId="3" fontId="62" fillId="0" borderId="26" xfId="61" applyNumberFormat="1" applyFont="1" applyBorder="1" applyAlignment="1">
      <alignment horizontal="center" wrapText="1"/>
    </xf>
    <xf numFmtId="4" fontId="62" fillId="0" borderId="44" xfId="59" applyNumberFormat="1" applyFont="1" applyBorder="1" applyAlignment="1">
      <alignment horizontal="center"/>
    </xf>
    <xf numFmtId="4" fontId="62" fillId="0" borderId="37" xfId="59" applyNumberFormat="1" applyFont="1" applyBorder="1" applyAlignment="1">
      <alignment horizontal="center" wrapText="1"/>
    </xf>
    <xf numFmtId="4" fontId="62" fillId="0" borderId="43" xfId="59" applyNumberFormat="1" applyFont="1" applyBorder="1" applyAlignment="1">
      <alignment horizontal="center" wrapText="1"/>
    </xf>
    <xf numFmtId="4" fontId="62" fillId="0" borderId="44" xfId="59" applyNumberFormat="1" applyFont="1" applyBorder="1" applyAlignment="1">
      <alignment horizontal="center" wrapText="1"/>
    </xf>
    <xf numFmtId="3" fontId="62" fillId="0" borderId="29" xfId="61" applyNumberFormat="1" applyFont="1" applyBorder="1" applyAlignment="1">
      <alignment horizontal="left"/>
    </xf>
    <xf numFmtId="3" fontId="62" fillId="0" borderId="29" xfId="61" applyNumberFormat="1" applyFont="1" applyBorder="1"/>
    <xf numFmtId="3" fontId="62" fillId="0" borderId="37" xfId="59" applyNumberFormat="1" applyFont="1" applyBorder="1" applyAlignment="1">
      <alignment horizontal="center" vertical="center" wrapText="1"/>
    </xf>
    <xf numFmtId="3" fontId="62" fillId="0" borderId="44" xfId="59" applyNumberFormat="1" applyFont="1" applyBorder="1" applyAlignment="1">
      <alignment vertical="center" wrapText="1"/>
    </xf>
    <xf numFmtId="4" fontId="62" fillId="0" borderId="40" xfId="59" applyNumberFormat="1" applyFont="1" applyBorder="1" applyAlignment="1">
      <alignment horizontal="center" wrapText="1"/>
    </xf>
    <xf numFmtId="4" fontId="49" fillId="0" borderId="44" xfId="59" applyNumberFormat="1" applyFont="1" applyBorder="1" applyAlignment="1">
      <alignment horizontal="center" wrapText="1"/>
    </xf>
    <xf numFmtId="4" fontId="69" fillId="0" borderId="26" xfId="59" applyNumberFormat="1" applyFont="1" applyBorder="1" applyAlignment="1">
      <alignment horizontal="center"/>
    </xf>
    <xf numFmtId="0" fontId="62" fillId="0" borderId="25" xfId="0" applyFont="1" applyBorder="1" applyAlignment="1">
      <alignment horizontal="center" vertical="center" wrapText="1"/>
    </xf>
    <xf numFmtId="0" fontId="62" fillId="0" borderId="66" xfId="0" applyFont="1" applyBorder="1" applyAlignment="1">
      <alignment horizontal="center" vertical="center" wrapText="1"/>
    </xf>
    <xf numFmtId="4" fontId="62" fillId="0" borderId="66" xfId="59" applyNumberFormat="1" applyFont="1" applyBorder="1" applyAlignment="1">
      <alignment horizontal="justify"/>
    </xf>
    <xf numFmtId="0" fontId="64" fillId="0" borderId="0" xfId="60" applyAlignment="1">
      <alignment horizontal="justify"/>
    </xf>
    <xf numFmtId="0" fontId="70" fillId="0" borderId="0" xfId="59" applyFont="1" applyAlignment="1">
      <alignment horizontal="justify"/>
    </xf>
    <xf numFmtId="164" fontId="71" fillId="0" borderId="35" xfId="36" applyFont="1" applyBorder="1" applyAlignment="1">
      <alignment horizontal="left"/>
    </xf>
    <xf numFmtId="166" fontId="71" fillId="0" borderId="26" xfId="36" applyNumberFormat="1" applyFont="1" applyBorder="1" applyAlignment="1">
      <alignment horizontal="right"/>
    </xf>
    <xf numFmtId="166" fontId="71" fillId="0" borderId="26" xfId="36" applyNumberFormat="1" applyFont="1" applyBorder="1" applyAlignment="1"/>
    <xf numFmtId="166" fontId="71" fillId="0" borderId="38" xfId="36" applyNumberFormat="1" applyFont="1" applyBorder="1" applyAlignment="1">
      <alignment horizontal="right"/>
    </xf>
    <xf numFmtId="164" fontId="64" fillId="0" borderId="0" xfId="36" applyFont="1" applyAlignment="1">
      <alignment horizontal="left"/>
    </xf>
    <xf numFmtId="164" fontId="70" fillId="0" borderId="0" xfId="36" applyFont="1" applyAlignment="1">
      <alignment horizontal="left"/>
    </xf>
    <xf numFmtId="164" fontId="71" fillId="0" borderId="50" xfId="36" applyFont="1" applyBorder="1" applyAlignment="1">
      <alignment horizontal="left"/>
    </xf>
    <xf numFmtId="166" fontId="71" fillId="0" borderId="50" xfId="36" applyNumberFormat="1" applyFont="1" applyBorder="1" applyAlignment="1">
      <alignment horizontal="right"/>
    </xf>
    <xf numFmtId="166" fontId="71" fillId="0" borderId="48" xfId="36" applyNumberFormat="1" applyFont="1" applyBorder="1" applyAlignment="1">
      <alignment horizontal="right"/>
    </xf>
    <xf numFmtId="166" fontId="71" fillId="0" borderId="77" xfId="36" applyNumberFormat="1" applyFont="1" applyBorder="1" applyAlignment="1">
      <alignment horizontal="right"/>
    </xf>
    <xf numFmtId="166" fontId="71" fillId="0" borderId="12" xfId="36" applyNumberFormat="1" applyFont="1" applyBorder="1" applyAlignment="1">
      <alignment horizontal="right"/>
    </xf>
    <xf numFmtId="166" fontId="72" fillId="0" borderId="50" xfId="36" applyNumberFormat="1" applyFont="1" applyBorder="1" applyAlignment="1">
      <alignment horizontal="right"/>
    </xf>
    <xf numFmtId="166" fontId="71" fillId="0" borderId="35" xfId="36" applyNumberFormat="1" applyFont="1" applyBorder="1" applyAlignment="1">
      <alignment horizontal="right"/>
    </xf>
    <xf numFmtId="166" fontId="71" fillId="0" borderId="14" xfId="36" applyNumberFormat="1" applyFont="1" applyBorder="1" applyAlignment="1">
      <alignment horizontal="right"/>
    </xf>
    <xf numFmtId="164" fontId="71" fillId="0" borderId="26" xfId="36" applyFont="1" applyBorder="1" applyAlignment="1">
      <alignment horizontal="left"/>
    </xf>
    <xf numFmtId="166" fontId="71" fillId="0" borderId="29" xfId="36" applyNumberFormat="1" applyFont="1" applyBorder="1" applyAlignment="1">
      <alignment horizontal="right"/>
    </xf>
    <xf numFmtId="166" fontId="72" fillId="0" borderId="29" xfId="36" applyNumberFormat="1" applyFont="1" applyBorder="1" applyAlignment="1">
      <alignment horizontal="right"/>
    </xf>
    <xf numFmtId="164" fontId="62" fillId="0" borderId="37" xfId="36" applyFont="1" applyBorder="1" applyAlignment="1">
      <alignment horizontal="left"/>
    </xf>
    <xf numFmtId="166" fontId="62" fillId="0" borderId="37" xfId="36" applyNumberFormat="1" applyFont="1" applyBorder="1" applyAlignment="1">
      <alignment horizontal="right"/>
    </xf>
    <xf numFmtId="164" fontId="71" fillId="0" borderId="37" xfId="36" applyFont="1" applyBorder="1" applyAlignment="1">
      <alignment horizontal="left"/>
    </xf>
    <xf numFmtId="166" fontId="71" fillId="0" borderId="37" xfId="36" applyNumberFormat="1" applyFont="1" applyBorder="1" applyAlignment="1">
      <alignment horizontal="right"/>
    </xf>
    <xf numFmtId="166" fontId="62" fillId="0" borderId="44" xfId="36" applyNumberFormat="1" applyFont="1" applyBorder="1" applyAlignment="1">
      <alignment horizontal="right"/>
    </xf>
    <xf numFmtId="164" fontId="69" fillId="0" borderId="25" xfId="36" applyFont="1" applyBorder="1" applyAlignment="1">
      <alignment horizontal="center"/>
    </xf>
    <xf numFmtId="166" fontId="69" fillId="0" borderId="25" xfId="36" applyNumberFormat="1" applyFont="1" applyBorder="1" applyAlignment="1">
      <alignment horizontal="right"/>
    </xf>
    <xf numFmtId="166" fontId="62" fillId="0" borderId="38" xfId="36" applyNumberFormat="1" applyFont="1" applyBorder="1" applyAlignment="1">
      <alignment horizontal="right"/>
    </xf>
    <xf numFmtId="164" fontId="69" fillId="0" borderId="26" xfId="36" applyFont="1" applyBorder="1" applyAlignment="1">
      <alignment horizontal="center"/>
    </xf>
    <xf numFmtId="166" fontId="69" fillId="0" borderId="26" xfId="36" applyNumberFormat="1" applyFont="1" applyBorder="1" applyAlignment="1">
      <alignment horizontal="right"/>
    </xf>
    <xf numFmtId="166" fontId="62" fillId="0" borderId="35" xfId="36" applyNumberFormat="1" applyFont="1" applyBorder="1" applyAlignment="1">
      <alignment horizontal="right"/>
    </xf>
    <xf numFmtId="166" fontId="62" fillId="0" borderId="14" xfId="36" applyNumberFormat="1" applyFont="1" applyBorder="1" applyAlignment="1">
      <alignment horizontal="right"/>
    </xf>
    <xf numFmtId="164" fontId="71" fillId="0" borderId="41" xfId="36" applyFont="1" applyBorder="1" applyAlignment="1">
      <alignment horizontal="left"/>
    </xf>
    <xf numFmtId="166" fontId="71" fillId="0" borderId="41" xfId="36" applyNumberFormat="1" applyFont="1" applyBorder="1" applyAlignment="1">
      <alignment horizontal="right"/>
    </xf>
    <xf numFmtId="166" fontId="69" fillId="0" borderId="66" xfId="36" applyNumberFormat="1" applyFont="1" applyBorder="1" applyAlignment="1">
      <alignment horizontal="right"/>
    </xf>
    <xf numFmtId="166" fontId="62" fillId="0" borderId="66" xfId="36" applyNumberFormat="1" applyFont="1" applyBorder="1" applyAlignment="1">
      <alignment horizontal="right"/>
    </xf>
    <xf numFmtId="164" fontId="71" fillId="0" borderId="21" xfId="36" applyFont="1" applyBorder="1" applyAlignment="1">
      <alignment horizontal="left" wrapText="1"/>
    </xf>
    <xf numFmtId="166" fontId="71" fillId="0" borderId="26" xfId="36" applyNumberFormat="1" applyFont="1" applyBorder="1" applyAlignment="1">
      <alignment horizontal="right" wrapText="1"/>
    </xf>
    <xf numFmtId="166" fontId="71" fillId="0" borderId="39" xfId="36" applyNumberFormat="1" applyFont="1" applyBorder="1" applyAlignment="1">
      <alignment horizontal="right"/>
    </xf>
    <xf numFmtId="164" fontId="71" fillId="0" borderId="21" xfId="36" applyFont="1" applyBorder="1" applyAlignment="1">
      <alignment horizontal="left"/>
    </xf>
    <xf numFmtId="166" fontId="72" fillId="0" borderId="14" xfId="36" applyNumberFormat="1" applyFont="1" applyBorder="1" applyAlignment="1">
      <alignment horizontal="right"/>
    </xf>
    <xf numFmtId="166" fontId="72" fillId="0" borderId="38" xfId="36" applyNumberFormat="1" applyFont="1" applyBorder="1" applyAlignment="1">
      <alignment horizontal="right"/>
    </xf>
    <xf numFmtId="166" fontId="71" fillId="0" borderId="36" xfId="36" applyNumberFormat="1" applyFont="1" applyBorder="1" applyAlignment="1">
      <alignment horizontal="right"/>
    </xf>
    <xf numFmtId="166" fontId="62" fillId="0" borderId="36" xfId="36" applyNumberFormat="1" applyFont="1" applyBorder="1" applyAlignment="1">
      <alignment horizontal="right"/>
    </xf>
    <xf numFmtId="166" fontId="62" fillId="0" borderId="39" xfId="36" applyNumberFormat="1" applyFont="1" applyBorder="1" applyAlignment="1">
      <alignment horizontal="right"/>
    </xf>
    <xf numFmtId="164" fontId="62" fillId="0" borderId="29" xfId="36" applyFont="1" applyBorder="1" applyAlignment="1">
      <alignment horizontal="left"/>
    </xf>
    <xf numFmtId="164" fontId="66" fillId="0" borderId="0" xfId="36" applyFont="1" applyAlignment="1">
      <alignment horizontal="left"/>
    </xf>
    <xf numFmtId="164" fontId="66" fillId="0" borderId="0" xfId="36" applyFont="1" applyAlignment="1">
      <alignment horizontal="right"/>
    </xf>
    <xf numFmtId="164" fontId="73" fillId="0" borderId="0" xfId="36" applyFont="1" applyAlignment="1">
      <alignment horizontal="right"/>
    </xf>
    <xf numFmtId="164" fontId="31" fillId="0" borderId="0" xfId="36" applyFont="1" applyAlignment="1">
      <alignment horizontal="right"/>
    </xf>
    <xf numFmtId="164" fontId="74" fillId="0" borderId="0" xfId="36" applyFont="1" applyAlignment="1">
      <alignment horizontal="left"/>
    </xf>
    <xf numFmtId="0" fontId="66" fillId="0" borderId="0" xfId="59" applyFont="1" applyAlignment="1">
      <alignment wrapText="1"/>
    </xf>
    <xf numFmtId="49" fontId="45" fillId="0" borderId="0" xfId="59" applyNumberFormat="1" applyFont="1"/>
    <xf numFmtId="0" fontId="45" fillId="0" borderId="0" xfId="59" applyFont="1"/>
    <xf numFmtId="0" fontId="75" fillId="0" borderId="0" xfId="60" applyFont="1"/>
    <xf numFmtId="0" fontId="76" fillId="0" borderId="0" xfId="59" applyFont="1"/>
    <xf numFmtId="49" fontId="66" fillId="0" borderId="0" xfId="59" applyNumberFormat="1" applyFont="1" applyAlignment="1">
      <alignment wrapText="1"/>
    </xf>
    <xf numFmtId="0" fontId="31" fillId="0" borderId="0" xfId="59" applyFont="1"/>
    <xf numFmtId="0" fontId="74" fillId="0" borderId="0" xfId="60" applyFont="1"/>
    <xf numFmtId="0" fontId="70" fillId="0" borderId="0" xfId="59" applyFont="1"/>
    <xf numFmtId="0" fontId="77" fillId="0" borderId="0" xfId="59" applyFont="1"/>
    <xf numFmtId="0" fontId="78" fillId="0" borderId="0" xfId="59" applyFont="1"/>
    <xf numFmtId="0" fontId="29" fillId="0" borderId="0" xfId="59" applyFont="1"/>
    <xf numFmtId="0" fontId="80" fillId="0" borderId="0" xfId="63" applyFont="1"/>
    <xf numFmtId="0" fontId="82" fillId="0" borderId="0" xfId="63" applyFont="1"/>
    <xf numFmtId="0" fontId="82" fillId="0" borderId="0" xfId="63" applyFont="1" applyAlignment="1">
      <alignment wrapText="1"/>
    </xf>
    <xf numFmtId="3" fontId="83" fillId="0" borderId="0" xfId="63" applyNumberFormat="1" applyFont="1"/>
    <xf numFmtId="0" fontId="84" fillId="0" borderId="73" xfId="63" applyFont="1" applyBorder="1" applyAlignment="1">
      <alignment horizontal="center" wrapText="1"/>
    </xf>
    <xf numFmtId="3" fontId="81" fillId="0" borderId="78" xfId="63" applyNumberFormat="1" applyFont="1" applyBorder="1" applyAlignment="1">
      <alignment horizontal="center" vertical="center" wrapText="1"/>
    </xf>
    <xf numFmtId="0" fontId="85" fillId="0" borderId="0" xfId="63" applyFont="1"/>
    <xf numFmtId="0" fontId="79" fillId="0" borderId="63" xfId="63" applyFont="1" applyBorder="1" applyAlignment="1">
      <alignment wrapText="1"/>
    </xf>
    <xf numFmtId="3" fontId="86" fillId="0" borderId="79" xfId="63" applyNumberFormat="1" applyFont="1" applyBorder="1"/>
    <xf numFmtId="0" fontId="87" fillId="0" borderId="0" xfId="63" applyFont="1"/>
    <xf numFmtId="0" fontId="88" fillId="0" borderId="22" xfId="63" applyFont="1" applyBorder="1" applyAlignment="1">
      <alignment wrapText="1"/>
    </xf>
    <xf numFmtId="3" fontId="89" fillId="0" borderId="10" xfId="63" applyNumberFormat="1" applyFont="1" applyBorder="1"/>
    <xf numFmtId="0" fontId="88" fillId="0" borderId="11" xfId="63" applyFont="1" applyBorder="1" applyAlignment="1">
      <alignment wrapText="1"/>
    </xf>
    <xf numFmtId="3" fontId="89" fillId="0" borderId="13" xfId="63" applyNumberFormat="1" applyFont="1" applyBorder="1"/>
    <xf numFmtId="3" fontId="89" fillId="27" borderId="13" xfId="63" applyNumberFormat="1" applyFont="1" applyFill="1" applyBorder="1"/>
    <xf numFmtId="0" fontId="88" fillId="0" borderId="18" xfId="63" applyFont="1" applyBorder="1" applyAlignment="1">
      <alignment wrapText="1"/>
    </xf>
    <xf numFmtId="0" fontId="79" fillId="29" borderId="80" xfId="63" applyFont="1" applyFill="1" applyBorder="1" applyAlignment="1">
      <alignment wrapText="1"/>
    </xf>
    <xf numFmtId="3" fontId="90" fillId="29" borderId="81" xfId="63" applyNumberFormat="1" applyFont="1" applyFill="1" applyBorder="1"/>
    <xf numFmtId="0" fontId="79" fillId="0" borderId="0" xfId="63" applyFont="1"/>
    <xf numFmtId="0" fontId="79" fillId="0" borderId="18" xfId="63" applyFont="1" applyBorder="1" applyAlignment="1">
      <alignment wrapText="1"/>
    </xf>
    <xf numFmtId="3" fontId="90" fillId="0" borderId="76" xfId="63" applyNumberFormat="1" applyFont="1" applyBorder="1"/>
    <xf numFmtId="0" fontId="91" fillId="0" borderId="18" xfId="63" applyFont="1" applyBorder="1" applyAlignment="1">
      <alignment wrapText="1"/>
    </xf>
    <xf numFmtId="3" fontId="89" fillId="0" borderId="76" xfId="63" applyNumberFormat="1" applyFont="1" applyBorder="1"/>
    <xf numFmtId="0" fontId="92" fillId="0" borderId="22" xfId="63" applyFont="1" applyBorder="1" applyAlignment="1">
      <alignment wrapText="1"/>
    </xf>
    <xf numFmtId="0" fontId="93" fillId="0" borderId="18" xfId="63" applyFont="1" applyBorder="1" applyAlignment="1">
      <alignment wrapText="1"/>
    </xf>
    <xf numFmtId="3" fontId="89" fillId="0" borderId="79" xfId="63" applyNumberFormat="1" applyFont="1" applyBorder="1"/>
    <xf numFmtId="0" fontId="91" fillId="0" borderId="22" xfId="63" applyFont="1" applyBorder="1" applyAlignment="1">
      <alignment wrapText="1"/>
    </xf>
    <xf numFmtId="0" fontId="91" fillId="0" borderId="63" xfId="63" applyFont="1" applyBorder="1" applyAlignment="1">
      <alignment wrapText="1"/>
    </xf>
    <xf numFmtId="0" fontId="94" fillId="0" borderId="18" xfId="63" applyFont="1" applyBorder="1" applyAlignment="1">
      <alignment wrapText="1"/>
    </xf>
    <xf numFmtId="0" fontId="91" fillId="0" borderId="82" xfId="63" applyFont="1" applyBorder="1" applyAlignment="1">
      <alignment wrapText="1"/>
    </xf>
    <xf numFmtId="0" fontId="88" fillId="0" borderId="18" xfId="63" applyFont="1" applyBorder="1" applyAlignment="1">
      <alignment horizontal="left" wrapText="1"/>
    </xf>
    <xf numFmtId="0" fontId="88" fillId="0" borderId="45" xfId="63" applyFont="1" applyBorder="1" applyAlignment="1">
      <alignment wrapText="1"/>
    </xf>
    <xf numFmtId="0" fontId="88" fillId="0" borderId="83" xfId="63" applyFont="1" applyBorder="1" applyAlignment="1">
      <alignment horizontal="left" wrapText="1"/>
    </xf>
    <xf numFmtId="0" fontId="92" fillId="0" borderId="63" xfId="63" applyFont="1" applyBorder="1" applyAlignment="1">
      <alignment wrapText="1"/>
    </xf>
    <xf numFmtId="0" fontId="94" fillId="0" borderId="22" xfId="63" applyFont="1" applyBorder="1" applyAlignment="1">
      <alignment wrapText="1"/>
    </xf>
    <xf numFmtId="0" fontId="88" fillId="0" borderId="84" xfId="63" applyFont="1" applyBorder="1" applyAlignment="1">
      <alignment wrapText="1"/>
    </xf>
    <xf numFmtId="3" fontId="89" fillId="0" borderId="85" xfId="63" applyNumberFormat="1" applyFont="1" applyBorder="1"/>
    <xf numFmtId="3" fontId="89" fillId="29" borderId="81" xfId="63" applyNumberFormat="1" applyFont="1" applyFill="1" applyBorder="1"/>
    <xf numFmtId="0" fontId="95" fillId="0" borderId="0" xfId="63" applyFont="1"/>
    <xf numFmtId="3" fontId="88" fillId="0" borderId="18" xfId="63" applyNumberFormat="1" applyFont="1" applyBorder="1"/>
    <xf numFmtId="3" fontId="89" fillId="27" borderId="10" xfId="63" applyNumberFormat="1" applyFont="1" applyFill="1" applyBorder="1"/>
    <xf numFmtId="0" fontId="88" fillId="27" borderId="11" xfId="63" applyFont="1" applyFill="1" applyBorder="1" applyAlignment="1">
      <alignment wrapText="1"/>
    </xf>
    <xf numFmtId="0" fontId="94" fillId="0" borderId="11" xfId="63" applyFont="1" applyBorder="1" applyAlignment="1">
      <alignment wrapText="1"/>
    </xf>
    <xf numFmtId="0" fontId="96" fillId="0" borderId="11" xfId="63" applyFont="1" applyBorder="1" applyAlignment="1">
      <alignment wrapText="1"/>
    </xf>
    <xf numFmtId="0" fontId="91" fillId="0" borderId="80" xfId="63" applyFont="1" applyBorder="1" applyAlignment="1">
      <alignment wrapText="1"/>
    </xf>
    <xf numFmtId="3" fontId="89" fillId="0" borderId="81" xfId="63" applyNumberFormat="1" applyFont="1" applyBorder="1"/>
    <xf numFmtId="0" fontId="91" fillId="0" borderId="84" xfId="63" applyFont="1" applyBorder="1" applyAlignment="1">
      <alignment wrapText="1"/>
    </xf>
    <xf numFmtId="0" fontId="91" fillId="0" borderId="86" xfId="63" applyFont="1" applyBorder="1" applyAlignment="1">
      <alignment wrapText="1"/>
    </xf>
    <xf numFmtId="3" fontId="89" fillId="0" borderId="87" xfId="63" applyNumberFormat="1" applyFont="1" applyBorder="1"/>
    <xf numFmtId="0" fontId="85" fillId="0" borderId="18" xfId="63" applyFont="1" applyBorder="1" applyAlignment="1">
      <alignment wrapText="1"/>
    </xf>
    <xf numFmtId="0" fontId="97" fillId="0" borderId="18" xfId="63" applyFont="1" applyBorder="1" applyAlignment="1">
      <alignment wrapText="1"/>
    </xf>
    <xf numFmtId="0" fontId="98" fillId="0" borderId="18" xfId="63" applyFont="1" applyBorder="1" applyAlignment="1">
      <alignment wrapText="1"/>
    </xf>
    <xf numFmtId="0" fontId="98" fillId="0" borderId="11" xfId="63" applyFont="1" applyBorder="1" applyAlignment="1">
      <alignment horizontal="left" wrapText="1"/>
    </xf>
    <xf numFmtId="0" fontId="85" fillId="29" borderId="80" xfId="63" applyFont="1" applyFill="1" applyBorder="1" applyAlignment="1">
      <alignment wrapText="1"/>
    </xf>
    <xf numFmtId="0" fontId="85" fillId="0" borderId="86" xfId="63" applyFont="1" applyBorder="1" applyAlignment="1">
      <alignment wrapText="1"/>
    </xf>
    <xf numFmtId="0" fontId="87" fillId="0" borderId="22" xfId="63" applyFont="1" applyBorder="1" applyAlignment="1">
      <alignment wrapText="1"/>
    </xf>
    <xf numFmtId="0" fontId="87" fillId="0" borderId="11" xfId="63" applyFont="1" applyBorder="1" applyAlignment="1">
      <alignment wrapText="1"/>
    </xf>
    <xf numFmtId="0" fontId="85" fillId="29" borderId="88" xfId="63" applyFont="1" applyFill="1" applyBorder="1" applyAlignment="1">
      <alignment wrapText="1"/>
    </xf>
    <xf numFmtId="3" fontId="89" fillId="29" borderId="89" xfId="63" applyNumberFormat="1" applyFont="1" applyFill="1" applyBorder="1"/>
    <xf numFmtId="0" fontId="97" fillId="0" borderId="23" xfId="63" applyFont="1" applyBorder="1" applyAlignment="1">
      <alignment horizontal="center" wrapText="1"/>
    </xf>
    <xf numFmtId="3" fontId="100" fillId="0" borderId="16" xfId="63" applyNumberFormat="1" applyFont="1" applyBorder="1" applyAlignment="1">
      <alignment horizontal="center"/>
    </xf>
    <xf numFmtId="0" fontId="101" fillId="27" borderId="22" xfId="62" applyFont="1" applyFill="1" applyBorder="1" applyAlignment="1">
      <alignment horizontal="left"/>
    </xf>
    <xf numFmtId="3" fontId="90" fillId="27" borderId="76" xfId="63" applyNumberFormat="1" applyFont="1" applyFill="1" applyBorder="1"/>
    <xf numFmtId="3" fontId="90" fillId="27" borderId="13" xfId="63" applyNumberFormat="1" applyFont="1" applyFill="1" applyBorder="1"/>
    <xf numFmtId="0" fontId="101" fillId="27" borderId="18" xfId="62" applyFont="1" applyFill="1" applyBorder="1"/>
    <xf numFmtId="0" fontId="101" fillId="0" borderId="11" xfId="62" applyFont="1" applyBorder="1" applyAlignment="1">
      <alignment wrapText="1"/>
    </xf>
    <xf numFmtId="0" fontId="101" fillId="0" borderId="90" xfId="62" applyFont="1" applyBorder="1" applyAlignment="1">
      <alignment wrapText="1"/>
    </xf>
    <xf numFmtId="3" fontId="90" fillId="27" borderId="12" xfId="63" applyNumberFormat="1" applyFont="1" applyFill="1" applyBorder="1"/>
    <xf numFmtId="0" fontId="102" fillId="28" borderId="83" xfId="62" applyFont="1" applyFill="1" applyBorder="1" applyAlignment="1">
      <alignment wrapText="1"/>
    </xf>
    <xf numFmtId="3" fontId="99" fillId="28" borderId="12" xfId="63" applyNumberFormat="1" applyFont="1" applyFill="1" applyBorder="1"/>
    <xf numFmtId="0" fontId="103" fillId="0" borderId="0" xfId="63" applyFont="1"/>
    <xf numFmtId="0" fontId="102" fillId="28" borderId="90" xfId="62" applyFont="1" applyFill="1" applyBorder="1" applyAlignment="1">
      <alignment wrapText="1"/>
    </xf>
    <xf numFmtId="3" fontId="99" fillId="28" borderId="38" xfId="63" applyNumberFormat="1" applyFont="1" applyFill="1" applyBorder="1"/>
    <xf numFmtId="0" fontId="79" fillId="29" borderId="50" xfId="63" applyFont="1" applyFill="1" applyBorder="1" applyAlignment="1">
      <alignment wrapText="1"/>
    </xf>
    <xf numFmtId="3" fontId="90" fillId="29" borderId="50" xfId="63" applyNumberFormat="1" applyFont="1" applyFill="1" applyBorder="1"/>
    <xf numFmtId="3" fontId="79" fillId="29" borderId="84" xfId="63" applyNumberFormat="1" applyFont="1" applyFill="1" applyBorder="1" applyAlignment="1">
      <alignment wrapText="1"/>
    </xf>
    <xf numFmtId="3" fontId="90" fillId="29" borderId="91" xfId="63" applyNumberFormat="1" applyFont="1" applyFill="1" applyBorder="1"/>
    <xf numFmtId="3" fontId="79" fillId="0" borderId="18" xfId="63" applyNumberFormat="1" applyFont="1" applyBorder="1" applyAlignment="1">
      <alignment wrapText="1"/>
    </xf>
    <xf numFmtId="3" fontId="90" fillId="0" borderId="38" xfId="63" applyNumberFormat="1" applyFont="1" applyBorder="1"/>
    <xf numFmtId="0" fontId="58" fillId="0" borderId="18" xfId="62" applyFont="1" applyBorder="1"/>
    <xf numFmtId="0" fontId="101" fillId="0" borderId="22" xfId="62" applyFont="1" applyBorder="1"/>
    <xf numFmtId="3" fontId="90" fillId="0" borderId="10" xfId="63" applyNumberFormat="1" applyFont="1" applyBorder="1"/>
    <xf numFmtId="0" fontId="101" fillId="0" borderId="11" xfId="62" applyFont="1" applyBorder="1"/>
    <xf numFmtId="0" fontId="79" fillId="29" borderId="86" xfId="63" applyFont="1" applyFill="1" applyBorder="1" applyAlignment="1">
      <alignment wrapText="1"/>
    </xf>
    <xf numFmtId="3" fontId="90" fillId="29" borderId="92" xfId="63" applyNumberFormat="1" applyFont="1" applyFill="1" applyBorder="1"/>
    <xf numFmtId="3" fontId="80" fillId="0" borderId="0" xfId="63" applyNumberFormat="1" applyFont="1"/>
    <xf numFmtId="3" fontId="90" fillId="0" borderId="87" xfId="63" applyNumberFormat="1" applyFont="1" applyBorder="1"/>
    <xf numFmtId="3" fontId="52" fillId="0" borderId="0" xfId="47" applyNumberFormat="1" applyFont="1" applyAlignment="1">
      <alignment horizontal="right"/>
    </xf>
    <xf numFmtId="3" fontId="87" fillId="0" borderId="0" xfId="63" applyNumberFormat="1" applyFont="1" applyAlignment="1">
      <alignment horizontal="right"/>
    </xf>
    <xf numFmtId="0" fontId="27" fillId="0" borderId="21" xfId="0" applyFont="1" applyBorder="1" applyAlignment="1">
      <alignment wrapText="1"/>
    </xf>
    <xf numFmtId="3" fontId="27" fillId="0" borderId="33" xfId="0" applyNumberFormat="1" applyFont="1" applyBorder="1" applyAlignment="1">
      <alignment horizontal="left" wrapText="1"/>
    </xf>
    <xf numFmtId="0" fontId="31" fillId="26" borderId="27" xfId="0" applyFont="1" applyFill="1" applyBorder="1" applyAlignment="1">
      <alignment horizontal="justify"/>
    </xf>
    <xf numFmtId="3" fontId="31" fillId="26" borderId="29" xfId="0" applyNumberFormat="1" applyFont="1" applyFill="1" applyBorder="1" applyAlignment="1">
      <alignment horizontal="right"/>
    </xf>
    <xf numFmtId="0" fontId="27" fillId="26" borderId="57" xfId="0" applyFont="1" applyFill="1" applyBorder="1" applyAlignment="1">
      <alignment wrapText="1"/>
    </xf>
    <xf numFmtId="0" fontId="27" fillId="26" borderId="62" xfId="0" applyFont="1" applyFill="1" applyBorder="1" applyAlignment="1">
      <alignment wrapText="1"/>
    </xf>
    <xf numFmtId="0" fontId="30" fillId="26" borderId="62" xfId="0" applyFont="1" applyFill="1" applyBorder="1" applyAlignment="1">
      <alignment wrapText="1"/>
    </xf>
    <xf numFmtId="0" fontId="24" fillId="0" borderId="31" xfId="0" applyFont="1" applyBorder="1" applyAlignment="1">
      <alignment wrapText="1"/>
    </xf>
    <xf numFmtId="0" fontId="27" fillId="26" borderId="31" xfId="0" applyFont="1" applyFill="1" applyBorder="1" applyAlignment="1">
      <alignment wrapText="1"/>
    </xf>
    <xf numFmtId="0" fontId="30" fillId="0" borderId="43" xfId="0" applyFont="1" applyBorder="1" applyAlignment="1">
      <alignment horizontal="left" wrapText="1"/>
    </xf>
    <xf numFmtId="0" fontId="27" fillId="0" borderId="30" xfId="0" applyFont="1" applyBorder="1" applyAlignment="1">
      <alignment wrapText="1"/>
    </xf>
    <xf numFmtId="0" fontId="27" fillId="0" borderId="34" xfId="0" applyFont="1" applyBorder="1" applyAlignment="1">
      <alignment wrapText="1"/>
    </xf>
    <xf numFmtId="3" fontId="31" fillId="0" borderId="26" xfId="0" applyNumberFormat="1" applyFont="1" applyBorder="1" applyAlignment="1">
      <alignment horizontal="center" wrapText="1"/>
    </xf>
    <xf numFmtId="3" fontId="32" fillId="0" borderId="21" xfId="0" applyNumberFormat="1" applyFont="1" applyBorder="1"/>
    <xf numFmtId="0" fontId="2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27" fillId="0" borderId="32" xfId="0" applyFont="1" applyBorder="1" applyAlignment="1">
      <alignment horizontal="left" wrapText="1"/>
    </xf>
    <xf numFmtId="0" fontId="27" fillId="0" borderId="65" xfId="0" applyFont="1" applyBorder="1" applyAlignment="1">
      <alignment horizontal="left" wrapText="1"/>
    </xf>
    <xf numFmtId="0" fontId="31" fillId="0" borderId="0" xfId="0" applyFont="1" applyAlignment="1">
      <alignment horizontal="center"/>
    </xf>
    <xf numFmtId="3" fontId="49" fillId="0" borderId="0" xfId="47" applyNumberFormat="1" applyFont="1" applyAlignment="1">
      <alignment horizontal="center"/>
    </xf>
    <xf numFmtId="0" fontId="79" fillId="0" borderId="0" xfId="62" applyFont="1" applyAlignment="1">
      <alignment horizontal="center"/>
    </xf>
    <xf numFmtId="0" fontId="81" fillId="0" borderId="0" xfId="63" applyFont="1" applyAlignment="1">
      <alignment horizontal="center" wrapText="1"/>
    </xf>
    <xf numFmtId="0" fontId="61" fillId="0" borderId="0" xfId="59" applyFont="1" applyAlignment="1">
      <alignment horizontal="center"/>
    </xf>
    <xf numFmtId="3" fontId="62" fillId="0" borderId="25" xfId="61" applyNumberFormat="1" applyFont="1" applyBorder="1" applyAlignment="1">
      <alignment horizontal="center" vertical="center"/>
    </xf>
    <xf numFmtId="3" fontId="62" fillId="0" borderId="26" xfId="61" applyNumberFormat="1" applyFont="1" applyBorder="1" applyAlignment="1">
      <alignment horizontal="center" vertical="center"/>
    </xf>
    <xf numFmtId="4" fontId="62" fillId="0" borderId="43" xfId="59" applyNumberFormat="1" applyFont="1" applyBorder="1" applyAlignment="1">
      <alignment horizontal="center" vertical="center"/>
    </xf>
    <xf numFmtId="4" fontId="62" fillId="0" borderId="40" xfId="59" applyNumberFormat="1" applyFont="1" applyBorder="1" applyAlignment="1">
      <alignment horizontal="center" vertical="center"/>
    </xf>
    <xf numFmtId="4" fontId="62" fillId="0" borderId="44" xfId="59" applyNumberFormat="1" applyFont="1" applyBorder="1" applyAlignment="1">
      <alignment horizontal="center" vertical="center"/>
    </xf>
    <xf numFmtId="4" fontId="62" fillId="0" borderId="43" xfId="59" applyNumberFormat="1" applyFont="1" applyBorder="1" applyAlignment="1">
      <alignment horizontal="center" wrapText="1"/>
    </xf>
    <xf numFmtId="4" fontId="62" fillId="0" borderId="44" xfId="59" applyNumberFormat="1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4" xfId="48" applyFont="1" applyBorder="1" applyAlignment="1">
      <alignment horizontal="left"/>
    </xf>
    <xf numFmtId="0" fontId="31" fillId="0" borderId="53" xfId="48" applyFont="1" applyBorder="1" applyAlignment="1">
      <alignment horizontal="left"/>
    </xf>
    <xf numFmtId="0" fontId="31" fillId="0" borderId="11" xfId="48" applyFont="1" applyBorder="1" applyAlignment="1">
      <alignment horizontal="left" wrapText="1"/>
    </xf>
    <xf numFmtId="0" fontId="31" fillId="0" borderId="12" xfId="48" applyFont="1" applyBorder="1" applyAlignment="1">
      <alignment horizontal="left" wrapText="1"/>
    </xf>
    <xf numFmtId="0" fontId="31" fillId="0" borderId="11" xfId="48" applyFont="1" applyBorder="1" applyAlignment="1">
      <alignment horizontal="left"/>
    </xf>
    <xf numFmtId="0" fontId="31" fillId="0" borderId="49" xfId="48" applyFont="1" applyBorder="1" applyAlignment="1">
      <alignment horizontal="left"/>
    </xf>
    <xf numFmtId="0" fontId="31" fillId="0" borderId="0" xfId="48" applyFont="1" applyAlignment="1">
      <alignment horizontal="center"/>
    </xf>
    <xf numFmtId="0" fontId="31" fillId="0" borderId="43" xfId="48" applyFont="1" applyBorder="1" applyAlignment="1">
      <alignment horizontal="left"/>
    </xf>
    <xf numFmtId="0" fontId="31" fillId="0" borderId="44" xfId="48" applyFont="1" applyBorder="1" applyAlignment="1">
      <alignment horizontal="left"/>
    </xf>
    <xf numFmtId="0" fontId="31" fillId="0" borderId="23" xfId="48" applyFont="1" applyBorder="1" applyAlignment="1">
      <alignment horizontal="center"/>
    </xf>
    <xf numFmtId="0" fontId="31" fillId="0" borderId="24" xfId="48" applyFont="1" applyBorder="1" applyAlignment="1">
      <alignment horizontal="center"/>
    </xf>
    <xf numFmtId="0" fontId="30" fillId="0" borderId="18" xfId="48" applyFont="1" applyBorder="1" applyAlignment="1">
      <alignment horizontal="left"/>
    </xf>
    <xf numFmtId="0" fontId="30" fillId="0" borderId="0" xfId="48" applyFont="1" applyAlignment="1">
      <alignment horizontal="left"/>
    </xf>
    <xf numFmtId="0" fontId="31" fillId="0" borderId="0" xfId="51" applyFont="1" applyAlignment="1">
      <alignment horizontal="center"/>
    </xf>
    <xf numFmtId="0" fontId="31" fillId="0" borderId="0" xfId="46" applyFont="1" applyAlignment="1">
      <alignment horizontal="center"/>
    </xf>
    <xf numFmtId="0" fontId="31" fillId="0" borderId="40" xfId="48" applyFont="1" applyBorder="1" applyAlignment="1">
      <alignment horizontal="left"/>
    </xf>
    <xf numFmtId="0" fontId="28" fillId="0" borderId="0" xfId="48" applyFont="1" applyAlignment="1">
      <alignment horizontal="center"/>
    </xf>
  </cellXfs>
  <cellStyles count="64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Ezres 2" xfId="58" xr:uid="{621AA41D-BF7C-4240-89D7-7A2FB216C0C6}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7" xr:uid="{D263C561-080B-4D75-A6C1-2F84914E3D5B}"/>
    <cellStyle name="Normál 5" xfId="63" xr:uid="{8E0BD535-C5FC-47F6-93B0-F16A0F51FFA0}"/>
    <cellStyle name="Normál_99LETSZ_LETSZ02" xfId="59" xr:uid="{3B071CBD-8663-49ED-A121-42B55D54AA3E}"/>
    <cellStyle name="Normál_GUCIFEJL" xfId="48" xr:uid="{00000000-0005-0000-0000-000030000000}"/>
    <cellStyle name="Normál_IKÖZI" xfId="62" xr:uid="{57B4FFA8-3BDE-41F4-B42B-D6E8C910D306}"/>
    <cellStyle name="Normál_kiemelt eik 2013" xfId="49" xr:uid="{00000000-0005-0000-0000-000031000000}"/>
    <cellStyle name="Normál_kozvetetttam" xfId="50" xr:uid="{00000000-0005-0000-0000-000032000000}"/>
    <cellStyle name="Normál_LETSZ06" xfId="61" xr:uid="{6F9E9002-FA50-4C2D-90A4-B2AC70B8FF39}"/>
    <cellStyle name="Normál_letsz2011" xfId="60" xr:uid="{AAB2AA3F-7151-4FB8-9F22-897F71736307}"/>
    <cellStyle name="Normál_módIV12önk" xfId="51" xr:uid="{00000000-0005-0000-0000-000033000000}"/>
    <cellStyle name="Normál_Munkafüzet2" xfId="52" xr:uid="{00000000-0005-0000-0000-000034000000}"/>
    <cellStyle name="Összesen" xfId="53" xr:uid="{00000000-0005-0000-0000-000036000000}"/>
    <cellStyle name="Rossz" xfId="54" xr:uid="{00000000-0005-0000-0000-000037000000}"/>
    <cellStyle name="Semleges" xfId="55" xr:uid="{00000000-0005-0000-0000-000038000000}"/>
    <cellStyle name="Számítás" xfId="56" xr:uid="{00000000-0005-0000-0000-00003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6\K&#246;lts&#233;gvet&#233;s\Int&#233;zm&#233;nyi%20k&#246;lts&#233;gvet&#233;s\Int&#233;zm&#233;nyi%20Kgy%20t&#225;bl&#225;k\Int.l&#233;tsz&#225;m2026%20ktgvet&#233;s.xls" TargetMode="External"/><Relationship Id="rId1" Type="http://schemas.openxmlformats.org/officeDocument/2006/relationships/externalLinkPath" Target="file:///O:\kozgazd\2026\K&#246;lts&#233;gvet&#233;s\Int&#233;zm&#233;nyi%20k&#246;lts&#233;gvet&#233;s\Int&#233;zm&#233;nyi%20Kgy%20t&#225;bl&#225;k\Int.l&#233;tsz&#225;m2026%20kt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</sheetData>
      <sheetData sheetId="3"/>
      <sheetData sheetId="4">
        <row r="9">
          <cell r="C9" t="str">
            <v>Aka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2025-2026eltérés"/>
      <sheetName val="2026 évi nyitó létszám"/>
      <sheetName val="2026 évi nyitó létszám KGY"/>
    </sheetNames>
    <sheetDataSet>
      <sheetData sheetId="0">
        <row r="9">
          <cell r="R9">
            <v>34</v>
          </cell>
          <cell r="T9">
            <v>33</v>
          </cell>
        </row>
        <row r="10">
          <cell r="R10">
            <v>24</v>
          </cell>
          <cell r="T10">
            <v>23</v>
          </cell>
        </row>
        <row r="11">
          <cell r="R11">
            <v>24</v>
          </cell>
          <cell r="T11">
            <v>23</v>
          </cell>
        </row>
        <row r="12">
          <cell r="R12">
            <v>29</v>
          </cell>
          <cell r="T12">
            <v>28</v>
          </cell>
        </row>
        <row r="13">
          <cell r="R13">
            <v>28</v>
          </cell>
          <cell r="T13">
            <v>26</v>
          </cell>
        </row>
        <row r="14">
          <cell r="R14">
            <v>24</v>
          </cell>
          <cell r="T14">
            <v>23</v>
          </cell>
        </row>
        <row r="15">
          <cell r="R15">
            <v>19</v>
          </cell>
          <cell r="T15">
            <v>18</v>
          </cell>
        </row>
        <row r="16">
          <cell r="R16">
            <v>19</v>
          </cell>
          <cell r="T16">
            <v>18.5</v>
          </cell>
        </row>
        <row r="17">
          <cell r="R17">
            <v>28</v>
          </cell>
          <cell r="T17">
            <v>28.5</v>
          </cell>
        </row>
        <row r="18">
          <cell r="R18">
            <v>31</v>
          </cell>
          <cell r="T18">
            <v>30.5</v>
          </cell>
        </row>
        <row r="19">
          <cell r="R19">
            <v>16</v>
          </cell>
          <cell r="T19">
            <v>15</v>
          </cell>
        </row>
        <row r="20">
          <cell r="R20">
            <v>15</v>
          </cell>
          <cell r="T20">
            <v>14</v>
          </cell>
        </row>
        <row r="21">
          <cell r="R21">
            <v>20</v>
          </cell>
          <cell r="T21">
            <v>19</v>
          </cell>
        </row>
        <row r="22">
          <cell r="R22">
            <v>21</v>
          </cell>
          <cell r="T22">
            <v>20.5</v>
          </cell>
        </row>
        <row r="23">
          <cell r="R23">
            <v>32</v>
          </cell>
          <cell r="T23">
            <v>31.5</v>
          </cell>
        </row>
        <row r="24">
          <cell r="R24">
            <v>24</v>
          </cell>
          <cell r="T24">
            <v>23</v>
          </cell>
        </row>
        <row r="25">
          <cell r="R25">
            <v>18</v>
          </cell>
          <cell r="T25">
            <v>17</v>
          </cell>
        </row>
        <row r="26">
          <cell r="R26">
            <v>13</v>
          </cell>
          <cell r="T26">
            <v>11.5</v>
          </cell>
        </row>
        <row r="28">
          <cell r="R28">
            <v>44</v>
          </cell>
          <cell r="T28">
            <v>49</v>
          </cell>
        </row>
        <row r="32">
          <cell r="R32">
            <v>19.75</v>
          </cell>
          <cell r="T32">
            <v>19.75</v>
          </cell>
        </row>
        <row r="33">
          <cell r="R33">
            <v>84.5</v>
          </cell>
          <cell r="T33">
            <v>84.5</v>
          </cell>
        </row>
        <row r="34">
          <cell r="R34">
            <v>46</v>
          </cell>
          <cell r="T34">
            <v>46</v>
          </cell>
        </row>
        <row r="35">
          <cell r="R35">
            <v>100.75</v>
          </cell>
          <cell r="T35">
            <v>100.75</v>
          </cell>
        </row>
        <row r="38">
          <cell r="R38">
            <v>182.75</v>
          </cell>
          <cell r="T38">
            <v>181.75</v>
          </cell>
        </row>
        <row r="40">
          <cell r="R40">
            <v>72</v>
          </cell>
          <cell r="T40">
            <v>77</v>
          </cell>
        </row>
        <row r="42">
          <cell r="R42">
            <v>201.755</v>
          </cell>
          <cell r="T42">
            <v>201.755</v>
          </cell>
        </row>
        <row r="44">
          <cell r="R44">
            <v>14.5</v>
          </cell>
          <cell r="T44">
            <v>14.5</v>
          </cell>
        </row>
        <row r="45">
          <cell r="R45">
            <v>0</v>
          </cell>
          <cell r="T45">
            <v>43</v>
          </cell>
        </row>
        <row r="46">
          <cell r="R46">
            <v>301.5</v>
          </cell>
          <cell r="T46">
            <v>289.75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zoomScale="118" zoomScaleNormal="118" workbookViewId="0">
      <selection activeCell="U16" sqref="U16"/>
    </sheetView>
  </sheetViews>
  <sheetFormatPr defaultColWidth="9.33203125" defaultRowHeight="18.75" x14ac:dyDescent="0.3"/>
  <cols>
    <col min="1" max="1" width="10.83203125" style="212" customWidth="1"/>
    <col min="2" max="2" width="102.83203125" style="212" customWidth="1"/>
    <col min="3" max="3" width="31.33203125" style="212" customWidth="1"/>
    <col min="4" max="6" width="27" style="212" customWidth="1"/>
    <col min="7" max="7" width="27.5" style="214" customWidth="1"/>
    <col min="8" max="8" width="14" style="214" customWidth="1"/>
    <col min="9" max="9" width="86.1640625" style="212" customWidth="1"/>
    <col min="10" max="13" width="27" style="212" customWidth="1"/>
    <col min="14" max="14" width="27" style="214" customWidth="1"/>
    <col min="15" max="16384" width="9.33203125" style="212"/>
  </cols>
  <sheetData>
    <row r="1" spans="1:14" x14ac:dyDescent="0.3">
      <c r="B1" s="924" t="s">
        <v>212</v>
      </c>
      <c r="C1" s="924"/>
      <c r="D1" s="924"/>
      <c r="E1" s="924"/>
      <c r="F1" s="924"/>
      <c r="G1" s="924"/>
      <c r="H1" s="1"/>
      <c r="I1" s="924" t="s">
        <v>212</v>
      </c>
      <c r="J1" s="924"/>
      <c r="K1" s="924"/>
      <c r="L1" s="924"/>
      <c r="M1" s="924"/>
      <c r="N1" s="924"/>
    </row>
    <row r="2" spans="1:14" x14ac:dyDescent="0.3">
      <c r="B2" s="924" t="s">
        <v>597</v>
      </c>
      <c r="C2" s="924"/>
      <c r="D2" s="924"/>
      <c r="E2" s="924"/>
      <c r="F2" s="924"/>
      <c r="G2" s="924"/>
      <c r="H2" s="1"/>
      <c r="I2" s="924" t="s">
        <v>598</v>
      </c>
      <c r="J2" s="924"/>
      <c r="K2" s="924"/>
      <c r="L2" s="924"/>
      <c r="M2" s="924"/>
      <c r="N2" s="924"/>
    </row>
    <row r="3" spans="1:14" ht="19.5" thickBot="1" x14ac:dyDescent="0.35">
      <c r="A3" s="213"/>
      <c r="G3" s="215" t="s">
        <v>204</v>
      </c>
      <c r="N3" s="215" t="s">
        <v>204</v>
      </c>
    </row>
    <row r="4" spans="1:14" x14ac:dyDescent="0.3">
      <c r="A4" s="216"/>
      <c r="B4" s="217" t="s">
        <v>203</v>
      </c>
      <c r="C4" s="216" t="s">
        <v>302</v>
      </c>
      <c r="D4" s="218" t="s">
        <v>303</v>
      </c>
      <c r="E4" s="216" t="s">
        <v>303</v>
      </c>
      <c r="F4" s="218" t="s">
        <v>303</v>
      </c>
      <c r="G4" s="218" t="s">
        <v>219</v>
      </c>
      <c r="H4" s="216"/>
      <c r="I4" s="217" t="s">
        <v>227</v>
      </c>
      <c r="J4" s="216" t="s">
        <v>302</v>
      </c>
      <c r="K4" s="218" t="s">
        <v>303</v>
      </c>
      <c r="L4" s="216" t="s">
        <v>303</v>
      </c>
      <c r="M4" s="218" t="s">
        <v>303</v>
      </c>
      <c r="N4" s="218" t="s">
        <v>219</v>
      </c>
    </row>
    <row r="5" spans="1:14" x14ac:dyDescent="0.3">
      <c r="A5" s="219"/>
      <c r="B5" s="220"/>
      <c r="C5" s="219" t="s">
        <v>304</v>
      </c>
      <c r="D5" s="221"/>
      <c r="E5" s="219"/>
      <c r="F5" s="221" t="s">
        <v>219</v>
      </c>
      <c r="G5" s="221" t="s">
        <v>220</v>
      </c>
      <c r="H5" s="219"/>
      <c r="I5" s="220"/>
      <c r="J5" s="219" t="s">
        <v>305</v>
      </c>
      <c r="K5" s="221"/>
      <c r="L5" s="219"/>
      <c r="M5" s="221" t="s">
        <v>219</v>
      </c>
      <c r="N5" s="221" t="s">
        <v>228</v>
      </c>
    </row>
    <row r="6" spans="1:14" ht="94.5" thickBot="1" x14ac:dyDescent="0.35">
      <c r="A6" s="222"/>
      <c r="B6" s="176"/>
      <c r="C6" s="223"/>
      <c r="D6" s="224"/>
      <c r="E6" s="225" t="s">
        <v>306</v>
      </c>
      <c r="F6" s="224"/>
      <c r="G6" s="226"/>
      <c r="H6" s="222"/>
      <c r="I6" s="176"/>
      <c r="J6" s="223" t="s">
        <v>188</v>
      </c>
      <c r="K6" s="224" t="s">
        <v>307</v>
      </c>
      <c r="L6" s="225" t="s">
        <v>306</v>
      </c>
      <c r="M6" s="224"/>
      <c r="N6" s="226"/>
    </row>
    <row r="7" spans="1:14" x14ac:dyDescent="0.3">
      <c r="A7" s="219"/>
      <c r="B7" s="227" t="s">
        <v>308</v>
      </c>
      <c r="C7" s="228"/>
      <c r="D7" s="229"/>
      <c r="E7" s="229"/>
      <c r="F7" s="229"/>
      <c r="G7" s="218"/>
      <c r="H7" s="219"/>
      <c r="I7" s="217" t="s">
        <v>309</v>
      </c>
      <c r="J7" s="228"/>
      <c r="K7" s="229"/>
      <c r="L7" s="229"/>
      <c r="M7" s="229"/>
      <c r="N7" s="218"/>
    </row>
    <row r="8" spans="1:14" x14ac:dyDescent="0.3">
      <c r="A8" s="230" t="s">
        <v>310</v>
      </c>
      <c r="B8" s="119" t="s">
        <v>245</v>
      </c>
      <c r="C8" s="115">
        <v>532064</v>
      </c>
      <c r="D8" s="115">
        <v>11782041</v>
      </c>
      <c r="E8" s="115"/>
      <c r="F8" s="115">
        <f>SUM(D8:E8)</f>
        <v>11782041</v>
      </c>
      <c r="G8" s="231">
        <f>SUM(C8+F8)</f>
        <v>12314105</v>
      </c>
      <c r="H8" s="232" t="s">
        <v>311</v>
      </c>
      <c r="I8" s="119" t="s">
        <v>246</v>
      </c>
      <c r="J8" s="116">
        <v>11413027</v>
      </c>
      <c r="K8" s="116">
        <v>506184</v>
      </c>
      <c r="L8" s="115"/>
      <c r="M8" s="115">
        <f>SUM(K8:L8)</f>
        <v>506184</v>
      </c>
      <c r="N8" s="231">
        <f>SUM(J8+M8)</f>
        <v>11919211</v>
      </c>
    </row>
    <row r="9" spans="1:14" x14ac:dyDescent="0.3">
      <c r="A9" s="233" t="s">
        <v>312</v>
      </c>
      <c r="B9" s="120" t="s">
        <v>182</v>
      </c>
      <c r="C9" s="115">
        <v>1350</v>
      </c>
      <c r="D9" s="115">
        <v>14991000</v>
      </c>
      <c r="E9" s="115"/>
      <c r="F9" s="115">
        <f t="shared" ref="F9:F16" si="0">SUM(D9:E9)</f>
        <v>14991000</v>
      </c>
      <c r="G9" s="231">
        <f>SUM(C9+F9)</f>
        <v>14992350</v>
      </c>
      <c r="H9" s="233" t="s">
        <v>313</v>
      </c>
      <c r="I9" s="121" t="s">
        <v>247</v>
      </c>
      <c r="J9" s="234">
        <v>1647976</v>
      </c>
      <c r="K9" s="234">
        <v>71873</v>
      </c>
      <c r="L9" s="115"/>
      <c r="M9" s="115">
        <f>SUM(K9:L9)</f>
        <v>71873</v>
      </c>
      <c r="N9" s="231">
        <f>SUM(J9+M9)</f>
        <v>1719849</v>
      </c>
    </row>
    <row r="10" spans="1:14" x14ac:dyDescent="0.3">
      <c r="A10" s="230" t="s">
        <v>314</v>
      </c>
      <c r="B10" s="119" t="s">
        <v>315</v>
      </c>
      <c r="C10" s="115">
        <v>1735599</v>
      </c>
      <c r="D10" s="115">
        <v>2100686</v>
      </c>
      <c r="E10" s="115"/>
      <c r="F10" s="115">
        <f t="shared" si="0"/>
        <v>2100686</v>
      </c>
      <c r="G10" s="231">
        <f>SUM(C10+F10)</f>
        <v>3836285</v>
      </c>
      <c r="H10" s="233" t="s">
        <v>316</v>
      </c>
      <c r="I10" s="120" t="s">
        <v>248</v>
      </c>
      <c r="J10" s="234">
        <v>4664400</v>
      </c>
      <c r="K10" s="234">
        <v>5542221</v>
      </c>
      <c r="L10" s="115"/>
      <c r="M10" s="115">
        <f>SUM(K10:L10)</f>
        <v>5542221</v>
      </c>
      <c r="N10" s="231">
        <f>SUM(J10+M10)</f>
        <v>10206621</v>
      </c>
    </row>
    <row r="11" spans="1:14" x14ac:dyDescent="0.3">
      <c r="A11" s="233" t="s">
        <v>317</v>
      </c>
      <c r="B11" s="120" t="s">
        <v>107</v>
      </c>
      <c r="C11" s="115"/>
      <c r="D11" s="115"/>
      <c r="E11" s="115"/>
      <c r="F11" s="115">
        <f t="shared" si="0"/>
        <v>0</v>
      </c>
      <c r="G11" s="231">
        <f>SUM(C11+F11)</f>
        <v>0</v>
      </c>
      <c r="H11" s="235" t="s">
        <v>318</v>
      </c>
      <c r="I11" s="122" t="s">
        <v>249</v>
      </c>
      <c r="J11" s="234"/>
      <c r="K11" s="234">
        <v>207550</v>
      </c>
      <c r="L11" s="115"/>
      <c r="M11" s="115">
        <f>SUM(K11:L11)</f>
        <v>207550</v>
      </c>
      <c r="N11" s="231">
        <f>SUM(J11+M11)</f>
        <v>207550</v>
      </c>
    </row>
    <row r="12" spans="1:14" ht="19.5" thickBot="1" x14ac:dyDescent="0.35">
      <c r="A12" s="230"/>
      <c r="B12" s="119"/>
      <c r="C12" s="236"/>
      <c r="D12" s="115"/>
      <c r="E12" s="116"/>
      <c r="F12" s="115">
        <f t="shared" si="0"/>
        <v>0</v>
      </c>
      <c r="G12" s="231">
        <f>SUM(C12+F12)</f>
        <v>0</v>
      </c>
      <c r="H12" s="233" t="s">
        <v>319</v>
      </c>
      <c r="I12" s="120" t="s">
        <v>320</v>
      </c>
      <c r="J12" s="115">
        <v>4500</v>
      </c>
      <c r="K12" s="115">
        <v>9346148</v>
      </c>
      <c r="L12" s="115"/>
      <c r="M12" s="115">
        <f>SUM(K12:L12)</f>
        <v>9346148</v>
      </c>
      <c r="N12" s="231">
        <f>SUM(J12+M12)</f>
        <v>9350648</v>
      </c>
    </row>
    <row r="13" spans="1:14" ht="19.5" thickBot="1" x14ac:dyDescent="0.35">
      <c r="A13" s="237"/>
      <c r="B13" s="117" t="s">
        <v>222</v>
      </c>
      <c r="C13" s="114">
        <f t="shared" ref="C13:G13" si="1">SUM(C8:C12)</f>
        <v>2269013</v>
      </c>
      <c r="D13" s="114">
        <f t="shared" si="1"/>
        <v>28873727</v>
      </c>
      <c r="E13" s="114">
        <f t="shared" si="1"/>
        <v>0</v>
      </c>
      <c r="F13" s="114">
        <f t="shared" si="1"/>
        <v>28873727</v>
      </c>
      <c r="G13" s="114">
        <f t="shared" si="1"/>
        <v>31142740</v>
      </c>
      <c r="H13" s="237"/>
      <c r="I13" s="117" t="s">
        <v>229</v>
      </c>
      <c r="J13" s="114">
        <f>SUM(J8:J12)</f>
        <v>17729903</v>
      </c>
      <c r="K13" s="114">
        <f>SUM(K8:K12)</f>
        <v>15673976</v>
      </c>
      <c r="L13" s="114">
        <f>SUM(L8:L12)</f>
        <v>0</v>
      </c>
      <c r="M13" s="114">
        <f>SUM(M8:M12)</f>
        <v>15673976</v>
      </c>
      <c r="N13" s="114">
        <f>SUM(N8:N12)</f>
        <v>33403879</v>
      </c>
    </row>
    <row r="14" spans="1:14" s="214" customFormat="1" x14ac:dyDescent="0.3">
      <c r="A14" s="230" t="s">
        <v>321</v>
      </c>
      <c r="B14" s="120" t="s">
        <v>67</v>
      </c>
      <c r="C14" s="115"/>
      <c r="D14" s="115"/>
      <c r="E14" s="115"/>
      <c r="F14" s="115">
        <f t="shared" si="0"/>
        <v>0</v>
      </c>
      <c r="G14" s="231">
        <f>SUM(C14+F14)</f>
        <v>0</v>
      </c>
      <c r="H14" s="238" t="s">
        <v>322</v>
      </c>
      <c r="I14" s="123" t="s">
        <v>139</v>
      </c>
      <c r="J14" s="239">
        <v>112145</v>
      </c>
      <c r="K14" s="239">
        <v>784277</v>
      </c>
      <c r="L14" s="239"/>
      <c r="M14" s="115">
        <f>SUM(K14:L14)</f>
        <v>784277</v>
      </c>
      <c r="N14" s="231">
        <f>SUM(J14+M14)</f>
        <v>896422</v>
      </c>
    </row>
    <row r="15" spans="1:14" x14ac:dyDescent="0.3">
      <c r="A15" s="230" t="s">
        <v>323</v>
      </c>
      <c r="B15" s="120" t="s">
        <v>66</v>
      </c>
      <c r="C15" s="115"/>
      <c r="D15" s="115">
        <v>500000</v>
      </c>
      <c r="E15" s="115"/>
      <c r="F15" s="115">
        <f t="shared" si="0"/>
        <v>500000</v>
      </c>
      <c r="G15" s="231">
        <f>SUM(C15+F15)</f>
        <v>500000</v>
      </c>
      <c r="H15" s="230" t="s">
        <v>324</v>
      </c>
      <c r="I15" s="120" t="s">
        <v>250</v>
      </c>
      <c r="J15" s="234">
        <v>49637</v>
      </c>
      <c r="K15" s="234">
        <v>7673155</v>
      </c>
      <c r="L15" s="234"/>
      <c r="M15" s="115">
        <f>SUM(K15:L15)</f>
        <v>7673155</v>
      </c>
      <c r="N15" s="231">
        <f>SUM(J15+M15)</f>
        <v>7722792</v>
      </c>
    </row>
    <row r="16" spans="1:14" ht="19.5" thickBot="1" x14ac:dyDescent="0.35">
      <c r="A16" s="230" t="s">
        <v>325</v>
      </c>
      <c r="B16" s="120" t="s">
        <v>251</v>
      </c>
      <c r="C16" s="115"/>
      <c r="D16" s="115">
        <v>7000</v>
      </c>
      <c r="E16" s="116"/>
      <c r="F16" s="115">
        <f t="shared" si="0"/>
        <v>7000</v>
      </c>
      <c r="G16" s="231">
        <f>SUM(C16+F16)</f>
        <v>7000</v>
      </c>
      <c r="H16" s="235" t="s">
        <v>326</v>
      </c>
      <c r="I16" s="124" t="s">
        <v>252</v>
      </c>
      <c r="J16" s="116"/>
      <c r="K16" s="116"/>
      <c r="L16" s="115"/>
      <c r="M16" s="115">
        <f>SUM(K16:L16)</f>
        <v>0</v>
      </c>
      <c r="N16" s="231">
        <f>SUM(J16+M16)</f>
        <v>0</v>
      </c>
    </row>
    <row r="17" spans="1:14" ht="19.5" thickBot="1" x14ac:dyDescent="0.35">
      <c r="A17" s="237"/>
      <c r="B17" s="117" t="s">
        <v>223</v>
      </c>
      <c r="C17" s="114">
        <f>SUM(C14:C16)</f>
        <v>0</v>
      </c>
      <c r="D17" s="114">
        <f t="shared" ref="D17:G17" si="2">SUM(D14:D16)</f>
        <v>507000</v>
      </c>
      <c r="E17" s="114">
        <f t="shared" si="2"/>
        <v>0</v>
      </c>
      <c r="F17" s="114">
        <f t="shared" si="2"/>
        <v>507000</v>
      </c>
      <c r="G17" s="114">
        <f t="shared" si="2"/>
        <v>507000</v>
      </c>
      <c r="H17" s="237"/>
      <c r="I17" s="113" t="s">
        <v>230</v>
      </c>
      <c r="J17" s="114">
        <f>SUM(J14:J16)</f>
        <v>161782</v>
      </c>
      <c r="K17" s="114">
        <f>SUM(K14:K16)</f>
        <v>8457432</v>
      </c>
      <c r="L17" s="114">
        <f>SUM(L14:L16)</f>
        <v>0</v>
      </c>
      <c r="M17" s="114">
        <f>SUM(M14:M16)</f>
        <v>8457432</v>
      </c>
      <c r="N17" s="114">
        <f>SUM(N14:N16)</f>
        <v>8619214</v>
      </c>
    </row>
    <row r="18" spans="1:14" ht="19.5" thickBot="1" x14ac:dyDescent="0.35">
      <c r="A18" s="237"/>
      <c r="B18" s="113" t="s">
        <v>224</v>
      </c>
      <c r="C18" s="114">
        <f>+C13+C17</f>
        <v>2269013</v>
      </c>
      <c r="D18" s="114">
        <f t="shared" ref="D18:G18" si="3">+D13+D17</f>
        <v>29380727</v>
      </c>
      <c r="E18" s="114">
        <f t="shared" si="3"/>
        <v>0</v>
      </c>
      <c r="F18" s="114">
        <f t="shared" si="3"/>
        <v>29380727</v>
      </c>
      <c r="G18" s="114">
        <f t="shared" si="3"/>
        <v>31649740</v>
      </c>
      <c r="H18" s="237"/>
      <c r="I18" s="117" t="s">
        <v>231</v>
      </c>
      <c r="J18" s="114">
        <f>SUM(J17,J13)</f>
        <v>17891685</v>
      </c>
      <c r="K18" s="114">
        <f>SUM(K17,K13)</f>
        <v>24131408</v>
      </c>
      <c r="L18" s="114">
        <f>+L13+L17</f>
        <v>0</v>
      </c>
      <c r="M18" s="114">
        <f>SUM(M13+M17)</f>
        <v>24131408</v>
      </c>
      <c r="N18" s="114">
        <f>SUM(N17,N13)</f>
        <v>42023093</v>
      </c>
    </row>
    <row r="19" spans="1:14" ht="19.5" thickBot="1" x14ac:dyDescent="0.35">
      <c r="A19" s="232" t="s">
        <v>327</v>
      </c>
      <c r="B19" s="125" t="s">
        <v>225</v>
      </c>
      <c r="C19" s="240"/>
      <c r="D19" s="241">
        <v>10830113</v>
      </c>
      <c r="E19" s="241"/>
      <c r="F19" s="115">
        <f t="shared" ref="F19" si="4">SUM(D19:E19)</f>
        <v>10830113</v>
      </c>
      <c r="G19" s="231">
        <f>SUM(C19+F19)</f>
        <v>10830113</v>
      </c>
      <c r="H19" s="242" t="s">
        <v>328</v>
      </c>
      <c r="I19" s="118" t="s">
        <v>232</v>
      </c>
      <c r="J19" s="234"/>
      <c r="K19" s="234">
        <v>456760</v>
      </c>
      <c r="L19" s="243"/>
      <c r="M19" s="115">
        <f>SUM(K19:L19)</f>
        <v>456760</v>
      </c>
      <c r="N19" s="231">
        <f>SUM(J19+M19)</f>
        <v>456760</v>
      </c>
    </row>
    <row r="20" spans="1:14" ht="19.5" thickBot="1" x14ac:dyDescent="0.35">
      <c r="A20" s="237"/>
      <c r="B20" s="117" t="s">
        <v>226</v>
      </c>
      <c r="C20" s="114">
        <f>SUM(C18:C19)</f>
        <v>2269013</v>
      </c>
      <c r="D20" s="114">
        <f t="shared" ref="D20:G20" si="5">SUM(D18:D19)</f>
        <v>40210840</v>
      </c>
      <c r="E20" s="114">
        <f t="shared" si="5"/>
        <v>0</v>
      </c>
      <c r="F20" s="114">
        <f t="shared" si="5"/>
        <v>40210840</v>
      </c>
      <c r="G20" s="114">
        <f t="shared" si="5"/>
        <v>42479853</v>
      </c>
      <c r="H20" s="237"/>
      <c r="I20" s="117" t="s">
        <v>233</v>
      </c>
      <c r="J20" s="114">
        <f>SUM(J18:J19)</f>
        <v>17891685</v>
      </c>
      <c r="K20" s="114">
        <f>SUM(K18:K19)</f>
        <v>24588168</v>
      </c>
      <c r="L20" s="114">
        <f>SUM(L18:L19)</f>
        <v>0</v>
      </c>
      <c r="M20" s="114">
        <f>SUM(M18:M19)</f>
        <v>24588168</v>
      </c>
      <c r="N20" s="114">
        <f>SUM(N18:N19)</f>
        <v>42479853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3/2026. (II.27.) önkormányzati &amp;"-,Félkövér"rendelethez&amp;16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1"/>
  <dimension ref="A1:D46"/>
  <sheetViews>
    <sheetView zoomScaleNormal="100" workbookViewId="0">
      <selection activeCell="A25" sqref="A25"/>
    </sheetView>
  </sheetViews>
  <sheetFormatPr defaultColWidth="9.33203125" defaultRowHeight="21" x14ac:dyDescent="0.35"/>
  <cols>
    <col min="1" max="1" width="90.1640625" style="62" customWidth="1"/>
    <col min="2" max="2" width="33.5" style="62" customWidth="1"/>
    <col min="3" max="3" width="39.33203125" style="62" customWidth="1"/>
    <col min="4" max="4" width="38.33203125" style="62" bestFit="1" customWidth="1"/>
    <col min="5" max="16384" width="9.33203125" style="62"/>
  </cols>
  <sheetData>
    <row r="1" spans="1:4" x14ac:dyDescent="0.35">
      <c r="A1" s="196"/>
      <c r="B1" s="196"/>
      <c r="C1" s="196"/>
      <c r="D1" s="196"/>
    </row>
    <row r="2" spans="1:4" x14ac:dyDescent="0.35">
      <c r="A2" s="940" t="s">
        <v>52</v>
      </c>
      <c r="B2" s="940"/>
      <c r="C2" s="940"/>
      <c r="D2" s="940"/>
    </row>
    <row r="3" spans="1:4" x14ac:dyDescent="0.35">
      <c r="A3" s="196"/>
      <c r="B3" s="196"/>
      <c r="C3" s="196"/>
      <c r="D3" s="196"/>
    </row>
    <row r="4" spans="1:4" ht="21.75" thickBot="1" x14ac:dyDescent="0.4">
      <c r="A4" s="346" t="s">
        <v>35</v>
      </c>
      <c r="B4" s="346"/>
      <c r="C4" s="346"/>
      <c r="D4" s="179" t="s">
        <v>204</v>
      </c>
    </row>
    <row r="5" spans="1:4" x14ac:dyDescent="0.35">
      <c r="A5" s="440" t="s">
        <v>157</v>
      </c>
      <c r="B5" s="202" t="s">
        <v>445</v>
      </c>
      <c r="C5" s="202" t="s">
        <v>612</v>
      </c>
      <c r="D5" s="202" t="s">
        <v>467</v>
      </c>
    </row>
    <row r="6" spans="1:4" ht="20.25" customHeight="1" thickBot="1" x14ac:dyDescent="0.4">
      <c r="A6" s="441"/>
      <c r="B6" s="205" t="s">
        <v>336</v>
      </c>
      <c r="C6" s="205" t="s">
        <v>350</v>
      </c>
      <c r="D6" s="205" t="s">
        <v>336</v>
      </c>
    </row>
    <row r="7" spans="1:4" s="2" customFormat="1" ht="42.75" thickBot="1" x14ac:dyDescent="0.4">
      <c r="A7" s="443" t="s">
        <v>501</v>
      </c>
      <c r="B7" s="170">
        <v>1717664</v>
      </c>
      <c r="C7" s="170">
        <v>1990786</v>
      </c>
      <c r="D7" s="170">
        <f>1717664+71309</f>
        <v>1788973</v>
      </c>
    </row>
    <row r="8" spans="1:4" x14ac:dyDescent="0.35">
      <c r="A8" s="63" t="s">
        <v>553</v>
      </c>
      <c r="B8" s="64"/>
      <c r="C8" s="63"/>
      <c r="D8" s="64"/>
    </row>
    <row r="9" spans="1:4" x14ac:dyDescent="0.35">
      <c r="A9" s="444" t="s">
        <v>499</v>
      </c>
      <c r="B9" s="65">
        <v>204000</v>
      </c>
      <c r="C9" s="65">
        <v>235408</v>
      </c>
      <c r="D9" s="65">
        <v>204000</v>
      </c>
    </row>
    <row r="10" spans="1:4" ht="42.75" customHeight="1" x14ac:dyDescent="0.35">
      <c r="A10" s="445" t="s">
        <v>608</v>
      </c>
      <c r="B10" s="65">
        <v>167272</v>
      </c>
      <c r="C10" s="65">
        <v>167272</v>
      </c>
      <c r="D10" s="65">
        <v>167272</v>
      </c>
    </row>
    <row r="11" spans="1:4" ht="42" x14ac:dyDescent="0.35">
      <c r="A11" s="910" t="s">
        <v>609</v>
      </c>
      <c r="B11" s="55">
        <v>8000</v>
      </c>
      <c r="C11" s="55">
        <v>8000</v>
      </c>
      <c r="D11" s="55">
        <v>8000</v>
      </c>
    </row>
    <row r="12" spans="1:4" x14ac:dyDescent="0.35">
      <c r="A12" s="446" t="s">
        <v>371</v>
      </c>
      <c r="B12" s="55">
        <v>2000</v>
      </c>
      <c r="C12" s="55">
        <v>3525</v>
      </c>
      <c r="D12" s="55">
        <v>2000</v>
      </c>
    </row>
    <row r="13" spans="1:4" x14ac:dyDescent="0.35">
      <c r="A13" s="401" t="s">
        <v>259</v>
      </c>
      <c r="B13" s="55">
        <v>2055</v>
      </c>
      <c r="C13" s="55">
        <v>2254</v>
      </c>
      <c r="D13" s="55">
        <v>2055</v>
      </c>
    </row>
    <row r="14" spans="1:4" x14ac:dyDescent="0.35">
      <c r="A14" s="401" t="s">
        <v>20</v>
      </c>
      <c r="B14" s="55">
        <v>2500</v>
      </c>
      <c r="C14" s="55">
        <v>2504</v>
      </c>
      <c r="D14" s="55">
        <v>2500</v>
      </c>
    </row>
    <row r="15" spans="1:4" x14ac:dyDescent="0.35">
      <c r="A15" s="401" t="s">
        <v>18</v>
      </c>
      <c r="B15" s="55">
        <v>1000</v>
      </c>
      <c r="C15" s="55">
        <v>1000</v>
      </c>
      <c r="D15" s="55">
        <v>1000</v>
      </c>
    </row>
    <row r="16" spans="1:4" x14ac:dyDescent="0.35">
      <c r="A16" s="401" t="s">
        <v>93</v>
      </c>
      <c r="B16" s="55">
        <v>11000</v>
      </c>
      <c r="C16" s="55">
        <v>11000</v>
      </c>
      <c r="D16" s="55">
        <v>11000</v>
      </c>
    </row>
    <row r="17" spans="1:4" ht="39" customHeight="1" x14ac:dyDescent="0.35">
      <c r="A17" s="401" t="s">
        <v>377</v>
      </c>
      <c r="B17" s="55">
        <v>8000</v>
      </c>
      <c r="C17" s="55">
        <v>8000</v>
      </c>
      <c r="D17" s="55">
        <v>8000</v>
      </c>
    </row>
    <row r="18" spans="1:4" ht="63" x14ac:dyDescent="0.35">
      <c r="A18" s="447" t="s">
        <v>376</v>
      </c>
      <c r="B18" s="55">
        <v>3300</v>
      </c>
      <c r="C18" s="55">
        <v>3300</v>
      </c>
      <c r="D18" s="55">
        <v>3300</v>
      </c>
    </row>
    <row r="19" spans="1:4" x14ac:dyDescent="0.35">
      <c r="A19" s="448" t="s">
        <v>0</v>
      </c>
      <c r="B19" s="55">
        <v>50000</v>
      </c>
      <c r="C19" s="55">
        <v>78628</v>
      </c>
      <c r="D19" s="55">
        <v>50000</v>
      </c>
    </row>
    <row r="20" spans="1:4" x14ac:dyDescent="0.35">
      <c r="A20" s="448" t="s">
        <v>375</v>
      </c>
      <c r="B20" s="55">
        <v>3000</v>
      </c>
      <c r="C20" s="55">
        <v>55095</v>
      </c>
      <c r="D20" s="55">
        <f>3000+1000</f>
        <v>4000</v>
      </c>
    </row>
    <row r="21" spans="1:4" x14ac:dyDescent="0.35">
      <c r="A21" s="448" t="s">
        <v>637</v>
      </c>
      <c r="B21" s="55"/>
      <c r="C21" s="55">
        <v>1000</v>
      </c>
      <c r="D21" s="55"/>
    </row>
    <row r="22" spans="1:4" x14ac:dyDescent="0.35">
      <c r="A22" s="448" t="s">
        <v>438</v>
      </c>
      <c r="B22" s="55"/>
      <c r="C22" s="55">
        <v>200</v>
      </c>
      <c r="D22" s="55"/>
    </row>
    <row r="23" spans="1:4" x14ac:dyDescent="0.35">
      <c r="A23" s="445" t="s">
        <v>255</v>
      </c>
      <c r="B23" s="65">
        <v>5000</v>
      </c>
      <c r="C23" s="65"/>
      <c r="D23" s="65">
        <f>5000+3500</f>
        <v>8500</v>
      </c>
    </row>
    <row r="24" spans="1:4" ht="42" x14ac:dyDescent="0.35">
      <c r="A24" s="448" t="s">
        <v>260</v>
      </c>
      <c r="B24" s="55">
        <v>0</v>
      </c>
      <c r="C24" s="55">
        <v>660</v>
      </c>
      <c r="D24" s="55">
        <v>0</v>
      </c>
    </row>
    <row r="25" spans="1:4" ht="84" x14ac:dyDescent="0.35">
      <c r="A25" s="448" t="s">
        <v>488</v>
      </c>
      <c r="B25" s="55">
        <v>7000</v>
      </c>
      <c r="C25" s="55">
        <v>7000</v>
      </c>
      <c r="D25" s="55">
        <v>7000</v>
      </c>
    </row>
    <row r="26" spans="1:4" x14ac:dyDescent="0.35">
      <c r="A26" s="448" t="s">
        <v>299</v>
      </c>
      <c r="B26" s="55">
        <v>8263</v>
      </c>
      <c r="C26" s="55">
        <v>12110</v>
      </c>
      <c r="D26" s="55">
        <f>8263+5329</f>
        <v>13592</v>
      </c>
    </row>
    <row r="27" spans="1:4" x14ac:dyDescent="0.35">
      <c r="A27" s="448" t="s">
        <v>479</v>
      </c>
      <c r="B27" s="55">
        <v>0</v>
      </c>
      <c r="C27" s="55">
        <v>10000</v>
      </c>
      <c r="D27" s="55">
        <v>0</v>
      </c>
    </row>
    <row r="28" spans="1:4" ht="42" x14ac:dyDescent="0.35">
      <c r="A28" s="448" t="s">
        <v>349</v>
      </c>
      <c r="B28" s="55">
        <v>3000</v>
      </c>
      <c r="C28" s="55">
        <v>3000</v>
      </c>
      <c r="D28" s="55">
        <v>3000</v>
      </c>
    </row>
    <row r="29" spans="1:4" ht="42" x14ac:dyDescent="0.35">
      <c r="A29" s="448" t="s">
        <v>472</v>
      </c>
      <c r="B29" s="55"/>
      <c r="C29" s="55">
        <v>450</v>
      </c>
      <c r="D29" s="55"/>
    </row>
    <row r="30" spans="1:4" ht="63" x14ac:dyDescent="0.35">
      <c r="A30" s="448" t="s">
        <v>433</v>
      </c>
      <c r="B30" s="55"/>
      <c r="C30" s="55">
        <v>1500</v>
      </c>
      <c r="D30" s="55"/>
    </row>
    <row r="31" spans="1:4" ht="42" x14ac:dyDescent="0.35">
      <c r="A31" s="424" t="s">
        <v>584</v>
      </c>
      <c r="B31" s="55"/>
      <c r="C31" s="55">
        <v>2000</v>
      </c>
      <c r="D31" s="55"/>
    </row>
    <row r="32" spans="1:4" ht="42" x14ac:dyDescent="0.35">
      <c r="A32" s="424" t="s">
        <v>542</v>
      </c>
      <c r="B32" s="55"/>
      <c r="C32" s="55">
        <v>400</v>
      </c>
      <c r="D32" s="55"/>
    </row>
    <row r="33" spans="1:4" ht="42" x14ac:dyDescent="0.35">
      <c r="A33" s="448" t="s">
        <v>585</v>
      </c>
      <c r="B33" s="55"/>
      <c r="C33" s="55">
        <v>700</v>
      </c>
      <c r="D33" s="55"/>
    </row>
    <row r="34" spans="1:4" ht="85.5" customHeight="1" x14ac:dyDescent="0.35">
      <c r="A34" s="448" t="s">
        <v>453</v>
      </c>
      <c r="B34" s="66"/>
      <c r="C34" s="66">
        <v>5858</v>
      </c>
      <c r="D34" s="66"/>
    </row>
    <row r="35" spans="1:4" ht="21.75" thickBot="1" x14ac:dyDescent="0.4">
      <c r="A35" s="449" t="s">
        <v>552</v>
      </c>
      <c r="B35" s="67">
        <f>SUM(B9:B34)</f>
        <v>485390</v>
      </c>
      <c r="C35" s="67">
        <f>SUM(C9:C34)</f>
        <v>620864</v>
      </c>
      <c r="D35" s="67">
        <f>SUM(D9:D34)</f>
        <v>495219</v>
      </c>
    </row>
    <row r="36" spans="1:4" s="69" customFormat="1" ht="21.75" thickBot="1" x14ac:dyDescent="0.4">
      <c r="A36" s="450" t="s">
        <v>279</v>
      </c>
      <c r="B36" s="68">
        <f>B7+B35</f>
        <v>2203054</v>
      </c>
      <c r="C36" s="68">
        <f>C7+C35</f>
        <v>2611650</v>
      </c>
      <c r="D36" s="68">
        <f>D7+D35</f>
        <v>2284192</v>
      </c>
    </row>
    <row r="38" spans="1:4" ht="21.75" thickBot="1" x14ac:dyDescent="0.4">
      <c r="A38" s="346" t="s">
        <v>80</v>
      </c>
      <c r="B38" s="346"/>
      <c r="C38" s="346"/>
      <c r="D38" s="346"/>
    </row>
    <row r="39" spans="1:4" x14ac:dyDescent="0.35">
      <c r="A39" s="451" t="s">
        <v>157</v>
      </c>
      <c r="B39" s="202" t="s">
        <v>445</v>
      </c>
      <c r="C39" s="202" t="s">
        <v>612</v>
      </c>
      <c r="D39" s="202" t="s">
        <v>467</v>
      </c>
    </row>
    <row r="40" spans="1:4" ht="21.75" thickBot="1" x14ac:dyDescent="0.4">
      <c r="A40" s="452"/>
      <c r="B40" s="205" t="s">
        <v>336</v>
      </c>
      <c r="C40" s="205" t="s">
        <v>350</v>
      </c>
      <c r="D40" s="205" t="s">
        <v>336</v>
      </c>
    </row>
    <row r="41" spans="1:4" ht="42.75" thickBot="1" x14ac:dyDescent="0.4">
      <c r="A41" s="453" t="s">
        <v>501</v>
      </c>
      <c r="B41" s="68">
        <v>0</v>
      </c>
      <c r="C41" s="68">
        <v>78429</v>
      </c>
      <c r="D41" s="68">
        <v>14967</v>
      </c>
    </row>
    <row r="42" spans="1:4" ht="21.75" thickBot="1" x14ac:dyDescent="0.4">
      <c r="A42" s="454"/>
      <c r="B42" s="71"/>
      <c r="C42" s="71"/>
      <c r="D42" s="71"/>
    </row>
    <row r="43" spans="1:4" ht="21.75" thickBot="1" x14ac:dyDescent="0.4">
      <c r="A43" s="454" t="s">
        <v>280</v>
      </c>
      <c r="B43" s="72">
        <f>+B41+B36</f>
        <v>2203054</v>
      </c>
      <c r="C43" s="72">
        <f>+C41+C36</f>
        <v>2690079</v>
      </c>
      <c r="D43" s="72">
        <f>+D41+D36</f>
        <v>2299159</v>
      </c>
    </row>
    <row r="45" spans="1:4" x14ac:dyDescent="0.35">
      <c r="A45" s="69" t="s">
        <v>72</v>
      </c>
      <c r="B45" s="69"/>
      <c r="C45" s="69"/>
      <c r="D45" s="455"/>
    </row>
    <row r="46" spans="1:4" x14ac:dyDescent="0.35">
      <c r="A46" s="69" t="s">
        <v>73</v>
      </c>
      <c r="B46" s="69"/>
      <c r="C46" s="69"/>
      <c r="D46" s="69"/>
    </row>
  </sheetData>
  <customSheetViews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3"/>
  <headerFooter alignWithMargins="0">
    <oddHeader xml:space="preserve">&amp;R&amp;"-,Félkövér"&amp;12 
10. melléklet a 3/2026. (II.27.) önkormányzati rendelethe&amp;"Times New Roman CE,Félkövér"z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2"/>
  <dimension ref="A1:D30"/>
  <sheetViews>
    <sheetView zoomScale="89" zoomScaleNormal="89" workbookViewId="0">
      <selection activeCell="H18" sqref="H18"/>
    </sheetView>
  </sheetViews>
  <sheetFormatPr defaultColWidth="9.33203125" defaultRowHeight="21" x14ac:dyDescent="0.35"/>
  <cols>
    <col min="1" max="1" width="91.1640625" style="2" customWidth="1"/>
    <col min="2" max="2" width="32.33203125" style="2" customWidth="1"/>
    <col min="3" max="3" width="40.5" style="2" customWidth="1"/>
    <col min="4" max="4" width="38.1640625" style="2" bestFit="1" customWidth="1"/>
    <col min="5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53</v>
      </c>
      <c r="B2" s="928"/>
      <c r="C2" s="928"/>
      <c r="D2" s="928"/>
    </row>
    <row r="3" spans="1:4" x14ac:dyDescent="0.35">
      <c r="A3" s="195"/>
      <c r="B3" s="195"/>
      <c r="C3" s="195"/>
      <c r="D3" s="195"/>
    </row>
    <row r="4" spans="1:4" ht="21.75" thickBot="1" x14ac:dyDescent="0.4">
      <c r="A4" s="339" t="s">
        <v>35</v>
      </c>
      <c r="B4" s="339"/>
      <c r="C4" s="339"/>
      <c r="D4" s="331" t="s">
        <v>204</v>
      </c>
    </row>
    <row r="5" spans="1:4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396"/>
      <c r="B6" s="397" t="s">
        <v>336</v>
      </c>
      <c r="C6" s="397" t="s">
        <v>350</v>
      </c>
      <c r="D6" s="397" t="s">
        <v>336</v>
      </c>
    </row>
    <row r="7" spans="1:4" s="52" customFormat="1" ht="21.75" thickBot="1" x14ac:dyDescent="0.4">
      <c r="A7" s="456" t="s">
        <v>721</v>
      </c>
      <c r="B7" s="170">
        <v>844822</v>
      </c>
      <c r="C7" s="170">
        <v>1059647</v>
      </c>
      <c r="D7" s="170">
        <f>844822+114357</f>
        <v>959179</v>
      </c>
    </row>
    <row r="8" spans="1:4" x14ac:dyDescent="0.35">
      <c r="A8" s="457" t="s">
        <v>554</v>
      </c>
      <c r="B8" s="182"/>
      <c r="C8" s="182"/>
      <c r="D8" s="182"/>
    </row>
    <row r="9" spans="1:4" x14ac:dyDescent="0.35">
      <c r="A9" s="399" t="s">
        <v>183</v>
      </c>
      <c r="B9" s="46">
        <v>12000</v>
      </c>
      <c r="C9" s="46"/>
      <c r="D9" s="46">
        <v>12000</v>
      </c>
    </row>
    <row r="10" spans="1:4" x14ac:dyDescent="0.35">
      <c r="A10" s="73" t="s">
        <v>137</v>
      </c>
      <c r="B10" s="5">
        <v>500</v>
      </c>
      <c r="C10" s="7"/>
      <c r="D10" s="5">
        <v>500</v>
      </c>
    </row>
    <row r="11" spans="1:4" x14ac:dyDescent="0.35">
      <c r="A11" s="401" t="s">
        <v>480</v>
      </c>
      <c r="B11" s="5">
        <v>0</v>
      </c>
      <c r="C11" s="7">
        <v>589</v>
      </c>
      <c r="D11" s="5">
        <v>0</v>
      </c>
    </row>
    <row r="12" spans="1:4" x14ac:dyDescent="0.35">
      <c r="A12" s="73" t="s">
        <v>256</v>
      </c>
      <c r="B12" s="5">
        <v>2485</v>
      </c>
      <c r="C12" s="7">
        <v>2474</v>
      </c>
      <c r="D12" s="5">
        <v>2485</v>
      </c>
    </row>
    <row r="13" spans="1:4" x14ac:dyDescent="0.35">
      <c r="A13" s="73" t="s">
        <v>140</v>
      </c>
      <c r="B13" s="5">
        <v>2500</v>
      </c>
      <c r="C13" s="7">
        <v>2500</v>
      </c>
      <c r="D13" s="5">
        <v>2500</v>
      </c>
    </row>
    <row r="14" spans="1:4" ht="42" x14ac:dyDescent="0.35">
      <c r="A14" s="424" t="s">
        <v>444</v>
      </c>
      <c r="B14" s="5">
        <v>2500</v>
      </c>
      <c r="C14" s="7">
        <v>2500</v>
      </c>
      <c r="D14" s="5">
        <v>2500</v>
      </c>
    </row>
    <row r="15" spans="1:4" x14ac:dyDescent="0.35">
      <c r="A15" s="73" t="s">
        <v>76</v>
      </c>
      <c r="B15" s="5">
        <v>1500</v>
      </c>
      <c r="C15" s="7">
        <v>1586</v>
      </c>
      <c r="D15" s="5">
        <f>1500-500</f>
        <v>1000</v>
      </c>
    </row>
    <row r="16" spans="1:4" x14ac:dyDescent="0.35">
      <c r="A16" s="424" t="s">
        <v>382</v>
      </c>
      <c r="B16" s="5">
        <v>44070</v>
      </c>
      <c r="C16" s="7">
        <v>44070</v>
      </c>
      <c r="D16" s="5">
        <f>44070+13560</f>
        <v>57630</v>
      </c>
    </row>
    <row r="17" spans="1:4" x14ac:dyDescent="0.35">
      <c r="A17" s="458" t="s">
        <v>385</v>
      </c>
      <c r="B17" s="5">
        <v>1500</v>
      </c>
      <c r="C17" s="7">
        <v>2104</v>
      </c>
      <c r="D17" s="5">
        <f>1500-700+200</f>
        <v>1000</v>
      </c>
    </row>
    <row r="18" spans="1:4" ht="21.75" thickBot="1" x14ac:dyDescent="0.4">
      <c r="A18" s="459" t="s">
        <v>555</v>
      </c>
      <c r="B18" s="16">
        <f>SUM(B9:B17)</f>
        <v>67055</v>
      </c>
      <c r="C18" s="16">
        <f>SUM(C9:C17)</f>
        <v>55823</v>
      </c>
      <c r="D18" s="16">
        <f>SUM(D9:D17)</f>
        <v>79615</v>
      </c>
    </row>
    <row r="19" spans="1:4" s="52" customFormat="1" ht="21.75" thickBot="1" x14ac:dyDescent="0.4">
      <c r="A19" s="460" t="s">
        <v>282</v>
      </c>
      <c r="B19" s="35">
        <f>B7+B18</f>
        <v>911877</v>
      </c>
      <c r="C19" s="35">
        <f>C7+C18</f>
        <v>1115470</v>
      </c>
      <c r="D19" s="35">
        <f>D7+D18</f>
        <v>1038794</v>
      </c>
    </row>
    <row r="22" spans="1:4" ht="21.75" thickBot="1" x14ac:dyDescent="0.4">
      <c r="A22" s="339" t="s">
        <v>80</v>
      </c>
      <c r="B22" s="339"/>
      <c r="C22" s="339"/>
      <c r="D22" s="339"/>
    </row>
    <row r="23" spans="1:4" x14ac:dyDescent="0.35">
      <c r="A23" s="395" t="s">
        <v>157</v>
      </c>
      <c r="B23" s="202" t="s">
        <v>445</v>
      </c>
      <c r="C23" s="202" t="s">
        <v>612</v>
      </c>
      <c r="D23" s="202" t="s">
        <v>467</v>
      </c>
    </row>
    <row r="24" spans="1:4" ht="21.75" thickBot="1" x14ac:dyDescent="0.4">
      <c r="A24" s="396"/>
      <c r="B24" s="397" t="s">
        <v>336</v>
      </c>
      <c r="C24" s="397" t="s">
        <v>350</v>
      </c>
      <c r="D24" s="397" t="s">
        <v>336</v>
      </c>
    </row>
    <row r="25" spans="1:4" ht="21.75" thickBot="1" x14ac:dyDescent="0.4">
      <c r="A25" s="911" t="s">
        <v>721</v>
      </c>
      <c r="B25" s="912">
        <v>0</v>
      </c>
      <c r="C25" s="912">
        <v>19406</v>
      </c>
      <c r="D25" s="912">
        <f>1778-1778</f>
        <v>0</v>
      </c>
    </row>
    <row r="26" spans="1:4" ht="21.75" thickBot="1" x14ac:dyDescent="0.4">
      <c r="A26" s="336"/>
      <c r="B26" s="52"/>
      <c r="C26" s="52"/>
      <c r="D26" s="52"/>
    </row>
    <row r="27" spans="1:4" ht="21.75" thickBot="1" x14ac:dyDescent="0.4">
      <c r="A27" s="408" t="s">
        <v>283</v>
      </c>
      <c r="B27" s="17">
        <f>+B19+B25</f>
        <v>911877</v>
      </c>
      <c r="C27" s="17">
        <f t="shared" ref="C27:D27" si="0">+C19+C25</f>
        <v>1134876</v>
      </c>
      <c r="D27" s="17">
        <f t="shared" si="0"/>
        <v>1038794</v>
      </c>
    </row>
    <row r="29" spans="1:4" x14ac:dyDescent="0.35">
      <c r="A29" s="52" t="s">
        <v>72</v>
      </c>
      <c r="B29" s="52"/>
      <c r="C29" s="52"/>
      <c r="D29" s="409"/>
    </row>
    <row r="30" spans="1:4" x14ac:dyDescent="0.35">
      <c r="A30" s="52" t="s">
        <v>73</v>
      </c>
      <c r="B30" s="52"/>
      <c r="C30" s="52"/>
      <c r="D30" s="52"/>
    </row>
  </sheetData>
  <customSheetViews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3"/>
  <headerFooter alignWithMargins="0">
    <oddHeader xml:space="preserve">&amp;R&amp;"Times New Roman CE,Félkövér"&amp;12 
&amp;"-,Félkövér"11. melléklet a 3/2026. (II.27.) önkormányzati rendelethez&amp;"Times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3"/>
  <dimension ref="A1:D22"/>
  <sheetViews>
    <sheetView zoomScale="95" zoomScaleNormal="95" workbookViewId="0">
      <selection activeCell="U16" sqref="U16"/>
    </sheetView>
  </sheetViews>
  <sheetFormatPr defaultColWidth="9.33203125" defaultRowHeight="21" x14ac:dyDescent="0.35"/>
  <cols>
    <col min="1" max="1" width="101.33203125" style="2" customWidth="1"/>
    <col min="2" max="2" width="36.6640625" style="2" customWidth="1"/>
    <col min="3" max="3" width="36.83203125" style="2" customWidth="1"/>
    <col min="4" max="4" width="38.1640625" style="2" bestFit="1" customWidth="1"/>
    <col min="5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286</v>
      </c>
      <c r="B2" s="928"/>
      <c r="C2" s="928"/>
      <c r="D2" s="928"/>
    </row>
    <row r="4" spans="1:4" ht="21.75" thickBot="1" x14ac:dyDescent="0.4">
      <c r="A4" s="339" t="s">
        <v>35</v>
      </c>
      <c r="B4" s="339"/>
      <c r="C4" s="339"/>
      <c r="D4" s="331" t="s">
        <v>204</v>
      </c>
    </row>
    <row r="5" spans="1:4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10"/>
      <c r="B6" s="397" t="s">
        <v>336</v>
      </c>
      <c r="C6" s="397" t="s">
        <v>350</v>
      </c>
      <c r="D6" s="397" t="s">
        <v>336</v>
      </c>
    </row>
    <row r="7" spans="1:4" ht="21.75" thickBot="1" x14ac:dyDescent="0.4">
      <c r="A7" s="461" t="s">
        <v>551</v>
      </c>
      <c r="B7" s="170">
        <v>1979865</v>
      </c>
      <c r="C7" s="170">
        <v>2011423</v>
      </c>
      <c r="D7" s="170">
        <f>1979865+160475</f>
        <v>2140340</v>
      </c>
    </row>
    <row r="8" spans="1:4" x14ac:dyDescent="0.35">
      <c r="A8" s="462" t="s">
        <v>556</v>
      </c>
      <c r="B8" s="41"/>
      <c r="C8" s="61"/>
      <c r="D8" s="41"/>
    </row>
    <row r="9" spans="1:4" x14ac:dyDescent="0.35">
      <c r="A9" s="160" t="s">
        <v>258</v>
      </c>
      <c r="B9" s="5">
        <v>241</v>
      </c>
      <c r="C9" s="160">
        <v>241</v>
      </c>
      <c r="D9" s="5">
        <v>241</v>
      </c>
    </row>
    <row r="10" spans="1:4" ht="47.25" customHeight="1" thickBot="1" x14ac:dyDescent="0.4">
      <c r="A10" s="401" t="s">
        <v>596</v>
      </c>
      <c r="B10" s="7">
        <v>10000</v>
      </c>
      <c r="C10" s="178"/>
      <c r="D10" s="7">
        <f>10000-3000</f>
        <v>7000</v>
      </c>
    </row>
    <row r="11" spans="1:4" ht="21.75" thickBot="1" x14ac:dyDescent="0.4">
      <c r="A11" s="408" t="s">
        <v>557</v>
      </c>
      <c r="B11" s="17">
        <f>SUM(B9:B10)</f>
        <v>10241</v>
      </c>
      <c r="C11" s="17">
        <f>SUM(C9:C10)</f>
        <v>241</v>
      </c>
      <c r="D11" s="17">
        <f>SUM(D9:D10)</f>
        <v>7241</v>
      </c>
    </row>
    <row r="12" spans="1:4" ht="21.75" thickBot="1" x14ac:dyDescent="0.4">
      <c r="A12" s="463" t="s">
        <v>284</v>
      </c>
      <c r="B12" s="35">
        <f>B7+B11</f>
        <v>1990106</v>
      </c>
      <c r="C12" s="35">
        <f>C7+C11</f>
        <v>2011664</v>
      </c>
      <c r="D12" s="35">
        <f>D7+D11</f>
        <v>2147581</v>
      </c>
    </row>
    <row r="13" spans="1:4" x14ac:dyDescent="0.35">
      <c r="A13" s="166"/>
      <c r="B13" s="166"/>
      <c r="C13" s="166"/>
      <c r="D13" s="166"/>
    </row>
    <row r="14" spans="1:4" ht="21.75" thickBot="1" x14ac:dyDescent="0.4">
      <c r="A14" s="339" t="s">
        <v>80</v>
      </c>
      <c r="B14" s="339"/>
      <c r="C14" s="339"/>
      <c r="D14" s="339"/>
    </row>
    <row r="15" spans="1:4" x14ac:dyDescent="0.35">
      <c r="A15" s="405" t="s">
        <v>157</v>
      </c>
      <c r="B15" s="202" t="s">
        <v>445</v>
      </c>
      <c r="C15" s="202" t="s">
        <v>612</v>
      </c>
      <c r="D15" s="202" t="s">
        <v>467</v>
      </c>
    </row>
    <row r="16" spans="1:4" ht="21.75" thickBot="1" x14ac:dyDescent="0.4">
      <c r="A16" s="406"/>
      <c r="B16" s="397" t="s">
        <v>336</v>
      </c>
      <c r="C16" s="397" t="s">
        <v>350</v>
      </c>
      <c r="D16" s="397" t="s">
        <v>336</v>
      </c>
    </row>
    <row r="17" spans="1:4" ht="21.75" thickBot="1" x14ac:dyDescent="0.4">
      <c r="A17" s="453" t="s">
        <v>502</v>
      </c>
      <c r="B17" s="17">
        <v>700</v>
      </c>
      <c r="C17" s="17">
        <v>82819</v>
      </c>
      <c r="D17" s="17">
        <f>26670+24990</f>
        <v>51660</v>
      </c>
    </row>
    <row r="18" spans="1:4" ht="21.75" thickBot="1" x14ac:dyDescent="0.4">
      <c r="A18" s="336"/>
      <c r="B18" s="52"/>
      <c r="C18" s="19"/>
      <c r="D18" s="19"/>
    </row>
    <row r="19" spans="1:4" ht="21.75" thickBot="1" x14ac:dyDescent="0.4">
      <c r="A19" s="408" t="s">
        <v>285</v>
      </c>
      <c r="B19" s="75">
        <f>B12+B17</f>
        <v>1990806</v>
      </c>
      <c r="C19" s="75">
        <f>C12+C17</f>
        <v>2094483</v>
      </c>
      <c r="D19" s="75">
        <f>D12+D17</f>
        <v>2199241</v>
      </c>
    </row>
    <row r="21" spans="1:4" x14ac:dyDescent="0.35">
      <c r="A21" s="52" t="s">
        <v>72</v>
      </c>
      <c r="B21" s="52"/>
      <c r="C21" s="52"/>
      <c r="D21" s="464"/>
    </row>
    <row r="22" spans="1:4" x14ac:dyDescent="0.35">
      <c r="A22" s="52" t="s">
        <v>73</v>
      </c>
      <c r="B22" s="52"/>
      <c r="C22" s="52"/>
      <c r="D22" s="52"/>
    </row>
  </sheetData>
  <customSheetViews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6" orientation="portrait" r:id="rId3"/>
  <headerFooter alignWithMargins="0">
    <oddHeader xml:space="preserve">&amp;R&amp;"-,Félkövér"&amp;12 
12. melléklet a 3/2026. (II.27.) önkormányzati rendelethe&amp;"Times New Roman CE,Félkövér"z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4"/>
  <dimension ref="A2:D126"/>
  <sheetViews>
    <sheetView topLeftCell="A107" zoomScale="95" zoomScaleNormal="95" workbookViewId="0">
      <selection activeCell="I15" sqref="I15"/>
    </sheetView>
  </sheetViews>
  <sheetFormatPr defaultColWidth="9.33203125" defaultRowHeight="21" x14ac:dyDescent="0.35"/>
  <cols>
    <col min="1" max="1" width="111.6640625" style="488" customWidth="1"/>
    <col min="2" max="2" width="34.1640625" style="85" customWidth="1"/>
    <col min="3" max="3" width="41.1640625" style="85" customWidth="1"/>
    <col min="4" max="4" width="38.1640625" style="179" bestFit="1" customWidth="1"/>
    <col min="5" max="16384" width="9.33203125" style="442"/>
  </cols>
  <sheetData>
    <row r="2" spans="1:4" x14ac:dyDescent="0.35">
      <c r="A2" s="940" t="s">
        <v>121</v>
      </c>
      <c r="B2" s="940"/>
      <c r="C2" s="940"/>
      <c r="D2" s="940"/>
    </row>
    <row r="3" spans="1:4" ht="21.75" thickBot="1" x14ac:dyDescent="0.4">
      <c r="A3" s="439" t="s">
        <v>35</v>
      </c>
      <c r="B3" s="465"/>
      <c r="C3" s="465"/>
      <c r="D3" s="179" t="s">
        <v>204</v>
      </c>
    </row>
    <row r="4" spans="1:4" x14ac:dyDescent="0.35">
      <c r="A4" s="440" t="s">
        <v>157</v>
      </c>
      <c r="B4" s="202" t="s">
        <v>445</v>
      </c>
      <c r="C4" s="202" t="s">
        <v>612</v>
      </c>
      <c r="D4" s="202" t="s">
        <v>467</v>
      </c>
    </row>
    <row r="5" spans="1:4" ht="21.75" thickBot="1" x14ac:dyDescent="0.4">
      <c r="A5" s="466"/>
      <c r="B5" s="397" t="s">
        <v>336</v>
      </c>
      <c r="C5" s="397" t="s">
        <v>350</v>
      </c>
      <c r="D5" s="397" t="s">
        <v>336</v>
      </c>
    </row>
    <row r="6" spans="1:4" s="52" customFormat="1" ht="21.75" thickBot="1" x14ac:dyDescent="0.4">
      <c r="A6" s="467" t="s">
        <v>503</v>
      </c>
      <c r="B6" s="68">
        <v>209018</v>
      </c>
      <c r="C6" s="68">
        <v>231794</v>
      </c>
      <c r="D6" s="68">
        <f>209018+9556</f>
        <v>218574</v>
      </c>
    </row>
    <row r="7" spans="1:4" x14ac:dyDescent="0.35">
      <c r="A7" s="468" t="s">
        <v>4</v>
      </c>
      <c r="B7" s="180">
        <v>3134054</v>
      </c>
      <c r="C7" s="180">
        <v>3347082</v>
      </c>
      <c r="D7" s="180">
        <f>3134054+26149+24808+500+2260</f>
        <v>3187771</v>
      </c>
    </row>
    <row r="8" spans="1:4" ht="21.75" thickBot="1" x14ac:dyDescent="0.4">
      <c r="A8" s="469" t="s">
        <v>116</v>
      </c>
      <c r="B8" s="49">
        <f>SUM(B6:B7)</f>
        <v>3343072</v>
      </c>
      <c r="C8" s="49">
        <f>SUM(C6:C7)</f>
        <v>3578876</v>
      </c>
      <c r="D8" s="49">
        <f>SUM(D6:D7)</f>
        <v>3406345</v>
      </c>
    </row>
    <row r="9" spans="1:4" x14ac:dyDescent="0.35">
      <c r="A9" s="470" t="s">
        <v>177</v>
      </c>
      <c r="B9" s="79"/>
      <c r="C9" s="79"/>
      <c r="D9" s="79"/>
    </row>
    <row r="10" spans="1:4" x14ac:dyDescent="0.35">
      <c r="A10" s="471" t="s">
        <v>193</v>
      </c>
      <c r="B10" s="80">
        <v>400000</v>
      </c>
      <c r="C10" s="80">
        <v>417946</v>
      </c>
      <c r="D10" s="80">
        <v>400000</v>
      </c>
    </row>
    <row r="11" spans="1:4" x14ac:dyDescent="0.35">
      <c r="A11" s="472" t="s">
        <v>199</v>
      </c>
      <c r="B11" s="80">
        <v>700000</v>
      </c>
      <c r="C11" s="80">
        <v>700330</v>
      </c>
      <c r="D11" s="80">
        <v>700000</v>
      </c>
    </row>
    <row r="12" spans="1:4" x14ac:dyDescent="0.35">
      <c r="A12" s="472" t="s">
        <v>254</v>
      </c>
      <c r="B12" s="80">
        <v>160000</v>
      </c>
      <c r="C12" s="80">
        <v>160000</v>
      </c>
      <c r="D12" s="80">
        <v>160000</v>
      </c>
    </row>
    <row r="13" spans="1:4" x14ac:dyDescent="0.35">
      <c r="A13" s="472" t="s">
        <v>127</v>
      </c>
      <c r="B13" s="80">
        <v>554736</v>
      </c>
      <c r="C13" s="80">
        <v>554736</v>
      </c>
      <c r="D13" s="80">
        <v>554736</v>
      </c>
    </row>
    <row r="14" spans="1:4" x14ac:dyDescent="0.35">
      <c r="A14" s="472" t="s">
        <v>374</v>
      </c>
      <c r="B14" s="80">
        <v>0</v>
      </c>
      <c r="C14" s="80">
        <v>3137</v>
      </c>
      <c r="D14" s="80">
        <v>0</v>
      </c>
    </row>
    <row r="15" spans="1:4" x14ac:dyDescent="0.35">
      <c r="A15" s="473" t="s">
        <v>428</v>
      </c>
      <c r="B15" s="78">
        <v>0</v>
      </c>
      <c r="C15" s="78">
        <v>21112</v>
      </c>
      <c r="D15" s="78">
        <v>0</v>
      </c>
    </row>
    <row r="16" spans="1:4" x14ac:dyDescent="0.35">
      <c r="A16" s="474" t="s">
        <v>188</v>
      </c>
      <c r="B16" s="81">
        <f>SUM(B10:B15)</f>
        <v>1814736</v>
      </c>
      <c r="C16" s="81">
        <f t="shared" ref="C16:D16" si="0">SUM(C10:C15)</f>
        <v>1857261</v>
      </c>
      <c r="D16" s="81">
        <f t="shared" si="0"/>
        <v>1814736</v>
      </c>
    </row>
    <row r="17" spans="1:4" x14ac:dyDescent="0.35">
      <c r="A17" s="475" t="s">
        <v>5</v>
      </c>
      <c r="B17" s="79"/>
      <c r="C17" s="79"/>
      <c r="D17" s="79"/>
    </row>
    <row r="18" spans="1:4" x14ac:dyDescent="0.35">
      <c r="A18" s="471" t="s">
        <v>383</v>
      </c>
      <c r="B18" s="80">
        <v>80000</v>
      </c>
      <c r="C18" s="80">
        <v>88044</v>
      </c>
      <c r="D18" s="80">
        <v>80000</v>
      </c>
    </row>
    <row r="19" spans="1:4" x14ac:dyDescent="0.35">
      <c r="A19" s="471" t="s">
        <v>368</v>
      </c>
      <c r="B19" s="80">
        <v>63000</v>
      </c>
      <c r="C19" s="80">
        <v>63000</v>
      </c>
      <c r="D19" s="80">
        <f>63000-10000</f>
        <v>53000</v>
      </c>
    </row>
    <row r="20" spans="1:4" x14ac:dyDescent="0.35">
      <c r="A20" s="476" t="s">
        <v>210</v>
      </c>
      <c r="B20" s="70">
        <v>17500</v>
      </c>
      <c r="C20" s="70">
        <v>27579</v>
      </c>
      <c r="D20" s="70">
        <v>17500</v>
      </c>
    </row>
    <row r="21" spans="1:4" x14ac:dyDescent="0.35">
      <c r="A21" s="472" t="s">
        <v>194</v>
      </c>
      <c r="B21" s="80">
        <v>15000</v>
      </c>
      <c r="C21" s="80">
        <v>15000</v>
      </c>
      <c r="D21" s="80">
        <v>15000</v>
      </c>
    </row>
    <row r="22" spans="1:4" ht="42" x14ac:dyDescent="0.35">
      <c r="A22" s="472" t="s">
        <v>593</v>
      </c>
      <c r="B22" s="80">
        <v>472625</v>
      </c>
      <c r="C22" s="80">
        <v>484928</v>
      </c>
      <c r="D22" s="80">
        <f>472625+5921+7890-7890</f>
        <v>478546</v>
      </c>
    </row>
    <row r="23" spans="1:4" x14ac:dyDescent="0.35">
      <c r="A23" s="477" t="s">
        <v>695</v>
      </c>
      <c r="B23" s="70">
        <v>0</v>
      </c>
      <c r="C23" s="70"/>
      <c r="D23" s="70">
        <v>20000</v>
      </c>
    </row>
    <row r="24" spans="1:4" x14ac:dyDescent="0.35">
      <c r="A24" s="477" t="s">
        <v>135</v>
      </c>
      <c r="B24" s="70">
        <v>10000</v>
      </c>
      <c r="C24" s="70">
        <v>19911</v>
      </c>
      <c r="D24" s="70">
        <v>10000</v>
      </c>
    </row>
    <row r="25" spans="1:4" x14ac:dyDescent="0.35">
      <c r="A25" s="477" t="s">
        <v>191</v>
      </c>
      <c r="B25" s="70">
        <v>0</v>
      </c>
      <c r="C25" s="70">
        <v>453</v>
      </c>
      <c r="D25" s="70">
        <v>0</v>
      </c>
    </row>
    <row r="26" spans="1:4" x14ac:dyDescent="0.35">
      <c r="A26" s="476" t="s">
        <v>443</v>
      </c>
      <c r="B26" s="70">
        <v>1000</v>
      </c>
      <c r="C26" s="70">
        <v>2696</v>
      </c>
      <c r="D26" s="70">
        <v>1000</v>
      </c>
    </row>
    <row r="27" spans="1:4" x14ac:dyDescent="0.35">
      <c r="A27" s="471" t="s">
        <v>122</v>
      </c>
      <c r="B27" s="80">
        <v>13040</v>
      </c>
      <c r="C27" s="80">
        <v>13040</v>
      </c>
      <c r="D27" s="80">
        <v>13040</v>
      </c>
    </row>
    <row r="28" spans="1:4" x14ac:dyDescent="0.35">
      <c r="A28" s="477" t="s">
        <v>149</v>
      </c>
      <c r="B28" s="70">
        <v>1200</v>
      </c>
      <c r="C28" s="70">
        <v>1200</v>
      </c>
      <c r="D28" s="70">
        <v>1200</v>
      </c>
    </row>
    <row r="29" spans="1:4" x14ac:dyDescent="0.35">
      <c r="A29" s="476" t="s">
        <v>446</v>
      </c>
      <c r="B29" s="70">
        <v>0</v>
      </c>
      <c r="C29" s="70">
        <v>1500</v>
      </c>
      <c r="D29" s="70">
        <v>0</v>
      </c>
    </row>
    <row r="30" spans="1:4" x14ac:dyDescent="0.35">
      <c r="A30" s="416" t="s">
        <v>543</v>
      </c>
      <c r="B30" s="70">
        <v>0</v>
      </c>
      <c r="C30" s="70">
        <v>3000</v>
      </c>
      <c r="D30" s="70">
        <v>0</v>
      </c>
    </row>
    <row r="31" spans="1:4" x14ac:dyDescent="0.35">
      <c r="A31" s="476" t="s">
        <v>201</v>
      </c>
      <c r="B31" s="70">
        <v>3154</v>
      </c>
      <c r="C31" s="70">
        <v>3401</v>
      </c>
      <c r="D31" s="70">
        <v>3154</v>
      </c>
    </row>
    <row r="32" spans="1:4" x14ac:dyDescent="0.35">
      <c r="A32" s="477" t="s">
        <v>200</v>
      </c>
      <c r="B32" s="70">
        <v>4200</v>
      </c>
      <c r="C32" s="70">
        <v>4200</v>
      </c>
      <c r="D32" s="70">
        <v>4200</v>
      </c>
    </row>
    <row r="33" spans="1:4" x14ac:dyDescent="0.35">
      <c r="A33" s="477" t="s">
        <v>429</v>
      </c>
      <c r="B33" s="70">
        <v>1414000</v>
      </c>
      <c r="C33" s="70">
        <v>1533093</v>
      </c>
      <c r="D33" s="70"/>
    </row>
    <row r="34" spans="1:4" ht="44.25" customHeight="1" x14ac:dyDescent="0.35">
      <c r="A34" s="477" t="s">
        <v>638</v>
      </c>
      <c r="B34" s="70"/>
      <c r="C34" s="70">
        <v>2500</v>
      </c>
      <c r="D34" s="70">
        <v>0</v>
      </c>
    </row>
    <row r="35" spans="1:4" x14ac:dyDescent="0.35">
      <c r="A35" s="477" t="s">
        <v>606</v>
      </c>
      <c r="B35" s="70"/>
      <c r="C35" s="70">
        <v>50000</v>
      </c>
      <c r="D35" s="70">
        <v>100000</v>
      </c>
    </row>
    <row r="36" spans="1:4" ht="42" x14ac:dyDescent="0.35">
      <c r="A36" s="477" t="s">
        <v>639</v>
      </c>
      <c r="B36" s="70"/>
      <c r="C36" s="70">
        <v>10516</v>
      </c>
      <c r="D36" s="70">
        <v>0</v>
      </c>
    </row>
    <row r="37" spans="1:4" ht="42" x14ac:dyDescent="0.35">
      <c r="A37" s="477" t="s">
        <v>489</v>
      </c>
      <c r="B37" s="70">
        <v>3810</v>
      </c>
      <c r="C37" s="70">
        <v>3810</v>
      </c>
      <c r="D37" s="70">
        <v>3810</v>
      </c>
    </row>
    <row r="38" spans="1:4" ht="42" x14ac:dyDescent="0.35">
      <c r="A38" s="477" t="s">
        <v>419</v>
      </c>
      <c r="B38" s="70">
        <v>2500</v>
      </c>
      <c r="C38" s="70"/>
      <c r="D38" s="70">
        <v>2500</v>
      </c>
    </row>
    <row r="39" spans="1:4" x14ac:dyDescent="0.35">
      <c r="A39" s="472" t="s">
        <v>535</v>
      </c>
      <c r="B39" s="80">
        <v>3833106</v>
      </c>
      <c r="C39" s="80">
        <v>3833106</v>
      </c>
      <c r="D39" s="80">
        <f>3833106+355177</f>
        <v>4188283</v>
      </c>
    </row>
    <row r="40" spans="1:4" ht="42" x14ac:dyDescent="0.35">
      <c r="A40" s="472" t="s">
        <v>640</v>
      </c>
      <c r="B40" s="80"/>
      <c r="C40" s="80">
        <v>1556901</v>
      </c>
      <c r="D40" s="80"/>
    </row>
    <row r="41" spans="1:4" x14ac:dyDescent="0.35">
      <c r="A41" s="477" t="s">
        <v>527</v>
      </c>
      <c r="B41" s="70">
        <v>0</v>
      </c>
      <c r="C41" s="70">
        <v>5000</v>
      </c>
      <c r="D41" s="70">
        <v>0</v>
      </c>
    </row>
    <row r="42" spans="1:4" x14ac:dyDescent="0.35">
      <c r="A42" s="477" t="s">
        <v>528</v>
      </c>
      <c r="B42" s="70"/>
      <c r="C42" s="70">
        <v>2500</v>
      </c>
      <c r="D42" s="70">
        <v>0</v>
      </c>
    </row>
    <row r="43" spans="1:4" ht="42" x14ac:dyDescent="0.35">
      <c r="A43" s="477" t="s">
        <v>641</v>
      </c>
      <c r="B43" s="70">
        <v>0</v>
      </c>
      <c r="C43" s="70">
        <v>11916</v>
      </c>
      <c r="D43" s="70">
        <v>0</v>
      </c>
    </row>
    <row r="44" spans="1:4" x14ac:dyDescent="0.35">
      <c r="A44" s="478" t="s">
        <v>398</v>
      </c>
      <c r="B44" s="79"/>
      <c r="C44" s="79"/>
      <c r="D44" s="79"/>
    </row>
    <row r="45" spans="1:4" x14ac:dyDescent="0.35">
      <c r="A45" s="476" t="s">
        <v>399</v>
      </c>
      <c r="B45" s="70">
        <v>127000</v>
      </c>
      <c r="C45" s="70">
        <v>184000</v>
      </c>
      <c r="D45" s="70">
        <v>127000</v>
      </c>
    </row>
    <row r="46" spans="1:4" ht="42" x14ac:dyDescent="0.35">
      <c r="A46" s="476" t="s">
        <v>454</v>
      </c>
      <c r="B46" s="70">
        <v>67000</v>
      </c>
      <c r="C46" s="70">
        <v>86000</v>
      </c>
      <c r="D46" s="70">
        <f>67000+63000</f>
        <v>130000</v>
      </c>
    </row>
    <row r="47" spans="1:4" x14ac:dyDescent="0.35">
      <c r="A47" s="470" t="s">
        <v>384</v>
      </c>
      <c r="B47" s="70"/>
      <c r="C47" s="70"/>
      <c r="D47" s="70"/>
    </row>
    <row r="48" spans="1:4" ht="42" x14ac:dyDescent="0.35">
      <c r="A48" s="477" t="s">
        <v>455</v>
      </c>
      <c r="B48" s="70">
        <v>1000</v>
      </c>
      <c r="C48" s="70">
        <v>1000</v>
      </c>
      <c r="D48" s="70">
        <v>1000</v>
      </c>
    </row>
    <row r="49" spans="1:4" x14ac:dyDescent="0.35">
      <c r="A49" s="476" t="s">
        <v>120</v>
      </c>
      <c r="B49" s="70">
        <v>8000</v>
      </c>
      <c r="C49" s="70">
        <v>8000</v>
      </c>
      <c r="D49" s="70">
        <v>8000</v>
      </c>
    </row>
    <row r="50" spans="1:4" x14ac:dyDescent="0.35">
      <c r="A50" s="477" t="s">
        <v>79</v>
      </c>
      <c r="B50" s="70">
        <v>2000</v>
      </c>
      <c r="C50" s="70">
        <v>2000</v>
      </c>
      <c r="D50" s="70">
        <v>2000</v>
      </c>
    </row>
    <row r="51" spans="1:4" x14ac:dyDescent="0.35">
      <c r="A51" s="477" t="s">
        <v>500</v>
      </c>
      <c r="B51" s="70">
        <v>2000</v>
      </c>
      <c r="C51" s="70">
        <v>2000</v>
      </c>
      <c r="D51" s="70">
        <v>2000</v>
      </c>
    </row>
    <row r="52" spans="1:4" x14ac:dyDescent="0.35">
      <c r="A52" s="470" t="s">
        <v>386</v>
      </c>
      <c r="B52" s="82"/>
      <c r="C52" s="82"/>
      <c r="D52" s="82"/>
    </row>
    <row r="53" spans="1:4" x14ac:dyDescent="0.35">
      <c r="A53" s="476" t="s">
        <v>389</v>
      </c>
      <c r="B53" s="70">
        <v>0</v>
      </c>
      <c r="C53" s="70"/>
      <c r="D53" s="70">
        <v>70000</v>
      </c>
    </row>
    <row r="54" spans="1:4" ht="42" x14ac:dyDescent="0.35">
      <c r="A54" s="470" t="s">
        <v>393</v>
      </c>
      <c r="B54" s="76"/>
      <c r="C54" s="76"/>
      <c r="D54" s="76"/>
    </row>
    <row r="55" spans="1:4" x14ac:dyDescent="0.35">
      <c r="A55" s="471" t="s">
        <v>463</v>
      </c>
      <c r="B55" s="80">
        <v>6000</v>
      </c>
      <c r="C55" s="80">
        <v>10260</v>
      </c>
      <c r="D55" s="80">
        <f>6000+3000</f>
        <v>9000</v>
      </c>
    </row>
    <row r="56" spans="1:4" ht="42" x14ac:dyDescent="0.35">
      <c r="A56" s="477" t="s">
        <v>394</v>
      </c>
      <c r="B56" s="70">
        <v>2241</v>
      </c>
      <c r="C56" s="70">
        <v>2241</v>
      </c>
      <c r="D56" s="70">
        <f>2241-1120</f>
        <v>1121</v>
      </c>
    </row>
    <row r="57" spans="1:4" x14ac:dyDescent="0.35">
      <c r="A57" s="477" t="s">
        <v>380</v>
      </c>
      <c r="B57" s="70">
        <v>5500</v>
      </c>
      <c r="C57" s="70">
        <v>7335</v>
      </c>
      <c r="D57" s="70">
        <v>5500</v>
      </c>
    </row>
    <row r="58" spans="1:4" x14ac:dyDescent="0.35">
      <c r="A58" s="477" t="s">
        <v>549</v>
      </c>
      <c r="B58" s="70">
        <v>0</v>
      </c>
      <c r="C58" s="70">
        <v>3300</v>
      </c>
      <c r="D58" s="70">
        <v>0</v>
      </c>
    </row>
    <row r="59" spans="1:4" ht="42" x14ac:dyDescent="0.35">
      <c r="A59" s="477" t="s">
        <v>575</v>
      </c>
      <c r="B59" s="70">
        <v>100000</v>
      </c>
      <c r="C59" s="70">
        <v>200000</v>
      </c>
      <c r="D59" s="70">
        <f>100000+100000-200000</f>
        <v>0</v>
      </c>
    </row>
    <row r="60" spans="1:4" ht="42" x14ac:dyDescent="0.35">
      <c r="A60" s="477" t="s">
        <v>464</v>
      </c>
      <c r="B60" s="70">
        <v>18500</v>
      </c>
      <c r="C60" s="70">
        <v>20024</v>
      </c>
      <c r="D60" s="70">
        <v>18500</v>
      </c>
    </row>
    <row r="61" spans="1:4" x14ac:dyDescent="0.35">
      <c r="A61" s="477" t="s">
        <v>344</v>
      </c>
      <c r="B61" s="70">
        <v>50000</v>
      </c>
      <c r="C61" s="70">
        <v>50000</v>
      </c>
      <c r="D61" s="70">
        <v>50000</v>
      </c>
    </row>
    <row r="62" spans="1:4" x14ac:dyDescent="0.35">
      <c r="A62" s="477" t="s">
        <v>544</v>
      </c>
      <c r="B62" s="70">
        <v>0</v>
      </c>
      <c r="C62" s="70">
        <v>60021</v>
      </c>
      <c r="D62" s="70"/>
    </row>
    <row r="63" spans="1:4" x14ac:dyDescent="0.35">
      <c r="A63" s="477" t="s">
        <v>642</v>
      </c>
      <c r="B63" s="70"/>
      <c r="C63" s="70">
        <v>10000</v>
      </c>
      <c r="D63" s="70"/>
    </row>
    <row r="64" spans="1:4" ht="42.75" thickBot="1" x14ac:dyDescent="0.4">
      <c r="A64" s="479" t="s">
        <v>643</v>
      </c>
      <c r="B64" s="190"/>
      <c r="C64" s="190">
        <v>40000</v>
      </c>
      <c r="D64" s="190"/>
    </row>
    <row r="65" spans="1:4" x14ac:dyDescent="0.35">
      <c r="A65" s="470" t="s">
        <v>8</v>
      </c>
      <c r="B65" s="82"/>
      <c r="C65" s="82"/>
      <c r="D65" s="82"/>
    </row>
    <row r="66" spans="1:4" ht="42" x14ac:dyDescent="0.35">
      <c r="A66" s="471" t="s">
        <v>34</v>
      </c>
      <c r="B66" s="80">
        <v>8000</v>
      </c>
      <c r="C66" s="80">
        <v>7849</v>
      </c>
      <c r="D66" s="80">
        <v>8000</v>
      </c>
    </row>
    <row r="67" spans="1:4" ht="42" x14ac:dyDescent="0.35">
      <c r="A67" s="471" t="s">
        <v>644</v>
      </c>
      <c r="B67" s="80"/>
      <c r="C67" s="80">
        <v>53</v>
      </c>
      <c r="D67" s="80"/>
    </row>
    <row r="68" spans="1:4" x14ac:dyDescent="0.35">
      <c r="A68" s="480" t="s">
        <v>46</v>
      </c>
      <c r="B68" s="70">
        <v>25500</v>
      </c>
      <c r="C68" s="70">
        <v>25421</v>
      </c>
      <c r="D68" s="70">
        <f>25500+4500</f>
        <v>30000</v>
      </c>
    </row>
    <row r="69" spans="1:4" x14ac:dyDescent="0.35">
      <c r="A69" s="480" t="s">
        <v>28</v>
      </c>
      <c r="B69" s="70">
        <v>7000</v>
      </c>
      <c r="C69" s="70">
        <v>7888</v>
      </c>
      <c r="D69" s="70">
        <v>7000</v>
      </c>
    </row>
    <row r="70" spans="1:4" ht="42" x14ac:dyDescent="0.35">
      <c r="A70" s="480" t="s">
        <v>340</v>
      </c>
      <c r="B70" s="70">
        <v>30000</v>
      </c>
      <c r="C70" s="70">
        <v>31772</v>
      </c>
      <c r="D70" s="70">
        <f>30000+5000</f>
        <v>35000</v>
      </c>
    </row>
    <row r="71" spans="1:4" x14ac:dyDescent="0.35">
      <c r="A71" s="480" t="s">
        <v>217</v>
      </c>
      <c r="B71" s="70">
        <v>300</v>
      </c>
      <c r="C71" s="70">
        <v>300</v>
      </c>
      <c r="D71" s="70">
        <v>300</v>
      </c>
    </row>
    <row r="72" spans="1:4" x14ac:dyDescent="0.35">
      <c r="A72" s="480" t="s">
        <v>123</v>
      </c>
      <c r="B72" s="70">
        <v>8300</v>
      </c>
      <c r="C72" s="70">
        <v>9782</v>
      </c>
      <c r="D72" s="70">
        <v>8300</v>
      </c>
    </row>
    <row r="73" spans="1:4" ht="42" x14ac:dyDescent="0.35">
      <c r="A73" s="477" t="s">
        <v>346</v>
      </c>
      <c r="B73" s="70">
        <v>3500</v>
      </c>
      <c r="C73" s="70">
        <v>3426</v>
      </c>
      <c r="D73" s="70">
        <v>3500</v>
      </c>
    </row>
    <row r="74" spans="1:4" ht="42" x14ac:dyDescent="0.35">
      <c r="A74" s="477" t="s">
        <v>645</v>
      </c>
      <c r="B74" s="70"/>
      <c r="C74" s="70">
        <v>54</v>
      </c>
      <c r="D74" s="70"/>
    </row>
    <row r="75" spans="1:4" x14ac:dyDescent="0.35">
      <c r="A75" s="477" t="s">
        <v>400</v>
      </c>
      <c r="B75" s="70">
        <v>3810</v>
      </c>
      <c r="C75" s="70">
        <v>3810</v>
      </c>
      <c r="D75" s="70">
        <v>3810</v>
      </c>
    </row>
    <row r="76" spans="1:4" x14ac:dyDescent="0.35">
      <c r="A76" s="477" t="s">
        <v>381</v>
      </c>
      <c r="B76" s="70">
        <v>500</v>
      </c>
      <c r="C76" s="70">
        <v>500</v>
      </c>
      <c r="D76" s="70">
        <v>500</v>
      </c>
    </row>
    <row r="77" spans="1:4" x14ac:dyDescent="0.35">
      <c r="A77" s="477" t="s">
        <v>475</v>
      </c>
      <c r="B77" s="70">
        <v>7500</v>
      </c>
      <c r="C77" s="70">
        <v>8535</v>
      </c>
      <c r="D77" s="70">
        <v>7500</v>
      </c>
    </row>
    <row r="78" spans="1:4" x14ac:dyDescent="0.35">
      <c r="A78" s="477" t="s">
        <v>476</v>
      </c>
      <c r="B78" s="70">
        <v>2500</v>
      </c>
      <c r="C78" s="70">
        <v>2779</v>
      </c>
      <c r="D78" s="70">
        <v>2500</v>
      </c>
    </row>
    <row r="79" spans="1:4" x14ac:dyDescent="0.35">
      <c r="A79" s="477" t="s">
        <v>477</v>
      </c>
      <c r="B79" s="70">
        <v>2500</v>
      </c>
      <c r="C79" s="70">
        <v>3779</v>
      </c>
      <c r="D79" s="70">
        <v>2500</v>
      </c>
    </row>
    <row r="80" spans="1:4" x14ac:dyDescent="0.35">
      <c r="A80" s="477" t="s">
        <v>696</v>
      </c>
      <c r="B80" s="70"/>
      <c r="C80" s="70"/>
      <c r="D80" s="70">
        <v>1000</v>
      </c>
    </row>
    <row r="81" spans="1:4" x14ac:dyDescent="0.35">
      <c r="A81" s="470" t="s">
        <v>7</v>
      </c>
      <c r="B81" s="82"/>
      <c r="C81" s="82"/>
      <c r="D81" s="82"/>
    </row>
    <row r="82" spans="1:4" x14ac:dyDescent="0.35">
      <c r="A82" s="476" t="s">
        <v>40</v>
      </c>
      <c r="B82" s="70">
        <v>15000</v>
      </c>
      <c r="C82" s="70">
        <v>91263</v>
      </c>
      <c r="D82" s="70">
        <f>15000+10000</f>
        <v>25000</v>
      </c>
    </row>
    <row r="83" spans="1:4" x14ac:dyDescent="0.35">
      <c r="A83" s="480" t="s">
        <v>341</v>
      </c>
      <c r="B83" s="70">
        <v>1500</v>
      </c>
      <c r="C83" s="70">
        <v>1500</v>
      </c>
      <c r="D83" s="70">
        <v>1500</v>
      </c>
    </row>
    <row r="84" spans="1:4" x14ac:dyDescent="0.35">
      <c r="A84" s="480" t="s">
        <v>504</v>
      </c>
      <c r="B84" s="70">
        <v>0</v>
      </c>
      <c r="C84" s="70">
        <v>350</v>
      </c>
      <c r="D84" s="70">
        <v>1000</v>
      </c>
    </row>
    <row r="85" spans="1:4" x14ac:dyDescent="0.35">
      <c r="A85" s="480" t="s">
        <v>441</v>
      </c>
      <c r="B85" s="70">
        <v>0</v>
      </c>
      <c r="C85" s="70">
        <v>350</v>
      </c>
      <c r="D85" s="70">
        <v>1000</v>
      </c>
    </row>
    <row r="86" spans="1:4" ht="63" x14ac:dyDescent="0.35">
      <c r="A86" s="480" t="s">
        <v>370</v>
      </c>
      <c r="B86" s="70">
        <v>4500</v>
      </c>
      <c r="C86" s="70">
        <v>4500</v>
      </c>
      <c r="D86" s="70">
        <v>4500</v>
      </c>
    </row>
    <row r="87" spans="1:4" x14ac:dyDescent="0.35">
      <c r="A87" s="481" t="s">
        <v>6</v>
      </c>
      <c r="B87" s="76"/>
      <c r="C87" s="76"/>
      <c r="D87" s="76"/>
    </row>
    <row r="88" spans="1:4" x14ac:dyDescent="0.35">
      <c r="A88" s="476" t="s">
        <v>272</v>
      </c>
      <c r="B88" s="70">
        <v>0</v>
      </c>
      <c r="C88" s="70">
        <v>15113</v>
      </c>
      <c r="D88" s="70">
        <v>0</v>
      </c>
    </row>
    <row r="89" spans="1:4" s="196" customFormat="1" ht="21.75" thickBot="1" x14ac:dyDescent="0.4">
      <c r="A89" s="469" t="s">
        <v>202</v>
      </c>
      <c r="B89" s="49">
        <f>SUM(B18:B88)</f>
        <v>6443786</v>
      </c>
      <c r="C89" s="49">
        <f>SUM(C18:C88)</f>
        <v>8642499</v>
      </c>
      <c r="D89" s="49">
        <f>SUM(D18:D88)</f>
        <v>5558264</v>
      </c>
    </row>
    <row r="90" spans="1:4" x14ac:dyDescent="0.35">
      <c r="A90" s="482" t="s">
        <v>94</v>
      </c>
      <c r="B90" s="79"/>
      <c r="C90" s="79"/>
      <c r="D90" s="79"/>
    </row>
    <row r="91" spans="1:4" x14ac:dyDescent="0.35">
      <c r="A91" s="483" t="s">
        <v>406</v>
      </c>
      <c r="B91" s="70">
        <v>76672</v>
      </c>
      <c r="C91" s="70">
        <v>0</v>
      </c>
      <c r="D91" s="70">
        <f>76672-76672+1940747</f>
        <v>1940747</v>
      </c>
    </row>
    <row r="92" spans="1:4" x14ac:dyDescent="0.35">
      <c r="A92" s="483" t="s">
        <v>526</v>
      </c>
      <c r="B92" s="70"/>
      <c r="C92" s="70">
        <v>21701</v>
      </c>
      <c r="D92" s="70"/>
    </row>
    <row r="93" spans="1:4" x14ac:dyDescent="0.35">
      <c r="A93" s="483" t="s">
        <v>525</v>
      </c>
      <c r="B93" s="70"/>
      <c r="C93" s="70">
        <v>9278</v>
      </c>
      <c r="D93" s="70"/>
    </row>
    <row r="94" spans="1:4" x14ac:dyDescent="0.35">
      <c r="A94" s="484" t="s">
        <v>473</v>
      </c>
      <c r="B94" s="70"/>
      <c r="C94" s="70">
        <v>15217</v>
      </c>
      <c r="D94" s="70"/>
    </row>
    <row r="95" spans="1:4" ht="42" x14ac:dyDescent="0.35">
      <c r="A95" s="483" t="s">
        <v>537</v>
      </c>
      <c r="B95" s="70"/>
      <c r="C95" s="70">
        <v>2000</v>
      </c>
      <c r="D95" s="70"/>
    </row>
    <row r="96" spans="1:4" x14ac:dyDescent="0.35">
      <c r="A96" s="483" t="s">
        <v>540</v>
      </c>
      <c r="B96" s="70"/>
      <c r="C96" s="70">
        <v>2249</v>
      </c>
      <c r="D96" s="70"/>
    </row>
    <row r="97" spans="1:4" x14ac:dyDescent="0.35">
      <c r="A97" s="483" t="s">
        <v>541</v>
      </c>
      <c r="B97" s="70"/>
      <c r="C97" s="70">
        <v>5002</v>
      </c>
      <c r="D97" s="70"/>
    </row>
    <row r="98" spans="1:4" x14ac:dyDescent="0.35">
      <c r="A98" s="484" t="s">
        <v>468</v>
      </c>
      <c r="B98" s="70"/>
      <c r="C98" s="70">
        <v>20828</v>
      </c>
      <c r="D98" s="70"/>
    </row>
    <row r="99" spans="1:4" x14ac:dyDescent="0.35">
      <c r="A99" s="484" t="s">
        <v>646</v>
      </c>
      <c r="B99" s="70"/>
      <c r="C99" s="70">
        <v>6681</v>
      </c>
      <c r="D99" s="70"/>
    </row>
    <row r="100" spans="1:4" ht="63" x14ac:dyDescent="0.35">
      <c r="A100" s="484" t="s">
        <v>647</v>
      </c>
      <c r="B100" s="70"/>
      <c r="C100" s="70">
        <v>37585</v>
      </c>
      <c r="D100" s="70"/>
    </row>
    <row r="101" spans="1:4" x14ac:dyDescent="0.35">
      <c r="A101" s="484" t="s">
        <v>629</v>
      </c>
      <c r="B101" s="70"/>
      <c r="C101" s="70">
        <v>1626</v>
      </c>
      <c r="D101" s="70"/>
    </row>
    <row r="102" spans="1:4" x14ac:dyDescent="0.35">
      <c r="A102" s="484" t="s">
        <v>648</v>
      </c>
      <c r="B102" s="70"/>
      <c r="C102" s="70">
        <v>59209</v>
      </c>
      <c r="D102" s="70"/>
    </row>
    <row r="103" spans="1:4" x14ac:dyDescent="0.35">
      <c r="A103" s="484" t="s">
        <v>649</v>
      </c>
      <c r="B103" s="70"/>
      <c r="C103" s="70">
        <v>3116</v>
      </c>
      <c r="D103" s="70"/>
    </row>
    <row r="104" spans="1:4" x14ac:dyDescent="0.35">
      <c r="A104" s="484" t="s">
        <v>631</v>
      </c>
      <c r="B104" s="70"/>
      <c r="C104" s="70">
        <v>660352</v>
      </c>
      <c r="D104" s="70"/>
    </row>
    <row r="105" spans="1:4" ht="42" x14ac:dyDescent="0.35">
      <c r="A105" s="484" t="s">
        <v>632</v>
      </c>
      <c r="B105" s="70"/>
      <c r="C105" s="70">
        <v>638723</v>
      </c>
      <c r="D105" s="70"/>
    </row>
    <row r="106" spans="1:4" ht="42" x14ac:dyDescent="0.35">
      <c r="A106" s="484" t="s">
        <v>633</v>
      </c>
      <c r="B106" s="70"/>
      <c r="C106" s="70">
        <v>500925</v>
      </c>
      <c r="D106" s="70"/>
    </row>
    <row r="107" spans="1:4" x14ac:dyDescent="0.35">
      <c r="A107" s="484" t="s">
        <v>691</v>
      </c>
      <c r="B107" s="70"/>
      <c r="C107" s="70"/>
      <c r="D107" s="70">
        <v>1732</v>
      </c>
    </row>
    <row r="108" spans="1:4" ht="42" x14ac:dyDescent="0.35">
      <c r="A108" s="484" t="s">
        <v>692</v>
      </c>
      <c r="B108" s="70"/>
      <c r="C108" s="70"/>
      <c r="D108" s="70">
        <v>1000</v>
      </c>
    </row>
    <row r="109" spans="1:4" ht="42" x14ac:dyDescent="0.35">
      <c r="A109" s="484" t="s">
        <v>693</v>
      </c>
      <c r="B109" s="70"/>
      <c r="C109" s="70"/>
      <c r="D109" s="70">
        <v>2050</v>
      </c>
    </row>
    <row r="110" spans="1:4" x14ac:dyDescent="0.35">
      <c r="A110" s="484" t="s">
        <v>694</v>
      </c>
      <c r="B110" s="70"/>
      <c r="C110" s="70"/>
      <c r="D110" s="70">
        <v>1246</v>
      </c>
    </row>
    <row r="111" spans="1:4" x14ac:dyDescent="0.35">
      <c r="A111" s="484" t="s">
        <v>650</v>
      </c>
      <c r="B111" s="70"/>
      <c r="C111" s="70">
        <v>347</v>
      </c>
      <c r="D111" s="70"/>
    </row>
    <row r="112" spans="1:4" s="196" customFormat="1" ht="21.75" thickBot="1" x14ac:dyDescent="0.4">
      <c r="A112" s="469" t="s">
        <v>202</v>
      </c>
      <c r="B112" s="49">
        <f>SUM(B91:B111)</f>
        <v>76672</v>
      </c>
      <c r="C112" s="49">
        <f>SUM(C91:C111)</f>
        <v>1984839</v>
      </c>
      <c r="D112" s="49">
        <f>SUM(D91:D111)</f>
        <v>1946775</v>
      </c>
    </row>
    <row r="113" spans="1:4" s="196" customFormat="1" ht="21.75" thickBot="1" x14ac:dyDescent="0.4">
      <c r="A113" s="485" t="s">
        <v>117</v>
      </c>
      <c r="B113" s="83">
        <f>B16+B89+B112</f>
        <v>8335194</v>
      </c>
      <c r="C113" s="83">
        <f>C16+C89+C112</f>
        <v>12484599</v>
      </c>
      <c r="D113" s="83">
        <f>D16+D89+D112</f>
        <v>9319775</v>
      </c>
    </row>
    <row r="114" spans="1:4" s="487" customFormat="1" ht="44.25" customHeight="1" thickBot="1" x14ac:dyDescent="0.4">
      <c r="A114" s="486" t="s">
        <v>290</v>
      </c>
      <c r="B114" s="84">
        <f>B113+B8</f>
        <v>11678266</v>
      </c>
      <c r="C114" s="84">
        <f>C113+C8</f>
        <v>16063475</v>
      </c>
      <c r="D114" s="84">
        <f>D113+D8</f>
        <v>12726120</v>
      </c>
    </row>
    <row r="116" spans="1:4" ht="21.75" thickBot="1" x14ac:dyDescent="0.4">
      <c r="A116" s="439" t="s">
        <v>80</v>
      </c>
      <c r="B116" s="465"/>
      <c r="C116" s="465"/>
      <c r="D116" s="489"/>
    </row>
    <row r="117" spans="1:4" x14ac:dyDescent="0.35">
      <c r="A117" s="451" t="s">
        <v>157</v>
      </c>
      <c r="B117" s="202" t="s">
        <v>445</v>
      </c>
      <c r="C117" s="202" t="s">
        <v>612</v>
      </c>
      <c r="D117" s="202" t="s">
        <v>467</v>
      </c>
    </row>
    <row r="118" spans="1:4" ht="21.75" thickBot="1" x14ac:dyDescent="0.4">
      <c r="A118" s="490"/>
      <c r="B118" s="397" t="s">
        <v>336</v>
      </c>
      <c r="C118" s="397" t="s">
        <v>350</v>
      </c>
      <c r="D118" s="397" t="s">
        <v>336</v>
      </c>
    </row>
    <row r="119" spans="1:4" x14ac:dyDescent="0.35">
      <c r="A119" s="491" t="s">
        <v>503</v>
      </c>
      <c r="B119" s="175">
        <v>0</v>
      </c>
      <c r="C119" s="175">
        <v>7732</v>
      </c>
      <c r="D119" s="175">
        <v>0</v>
      </c>
    </row>
    <row r="120" spans="1:4" ht="21.75" thickBot="1" x14ac:dyDescent="0.4">
      <c r="A120" s="476" t="s">
        <v>4</v>
      </c>
      <c r="B120" s="70">
        <v>72163</v>
      </c>
      <c r="C120" s="70">
        <v>112037</v>
      </c>
      <c r="D120" s="70">
        <f>75200+19955</f>
        <v>95155</v>
      </c>
    </row>
    <row r="121" spans="1:4" s="196" customFormat="1" ht="42.75" customHeight="1" thickBot="1" x14ac:dyDescent="0.4">
      <c r="A121" s="492" t="s">
        <v>289</v>
      </c>
      <c r="B121" s="77">
        <f>B119+B120</f>
        <v>72163</v>
      </c>
      <c r="C121" s="77">
        <f>C119+C120</f>
        <v>119769</v>
      </c>
      <c r="D121" s="77">
        <f>D119+D120</f>
        <v>95155</v>
      </c>
    </row>
    <row r="122" spans="1:4" ht="21.75" thickBot="1" x14ac:dyDescent="0.4">
      <c r="A122" s="493"/>
      <c r="D122" s="85"/>
    </row>
    <row r="123" spans="1:4" s="196" customFormat="1" ht="41.25" customHeight="1" thickBot="1" x14ac:dyDescent="0.4">
      <c r="A123" s="492" t="s">
        <v>291</v>
      </c>
      <c r="B123" s="77">
        <f>B114+B121</f>
        <v>11750429</v>
      </c>
      <c r="C123" s="77">
        <f>C114+C121</f>
        <v>16183244</v>
      </c>
      <c r="D123" s="77">
        <f>D114+D121</f>
        <v>12821275</v>
      </c>
    </row>
    <row r="125" spans="1:4" x14ac:dyDescent="0.35">
      <c r="A125" s="488" t="s">
        <v>72</v>
      </c>
      <c r="D125" s="455"/>
    </row>
    <row r="126" spans="1:4" x14ac:dyDescent="0.35">
      <c r="A126" s="488" t="s">
        <v>73</v>
      </c>
    </row>
  </sheetData>
  <customSheetViews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50" orientation="portrait" r:id="rId3"/>
  <headerFooter alignWithMargins="0">
    <oddHeader xml:space="preserve">&amp;R&amp;"-,Félkövér"&amp;12 
13. melléklet a 3/2026. (II.27.) önkormányzati rendelethe&amp;"Times New Roman CE,Félkövér"z
</oddHeader>
  </headerFooter>
  <rowBreaks count="1" manualBreakCount="1">
    <brk id="64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5"/>
  <sheetViews>
    <sheetView zoomScale="89" zoomScaleNormal="89" workbookViewId="0">
      <selection activeCell="A8" sqref="A8"/>
    </sheetView>
  </sheetViews>
  <sheetFormatPr defaultColWidth="9.33203125" defaultRowHeight="21" x14ac:dyDescent="0.35"/>
  <cols>
    <col min="1" max="1" width="88.6640625" style="2" customWidth="1"/>
    <col min="2" max="2" width="39.6640625" style="2" customWidth="1"/>
    <col min="3" max="3" width="39.1640625" style="2" customWidth="1"/>
    <col min="4" max="4" width="38.1640625" style="2" bestFit="1" customWidth="1"/>
    <col min="5" max="6" width="9.33203125" style="2"/>
    <col min="7" max="7" width="11.33203125" style="2" bestFit="1" customWidth="1"/>
    <col min="8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570</v>
      </c>
      <c r="B2" s="928"/>
      <c r="C2" s="928"/>
      <c r="D2" s="928"/>
    </row>
    <row r="3" spans="1:4" x14ac:dyDescent="0.35">
      <c r="A3" s="52" t="s">
        <v>12</v>
      </c>
      <c r="B3" s="52"/>
      <c r="C3" s="52"/>
      <c r="D3" s="52"/>
    </row>
    <row r="4" spans="1:4" ht="21.75" thickBot="1" x14ac:dyDescent="0.4">
      <c r="D4" s="331" t="s">
        <v>204</v>
      </c>
    </row>
    <row r="5" spans="1:4" x14ac:dyDescent="0.35">
      <c r="A5" s="40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06"/>
      <c r="B6" s="205" t="s">
        <v>336</v>
      </c>
      <c r="C6" s="205" t="s">
        <v>350</v>
      </c>
      <c r="D6" s="205" t="s">
        <v>336</v>
      </c>
    </row>
    <row r="7" spans="1:4" x14ac:dyDescent="0.35">
      <c r="A7" s="494" t="s">
        <v>569</v>
      </c>
      <c r="B7" s="47">
        <v>18500</v>
      </c>
      <c r="C7" s="47">
        <v>25881</v>
      </c>
      <c r="D7" s="47">
        <f>18500+2000</f>
        <v>20500</v>
      </c>
    </row>
    <row r="8" spans="1:4" x14ac:dyDescent="0.35">
      <c r="A8" s="458" t="s">
        <v>439</v>
      </c>
      <c r="B8" s="7">
        <v>4000</v>
      </c>
      <c r="C8" s="7">
        <v>4000</v>
      </c>
      <c r="D8" s="7">
        <f>4000+2000</f>
        <v>6000</v>
      </c>
    </row>
    <row r="9" spans="1:4" x14ac:dyDescent="0.35">
      <c r="A9" s="458" t="s">
        <v>703</v>
      </c>
      <c r="B9" s="5">
        <v>9200</v>
      </c>
      <c r="C9" s="5">
        <v>15700</v>
      </c>
      <c r="D9" s="5">
        <v>9200</v>
      </c>
    </row>
    <row r="10" spans="1:4" x14ac:dyDescent="0.35">
      <c r="A10" s="416" t="s">
        <v>568</v>
      </c>
      <c r="B10" s="5">
        <v>420000</v>
      </c>
      <c r="C10" s="5">
        <v>560000</v>
      </c>
      <c r="D10" s="5">
        <v>420000</v>
      </c>
    </row>
    <row r="11" spans="1:4" ht="42.6" customHeight="1" x14ac:dyDescent="0.35">
      <c r="A11" s="458" t="s">
        <v>567</v>
      </c>
      <c r="B11" s="7">
        <v>297000</v>
      </c>
      <c r="C11" s="7">
        <v>297000</v>
      </c>
      <c r="D11" s="7">
        <f>297000-15000</f>
        <v>282000</v>
      </c>
    </row>
    <row r="12" spans="1:4" x14ac:dyDescent="0.35">
      <c r="A12" s="495" t="s">
        <v>269</v>
      </c>
      <c r="B12" s="5">
        <v>40000</v>
      </c>
      <c r="C12" s="5">
        <v>40000</v>
      </c>
      <c r="D12" s="5">
        <f>40000-20000</f>
        <v>20000</v>
      </c>
    </row>
    <row r="13" spans="1:4" x14ac:dyDescent="0.35">
      <c r="A13" s="402" t="s">
        <v>404</v>
      </c>
      <c r="B13" s="7">
        <v>55500</v>
      </c>
      <c r="C13" s="7">
        <v>55500</v>
      </c>
      <c r="D13" s="7">
        <v>55500</v>
      </c>
    </row>
    <row r="14" spans="1:4" x14ac:dyDescent="0.35">
      <c r="A14" s="402" t="s">
        <v>572</v>
      </c>
      <c r="B14" s="7">
        <v>50000</v>
      </c>
      <c r="C14" s="7">
        <v>98000</v>
      </c>
      <c r="D14" s="7">
        <f>50000+50000</f>
        <v>100000</v>
      </c>
    </row>
    <row r="15" spans="1:4" ht="42" x14ac:dyDescent="0.35">
      <c r="A15" s="402" t="s">
        <v>566</v>
      </c>
      <c r="B15" s="7">
        <v>8268</v>
      </c>
      <c r="C15" s="7">
        <v>8268</v>
      </c>
      <c r="D15" s="7">
        <v>8268</v>
      </c>
    </row>
    <row r="16" spans="1:4" ht="42" x14ac:dyDescent="0.35">
      <c r="A16" s="402" t="s">
        <v>565</v>
      </c>
      <c r="B16" s="7">
        <v>8220</v>
      </c>
      <c r="C16" s="7">
        <v>8220</v>
      </c>
      <c r="D16" s="7">
        <v>8220</v>
      </c>
    </row>
    <row r="17" spans="1:4" ht="42" x14ac:dyDescent="0.35">
      <c r="A17" s="402" t="s">
        <v>434</v>
      </c>
      <c r="B17" s="10">
        <v>200</v>
      </c>
      <c r="C17" s="10">
        <v>1719</v>
      </c>
      <c r="D17" s="10">
        <v>200</v>
      </c>
    </row>
    <row r="18" spans="1:4" x14ac:dyDescent="0.35">
      <c r="A18" s="402" t="s">
        <v>564</v>
      </c>
      <c r="B18" s="10">
        <v>5000</v>
      </c>
      <c r="C18" s="10">
        <v>5000</v>
      </c>
      <c r="D18" s="10">
        <f>5000+5000</f>
        <v>10000</v>
      </c>
    </row>
    <row r="19" spans="1:4" x14ac:dyDescent="0.35">
      <c r="A19" s="422" t="s">
        <v>563</v>
      </c>
      <c r="B19" s="7">
        <v>1089</v>
      </c>
      <c r="C19" s="7">
        <v>1227</v>
      </c>
      <c r="D19" s="7">
        <v>1089</v>
      </c>
    </row>
    <row r="20" spans="1:4" x14ac:dyDescent="0.35">
      <c r="A20" s="422" t="s">
        <v>545</v>
      </c>
      <c r="B20" s="7">
        <v>0</v>
      </c>
      <c r="C20" s="7">
        <v>7000</v>
      </c>
      <c r="D20" s="7">
        <v>0</v>
      </c>
    </row>
    <row r="21" spans="1:4" x14ac:dyDescent="0.35">
      <c r="A21" s="422" t="s">
        <v>573</v>
      </c>
      <c r="B21" s="7">
        <v>0</v>
      </c>
      <c r="C21" s="7">
        <v>83000</v>
      </c>
      <c r="D21" s="7">
        <v>20000</v>
      </c>
    </row>
    <row r="22" spans="1:4" x14ac:dyDescent="0.35">
      <c r="A22" s="422" t="s">
        <v>460</v>
      </c>
      <c r="B22" s="7">
        <v>1000</v>
      </c>
      <c r="C22" s="7">
        <v>1000</v>
      </c>
      <c r="D22" s="7">
        <f>1000-1000+1000</f>
        <v>1000</v>
      </c>
    </row>
    <row r="23" spans="1:4" x14ac:dyDescent="0.35">
      <c r="A23" s="422" t="s">
        <v>717</v>
      </c>
      <c r="B23" s="7"/>
      <c r="C23" s="7"/>
      <c r="D23" s="7">
        <v>4000</v>
      </c>
    </row>
    <row r="24" spans="1:4" ht="21.75" thickBot="1" x14ac:dyDescent="0.4">
      <c r="A24" s="422" t="s">
        <v>589</v>
      </c>
      <c r="B24" s="7">
        <v>19000</v>
      </c>
      <c r="C24" s="7">
        <v>19000</v>
      </c>
      <c r="D24" s="7">
        <v>19000</v>
      </c>
    </row>
    <row r="25" spans="1:4" ht="21.75" thickBot="1" x14ac:dyDescent="0.4">
      <c r="A25" s="408" t="s">
        <v>562</v>
      </c>
      <c r="B25" s="17">
        <f>SUM(B7:B24)</f>
        <v>936977</v>
      </c>
      <c r="C25" s="17">
        <f>SUM(C7:C24)</f>
        <v>1230515</v>
      </c>
      <c r="D25" s="17">
        <f>SUM(D7:D24)</f>
        <v>984977</v>
      </c>
    </row>
    <row r="27" spans="1:4" x14ac:dyDescent="0.35">
      <c r="A27" s="52" t="s">
        <v>72</v>
      </c>
      <c r="B27" s="52"/>
      <c r="C27" s="52"/>
      <c r="D27" s="409"/>
    </row>
    <row r="28" spans="1:4" x14ac:dyDescent="0.35">
      <c r="A28" s="52" t="s">
        <v>73</v>
      </c>
      <c r="B28" s="52"/>
      <c r="C28" s="52"/>
      <c r="D28" s="52"/>
    </row>
    <row r="30" spans="1:4" x14ac:dyDescent="0.35">
      <c r="D30" s="4"/>
    </row>
    <row r="31" spans="1:4" x14ac:dyDescent="0.35">
      <c r="D31" s="4"/>
    </row>
    <row r="32" spans="1:4" x14ac:dyDescent="0.35">
      <c r="D32" s="4"/>
    </row>
    <row r="33" spans="4:4" x14ac:dyDescent="0.35">
      <c r="D33" s="4"/>
    </row>
    <row r="34" spans="4:4" x14ac:dyDescent="0.35">
      <c r="D34" s="19"/>
    </row>
    <row r="35" spans="4:4" x14ac:dyDescent="0.35">
      <c r="D35" s="4"/>
    </row>
    <row r="36" spans="4:4" x14ac:dyDescent="0.35">
      <c r="D36" s="4"/>
    </row>
    <row r="37" spans="4:4" x14ac:dyDescent="0.35">
      <c r="D37" s="4"/>
    </row>
    <row r="38" spans="4:4" x14ac:dyDescent="0.35">
      <c r="D38" s="4"/>
    </row>
    <row r="41" spans="4:4" x14ac:dyDescent="0.35">
      <c r="D41" s="4"/>
    </row>
    <row r="45" spans="4:4" x14ac:dyDescent="0.35">
      <c r="D45" s="496"/>
    </row>
  </sheetData>
  <mergeCells count="1">
    <mergeCell ref="A2:D2"/>
  </mergeCells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1"/>
  <headerFooter alignWithMargins="0">
    <oddHeader xml:space="preserve">&amp;R&amp;"-,Félkövér"&amp;12 14. melléklet a 3/2026. (II.27.) önkormányzati rendelethez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8"/>
  <dimension ref="A1:D32"/>
  <sheetViews>
    <sheetView zoomScale="87" zoomScaleNormal="87" workbookViewId="0">
      <selection activeCell="B25" sqref="B25"/>
    </sheetView>
  </sheetViews>
  <sheetFormatPr defaultColWidth="9.33203125" defaultRowHeight="21" x14ac:dyDescent="0.35"/>
  <cols>
    <col min="1" max="1" width="97.6640625" style="2" customWidth="1"/>
    <col min="2" max="2" width="38.83203125" style="2" customWidth="1"/>
    <col min="3" max="4" width="39.1640625" style="2" customWidth="1"/>
    <col min="5" max="16384" width="9.33203125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89</v>
      </c>
      <c r="B2" s="928"/>
      <c r="C2" s="928"/>
      <c r="D2" s="928"/>
    </row>
    <row r="3" spans="1:4" x14ac:dyDescent="0.35">
      <c r="B3" s="195"/>
      <c r="C3" s="195"/>
      <c r="D3" s="195"/>
    </row>
    <row r="4" spans="1:4" ht="21.75" thickBot="1" x14ac:dyDescent="0.4">
      <c r="A4" s="329"/>
      <c r="D4" s="497" t="s">
        <v>204</v>
      </c>
    </row>
    <row r="5" spans="1:4" x14ac:dyDescent="0.35">
      <c r="A5" s="40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06"/>
      <c r="B6" s="397" t="s">
        <v>336</v>
      </c>
      <c r="C6" s="397" t="s">
        <v>350</v>
      </c>
      <c r="D6" s="397" t="s">
        <v>336</v>
      </c>
    </row>
    <row r="7" spans="1:4" x14ac:dyDescent="0.35">
      <c r="A7" s="913" t="s">
        <v>369</v>
      </c>
      <c r="B7" s="87">
        <v>300000</v>
      </c>
      <c r="C7" s="87">
        <v>374911</v>
      </c>
      <c r="D7" s="87">
        <f>300000+40000</f>
        <v>340000</v>
      </c>
    </row>
    <row r="8" spans="1:4" x14ac:dyDescent="0.35">
      <c r="A8" s="914" t="s">
        <v>429</v>
      </c>
      <c r="B8" s="87"/>
      <c r="C8" s="87"/>
      <c r="D8" s="87">
        <f>1414000+100000+73651</f>
        <v>1587651</v>
      </c>
    </row>
    <row r="9" spans="1:4" ht="42" x14ac:dyDescent="0.35">
      <c r="A9" s="914" t="s">
        <v>561</v>
      </c>
      <c r="B9" s="87">
        <v>500000</v>
      </c>
      <c r="C9" s="87">
        <v>572565</v>
      </c>
      <c r="D9" s="87">
        <v>500000</v>
      </c>
    </row>
    <row r="10" spans="1:4" x14ac:dyDescent="0.35">
      <c r="A10" s="914" t="s">
        <v>301</v>
      </c>
      <c r="B10" s="87">
        <v>5000</v>
      </c>
      <c r="C10" s="87">
        <v>9985</v>
      </c>
      <c r="D10" s="87">
        <v>5000</v>
      </c>
    </row>
    <row r="11" spans="1:4" x14ac:dyDescent="0.35">
      <c r="A11" s="914" t="s">
        <v>74</v>
      </c>
      <c r="B11" s="87"/>
      <c r="C11" s="87">
        <v>3933</v>
      </c>
      <c r="D11" s="87"/>
    </row>
    <row r="12" spans="1:4" x14ac:dyDescent="0.35">
      <c r="A12" s="914" t="s">
        <v>405</v>
      </c>
      <c r="B12" s="87">
        <v>550000</v>
      </c>
      <c r="C12" s="87">
        <v>609162</v>
      </c>
      <c r="D12" s="87">
        <f>550000-550000</f>
        <v>0</v>
      </c>
    </row>
    <row r="13" spans="1:4" x14ac:dyDescent="0.35">
      <c r="A13" s="915" t="s">
        <v>610</v>
      </c>
      <c r="B13" s="193"/>
      <c r="C13" s="193"/>
      <c r="D13" s="193">
        <v>513503</v>
      </c>
    </row>
    <row r="14" spans="1:4" x14ac:dyDescent="0.35">
      <c r="A14" s="916" t="s">
        <v>484</v>
      </c>
      <c r="B14" s="28">
        <v>11000</v>
      </c>
      <c r="C14" s="28">
        <v>7981</v>
      </c>
      <c r="D14" s="28">
        <v>11000</v>
      </c>
    </row>
    <row r="15" spans="1:4" x14ac:dyDescent="0.35">
      <c r="A15" s="917" t="s">
        <v>700</v>
      </c>
      <c r="B15" s="87">
        <v>1200</v>
      </c>
      <c r="C15" s="87">
        <v>2719</v>
      </c>
      <c r="D15" s="87">
        <f>1200+2800</f>
        <v>4000</v>
      </c>
    </row>
    <row r="16" spans="1:4" x14ac:dyDescent="0.35">
      <c r="A16" s="917" t="s">
        <v>83</v>
      </c>
      <c r="B16" s="87">
        <v>2600</v>
      </c>
      <c r="C16" s="87">
        <v>7136</v>
      </c>
      <c r="D16" s="87">
        <v>2600</v>
      </c>
    </row>
    <row r="17" spans="1:4" x14ac:dyDescent="0.35">
      <c r="A17" s="917" t="s">
        <v>114</v>
      </c>
      <c r="B17" s="87">
        <v>3000</v>
      </c>
      <c r="C17" s="87">
        <v>5860</v>
      </c>
      <c r="D17" s="87">
        <v>3000</v>
      </c>
    </row>
    <row r="18" spans="1:4" x14ac:dyDescent="0.35">
      <c r="A18" s="917" t="s">
        <v>342</v>
      </c>
      <c r="B18" s="87">
        <v>6500</v>
      </c>
      <c r="C18" s="87">
        <v>8937</v>
      </c>
      <c r="D18" s="87">
        <v>6500</v>
      </c>
    </row>
    <row r="19" spans="1:4" x14ac:dyDescent="0.35">
      <c r="A19" s="917" t="s">
        <v>184</v>
      </c>
      <c r="B19" s="87">
        <v>4000</v>
      </c>
      <c r="C19" s="87">
        <v>4000</v>
      </c>
      <c r="D19" s="87">
        <v>4000</v>
      </c>
    </row>
    <row r="20" spans="1:4" x14ac:dyDescent="0.35">
      <c r="A20" s="917" t="s">
        <v>42</v>
      </c>
      <c r="B20" s="87">
        <v>66000</v>
      </c>
      <c r="C20" s="87">
        <v>85254</v>
      </c>
      <c r="D20" s="87">
        <v>66000</v>
      </c>
    </row>
    <row r="21" spans="1:4" x14ac:dyDescent="0.35">
      <c r="A21" s="401" t="s">
        <v>651</v>
      </c>
      <c r="B21" s="28"/>
      <c r="C21" s="28">
        <v>109244</v>
      </c>
      <c r="D21" s="28"/>
    </row>
    <row r="22" spans="1:4" ht="42.75" thickBot="1" x14ac:dyDescent="0.4">
      <c r="A22" s="401" t="s">
        <v>529</v>
      </c>
      <c r="B22" s="28">
        <v>28632</v>
      </c>
      <c r="C22" s="28">
        <v>28632</v>
      </c>
      <c r="D22" s="28">
        <v>28632</v>
      </c>
    </row>
    <row r="23" spans="1:4" ht="21.75" thickBot="1" x14ac:dyDescent="0.4">
      <c r="A23" s="918" t="s">
        <v>90</v>
      </c>
      <c r="B23" s="17">
        <f>SUM(B7:B22)</f>
        <v>1477932</v>
      </c>
      <c r="C23" s="17">
        <f>SUM(C7:C22)</f>
        <v>1830319</v>
      </c>
      <c r="D23" s="17">
        <f>SUM(D7:D22)</f>
        <v>3071886</v>
      </c>
    </row>
    <row r="24" spans="1:4" x14ac:dyDescent="0.35">
      <c r="A24" s="919" t="s">
        <v>91</v>
      </c>
      <c r="B24" s="88">
        <v>1000</v>
      </c>
      <c r="C24" s="88">
        <v>1330</v>
      </c>
      <c r="D24" s="88">
        <v>1000</v>
      </c>
    </row>
    <row r="25" spans="1:4" x14ac:dyDescent="0.35">
      <c r="A25" s="401" t="s">
        <v>485</v>
      </c>
      <c r="B25" s="29">
        <v>5000</v>
      </c>
      <c r="C25" s="28">
        <v>9997</v>
      </c>
      <c r="D25" s="29">
        <v>5000</v>
      </c>
    </row>
    <row r="26" spans="1:4" x14ac:dyDescent="0.35">
      <c r="A26" s="401" t="s">
        <v>253</v>
      </c>
      <c r="B26" s="42">
        <v>1900</v>
      </c>
      <c r="C26" s="28">
        <v>1900</v>
      </c>
      <c r="D26" s="42">
        <v>1900</v>
      </c>
    </row>
    <row r="27" spans="1:4" ht="42.75" thickBot="1" x14ac:dyDescent="0.4">
      <c r="A27" s="920" t="s">
        <v>530</v>
      </c>
      <c r="B27" s="42"/>
      <c r="C27" s="31">
        <v>2915</v>
      </c>
      <c r="D27" s="42"/>
    </row>
    <row r="28" spans="1:4" ht="42.75" thickBot="1" x14ac:dyDescent="0.4">
      <c r="A28" s="492" t="s">
        <v>292</v>
      </c>
      <c r="B28" s="17">
        <f>SUM(B23:B27)</f>
        <v>1485832</v>
      </c>
      <c r="C28" s="17">
        <f>SUM(C23:C27)</f>
        <v>1846461</v>
      </c>
      <c r="D28" s="17">
        <f>SUM(D23:D27)</f>
        <v>3079786</v>
      </c>
    </row>
    <row r="31" spans="1:4" x14ac:dyDescent="0.35">
      <c r="A31" s="52" t="s">
        <v>72</v>
      </c>
      <c r="D31" s="499"/>
    </row>
    <row r="32" spans="1:4" x14ac:dyDescent="0.35">
      <c r="A32" s="52" t="s">
        <v>73</v>
      </c>
    </row>
  </sheetData>
  <customSheetViews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51181102362204722" footer="0.51181102362204722"/>
  <pageSetup paperSize="9" scale="60" orientation="portrait" r:id="rId3"/>
  <headerFooter alignWithMargins="0">
    <oddHeader xml:space="preserve">&amp;R&amp;"Times New Roman CE,Félkövér"&amp;12 
&amp;"-,Félkövér"15. melléklet a 3/2026. (II.27.) önkormányzati rendelethez&amp;"Times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/>
  <dimension ref="A1:D38"/>
  <sheetViews>
    <sheetView zoomScale="87" zoomScaleNormal="87" workbookViewId="0">
      <selection activeCell="U16" sqref="U16"/>
    </sheetView>
  </sheetViews>
  <sheetFormatPr defaultColWidth="12" defaultRowHeight="21" x14ac:dyDescent="0.35"/>
  <cols>
    <col min="1" max="1" width="90" style="2" customWidth="1"/>
    <col min="2" max="2" width="34" style="2" customWidth="1"/>
    <col min="3" max="3" width="39.1640625" style="2" customWidth="1"/>
    <col min="4" max="4" width="38.33203125" style="2" bestFit="1" customWidth="1"/>
    <col min="5" max="16384" width="12" style="2"/>
  </cols>
  <sheetData>
    <row r="1" spans="1:4" x14ac:dyDescent="0.35">
      <c r="A1" s="195"/>
      <c r="B1" s="195"/>
      <c r="C1" s="195"/>
      <c r="D1" s="195"/>
    </row>
    <row r="2" spans="1:4" x14ac:dyDescent="0.35">
      <c r="A2" s="928" t="s">
        <v>102</v>
      </c>
      <c r="B2" s="928"/>
      <c r="C2" s="928"/>
      <c r="D2" s="928"/>
    </row>
    <row r="3" spans="1:4" x14ac:dyDescent="0.35">
      <c r="A3" s="195"/>
      <c r="B3" s="195"/>
      <c r="C3" s="195"/>
      <c r="D3" s="195"/>
    </row>
    <row r="4" spans="1:4" ht="21.75" thickBot="1" x14ac:dyDescent="0.4">
      <c r="A4" s="330"/>
      <c r="B4" s="52"/>
      <c r="C4" s="52"/>
      <c r="D4" s="331" t="s">
        <v>204</v>
      </c>
    </row>
    <row r="5" spans="1:4" s="62" customFormat="1" x14ac:dyDescent="0.35">
      <c r="A5" s="500" t="s">
        <v>157</v>
      </c>
      <c r="B5" s="202" t="s">
        <v>445</v>
      </c>
      <c r="C5" s="202" t="s">
        <v>612</v>
      </c>
      <c r="D5" s="202" t="s">
        <v>467</v>
      </c>
    </row>
    <row r="6" spans="1:4" s="62" customFormat="1" ht="21.75" thickBot="1" x14ac:dyDescent="0.4">
      <c r="A6" s="501"/>
      <c r="B6" s="397" t="s">
        <v>336</v>
      </c>
      <c r="C6" s="397" t="s">
        <v>350</v>
      </c>
      <c r="D6" s="397" t="s">
        <v>336</v>
      </c>
    </row>
    <row r="7" spans="1:4" x14ac:dyDescent="0.35">
      <c r="A7" s="87" t="s">
        <v>75</v>
      </c>
      <c r="B7" s="177">
        <v>40000</v>
      </c>
      <c r="C7" s="87">
        <v>20000</v>
      </c>
      <c r="D7" s="177">
        <v>40000</v>
      </c>
    </row>
    <row r="8" spans="1:4" x14ac:dyDescent="0.35">
      <c r="A8" s="502" t="s">
        <v>179</v>
      </c>
      <c r="B8" s="90">
        <v>15000</v>
      </c>
      <c r="C8" s="89">
        <v>28000</v>
      </c>
      <c r="D8" s="90">
        <v>15000</v>
      </c>
    </row>
    <row r="9" spans="1:4" x14ac:dyDescent="0.35">
      <c r="A9" s="502" t="s">
        <v>1</v>
      </c>
      <c r="B9" s="90">
        <v>5000</v>
      </c>
      <c r="C9" s="89"/>
      <c r="D9" s="90">
        <v>5000</v>
      </c>
    </row>
    <row r="10" spans="1:4" x14ac:dyDescent="0.35">
      <c r="A10" s="502" t="s">
        <v>331</v>
      </c>
      <c r="B10" s="90">
        <v>100000</v>
      </c>
      <c r="C10" s="89">
        <v>160368</v>
      </c>
      <c r="D10" s="90">
        <v>100000</v>
      </c>
    </row>
    <row r="11" spans="1:4" x14ac:dyDescent="0.35">
      <c r="A11" s="502" t="s">
        <v>296</v>
      </c>
      <c r="B11" s="90">
        <v>20000</v>
      </c>
      <c r="C11" s="89">
        <v>22147</v>
      </c>
      <c r="D11" s="90">
        <v>20000</v>
      </c>
    </row>
    <row r="12" spans="1:4" x14ac:dyDescent="0.35">
      <c r="A12" s="503" t="s">
        <v>387</v>
      </c>
      <c r="B12" s="90">
        <v>6000</v>
      </c>
      <c r="C12" s="89">
        <v>22129</v>
      </c>
      <c r="D12" s="90">
        <v>6000</v>
      </c>
    </row>
    <row r="13" spans="1:4" x14ac:dyDescent="0.35">
      <c r="A13" s="504" t="s">
        <v>388</v>
      </c>
      <c r="B13" s="90">
        <v>5000</v>
      </c>
      <c r="C13" s="89"/>
      <c r="D13" s="90">
        <v>5000</v>
      </c>
    </row>
    <row r="14" spans="1:4" x14ac:dyDescent="0.35">
      <c r="A14" s="502" t="s">
        <v>43</v>
      </c>
      <c r="B14" s="90">
        <v>800</v>
      </c>
      <c r="C14" s="89">
        <v>2775</v>
      </c>
      <c r="D14" s="90">
        <v>800</v>
      </c>
    </row>
    <row r="15" spans="1:4" x14ac:dyDescent="0.35">
      <c r="A15" s="502" t="s">
        <v>2</v>
      </c>
      <c r="B15" s="90">
        <v>6000</v>
      </c>
      <c r="C15" s="89">
        <v>10397</v>
      </c>
      <c r="D15" s="90">
        <v>6000</v>
      </c>
    </row>
    <row r="16" spans="1:4" x14ac:dyDescent="0.35">
      <c r="A16" s="502" t="s">
        <v>95</v>
      </c>
      <c r="B16" s="90">
        <v>0</v>
      </c>
      <c r="C16" s="89">
        <v>6783</v>
      </c>
      <c r="D16" s="90">
        <v>0</v>
      </c>
    </row>
    <row r="17" spans="1:4" x14ac:dyDescent="0.35">
      <c r="A17" s="502" t="s">
        <v>180</v>
      </c>
      <c r="B17" s="90">
        <v>0</v>
      </c>
      <c r="C17" s="89">
        <v>104814</v>
      </c>
      <c r="D17" s="90">
        <v>0</v>
      </c>
    </row>
    <row r="18" spans="1:4" x14ac:dyDescent="0.35">
      <c r="A18" s="502" t="s">
        <v>486</v>
      </c>
      <c r="B18" s="90">
        <v>35000</v>
      </c>
      <c r="C18" s="89">
        <v>46036</v>
      </c>
      <c r="D18" s="90">
        <v>35000</v>
      </c>
    </row>
    <row r="19" spans="1:4" x14ac:dyDescent="0.35">
      <c r="A19" s="502" t="s">
        <v>87</v>
      </c>
      <c r="B19" s="90">
        <v>21000</v>
      </c>
      <c r="C19" s="89">
        <v>26300</v>
      </c>
      <c r="D19" s="90">
        <v>21000</v>
      </c>
    </row>
    <row r="20" spans="1:4" ht="42" x14ac:dyDescent="0.35">
      <c r="A20" s="505" t="s">
        <v>409</v>
      </c>
      <c r="B20" s="90">
        <v>6000</v>
      </c>
      <c r="C20" s="89">
        <v>7954</v>
      </c>
      <c r="D20" s="90">
        <v>6000</v>
      </c>
    </row>
    <row r="21" spans="1:4" x14ac:dyDescent="0.35">
      <c r="A21" s="502" t="s">
        <v>487</v>
      </c>
      <c r="B21" s="90">
        <v>4000</v>
      </c>
      <c r="C21" s="89">
        <v>19200</v>
      </c>
      <c r="D21" s="90">
        <f>4000+12700+5000</f>
        <v>21700</v>
      </c>
    </row>
    <row r="22" spans="1:4" ht="42" x14ac:dyDescent="0.35">
      <c r="A22" s="504" t="s">
        <v>297</v>
      </c>
      <c r="B22" s="90">
        <v>3000</v>
      </c>
      <c r="C22" s="89">
        <v>9151</v>
      </c>
      <c r="D22" s="90">
        <v>3000</v>
      </c>
    </row>
    <row r="23" spans="1:4" x14ac:dyDescent="0.35">
      <c r="A23" s="398" t="s">
        <v>704</v>
      </c>
      <c r="B23" s="90">
        <v>0</v>
      </c>
      <c r="C23" s="89">
        <v>32241</v>
      </c>
      <c r="D23" s="90">
        <v>0</v>
      </c>
    </row>
    <row r="24" spans="1:4" x14ac:dyDescent="0.35">
      <c r="A24" s="398" t="s">
        <v>652</v>
      </c>
      <c r="B24" s="90"/>
      <c r="C24" s="89">
        <v>3917</v>
      </c>
      <c r="D24" s="90">
        <v>0</v>
      </c>
    </row>
    <row r="25" spans="1:4" x14ac:dyDescent="0.35">
      <c r="A25" s="398" t="s">
        <v>466</v>
      </c>
      <c r="B25" s="90">
        <v>10000</v>
      </c>
      <c r="C25" s="89">
        <v>10000</v>
      </c>
      <c r="D25" s="90">
        <f>10000-10000</f>
        <v>0</v>
      </c>
    </row>
    <row r="26" spans="1:4" x14ac:dyDescent="0.35">
      <c r="A26" s="502" t="s">
        <v>218</v>
      </c>
      <c r="B26" s="90">
        <v>1500</v>
      </c>
      <c r="C26" s="89">
        <v>3087</v>
      </c>
      <c r="D26" s="90">
        <v>1500</v>
      </c>
    </row>
    <row r="27" spans="1:4" x14ac:dyDescent="0.35">
      <c r="A27" s="505" t="s">
        <v>456</v>
      </c>
      <c r="B27" s="90">
        <v>10000</v>
      </c>
      <c r="C27" s="89">
        <v>31029</v>
      </c>
      <c r="D27" s="90">
        <v>10000</v>
      </c>
    </row>
    <row r="28" spans="1:4" x14ac:dyDescent="0.35">
      <c r="A28" s="505" t="s">
        <v>653</v>
      </c>
      <c r="B28" s="90"/>
      <c r="C28" s="89">
        <v>15875</v>
      </c>
      <c r="D28" s="90"/>
    </row>
    <row r="29" spans="1:4" ht="21.75" thickBot="1" x14ac:dyDescent="0.4">
      <c r="A29" s="506" t="s">
        <v>592</v>
      </c>
      <c r="B29" s="92">
        <v>79000</v>
      </c>
      <c r="C29" s="91">
        <v>114000</v>
      </c>
      <c r="D29" s="92">
        <f>79000+21000+60000-60000</f>
        <v>100000</v>
      </c>
    </row>
    <row r="30" spans="1:4" ht="21.75" thickBot="1" x14ac:dyDescent="0.4">
      <c r="A30" s="498" t="s">
        <v>293</v>
      </c>
      <c r="B30" s="17">
        <f>SUM(B7:B29)</f>
        <v>367300</v>
      </c>
      <c r="C30" s="17">
        <f>SUM(C7:C29)</f>
        <v>696203</v>
      </c>
      <c r="D30" s="17">
        <f>SUM(D7:D29)</f>
        <v>396000</v>
      </c>
    </row>
    <row r="33" spans="1:4" x14ac:dyDescent="0.35">
      <c r="A33" s="52" t="s">
        <v>72</v>
      </c>
      <c r="B33" s="52"/>
      <c r="C33" s="52"/>
      <c r="D33" s="507"/>
    </row>
    <row r="34" spans="1:4" x14ac:dyDescent="0.35">
      <c r="A34" s="52" t="s">
        <v>73</v>
      </c>
      <c r="B34" s="52"/>
      <c r="C34" s="52"/>
      <c r="D34" s="52"/>
    </row>
    <row r="38" spans="1:4" x14ac:dyDescent="0.35">
      <c r="B38" s="184"/>
    </row>
  </sheetData>
  <customSheetViews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3"/>
  <headerFooter alignWithMargins="0">
    <oddHeader xml:space="preserve">&amp;R&amp;"-,Félkövér"&amp;12 16. melléklet a 3/2026. (II.27.) önkormányzati rendelethez&amp;"Times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32"/>
  <dimension ref="A1:E56"/>
  <sheetViews>
    <sheetView topLeftCell="A24" zoomScale="75" zoomScaleNormal="75" workbookViewId="0">
      <selection activeCell="J47" sqref="J47"/>
    </sheetView>
  </sheetViews>
  <sheetFormatPr defaultColWidth="10.6640625" defaultRowHeight="21" x14ac:dyDescent="0.35"/>
  <cols>
    <col min="1" max="1" width="6" style="165" customWidth="1"/>
    <col min="2" max="2" width="138.1640625" style="15" customWidth="1"/>
    <col min="3" max="3" width="37.83203125" style="165" customWidth="1"/>
    <col min="4" max="4" width="39.1640625" style="165" customWidth="1"/>
    <col min="5" max="5" width="38.1640625" style="165" bestFit="1" customWidth="1"/>
    <col min="6" max="16384" width="10.6640625" style="165"/>
  </cols>
  <sheetData>
    <row r="1" spans="1:5" x14ac:dyDescent="0.35">
      <c r="A1" s="947" t="s">
        <v>133</v>
      </c>
      <c r="B1" s="947"/>
      <c r="C1" s="947"/>
      <c r="D1" s="947"/>
      <c r="E1" s="947"/>
    </row>
    <row r="2" spans="1:5" ht="21.75" thickBot="1" x14ac:dyDescent="0.4">
      <c r="B2" s="521"/>
      <c r="C2" s="508"/>
      <c r="D2" s="508"/>
      <c r="E2" s="331" t="s">
        <v>204</v>
      </c>
    </row>
    <row r="3" spans="1:5" ht="24" customHeight="1" x14ac:dyDescent="0.35">
      <c r="A3" s="509"/>
      <c r="B3" s="197" t="s">
        <v>157</v>
      </c>
      <c r="C3" s="202" t="s">
        <v>445</v>
      </c>
      <c r="D3" s="202" t="s">
        <v>612</v>
      </c>
      <c r="E3" s="202" t="s">
        <v>467</v>
      </c>
    </row>
    <row r="4" spans="1:5" ht="21.75" thickBot="1" x14ac:dyDescent="0.4">
      <c r="A4" s="510"/>
      <c r="B4" s="522"/>
      <c r="C4" s="205" t="s">
        <v>336</v>
      </c>
      <c r="D4" s="205" t="s">
        <v>350</v>
      </c>
      <c r="E4" s="205" t="s">
        <v>336</v>
      </c>
    </row>
    <row r="5" spans="1:5" x14ac:dyDescent="0.35">
      <c r="A5" s="512" t="s">
        <v>59</v>
      </c>
      <c r="B5" s="523"/>
      <c r="C5" s="173"/>
      <c r="D5" s="173"/>
      <c r="E5" s="173"/>
    </row>
    <row r="6" spans="1:5" x14ac:dyDescent="0.35">
      <c r="A6" s="187"/>
      <c r="B6" s="524" t="s">
        <v>654</v>
      </c>
      <c r="C6" s="94"/>
      <c r="D6" s="94">
        <v>225150</v>
      </c>
      <c r="E6" s="94"/>
    </row>
    <row r="7" spans="1:5" x14ac:dyDescent="0.35">
      <c r="A7" s="187"/>
      <c r="B7" s="525" t="s">
        <v>655</v>
      </c>
      <c r="C7" s="94"/>
      <c r="D7" s="94">
        <v>194800</v>
      </c>
      <c r="E7" s="94"/>
    </row>
    <row r="8" spans="1:5" x14ac:dyDescent="0.35">
      <c r="A8" s="187"/>
      <c r="B8" s="525" t="s">
        <v>656</v>
      </c>
      <c r="C8" s="94"/>
      <c r="D8" s="94">
        <v>358920</v>
      </c>
      <c r="E8" s="94"/>
    </row>
    <row r="9" spans="1:5" x14ac:dyDescent="0.35">
      <c r="A9" s="187"/>
      <c r="B9" s="525" t="s">
        <v>657</v>
      </c>
      <c r="C9" s="94"/>
      <c r="D9" s="94">
        <v>109473</v>
      </c>
      <c r="E9" s="94"/>
    </row>
    <row r="10" spans="1:5" x14ac:dyDescent="0.35">
      <c r="A10" s="187"/>
      <c r="B10" s="525" t="s">
        <v>658</v>
      </c>
      <c r="C10" s="94"/>
      <c r="D10" s="94">
        <v>647071</v>
      </c>
      <c r="E10" s="94"/>
    </row>
    <row r="11" spans="1:5" x14ac:dyDescent="0.35">
      <c r="A11" s="187"/>
      <c r="B11" s="525" t="s">
        <v>659</v>
      </c>
      <c r="C11" s="94"/>
      <c r="D11" s="94">
        <v>544045</v>
      </c>
      <c r="E11" s="94"/>
    </row>
    <row r="12" spans="1:5" x14ac:dyDescent="0.35">
      <c r="A12" s="187"/>
      <c r="B12" s="525" t="s">
        <v>660</v>
      </c>
      <c r="C12" s="94"/>
      <c r="D12" s="94">
        <v>194065</v>
      </c>
      <c r="E12" s="94"/>
    </row>
    <row r="13" spans="1:5" ht="36" customHeight="1" x14ac:dyDescent="0.35">
      <c r="A13" s="187"/>
      <c r="B13" s="634" t="s">
        <v>661</v>
      </c>
      <c r="C13" s="94"/>
      <c r="D13" s="94">
        <v>393968</v>
      </c>
      <c r="E13" s="94"/>
    </row>
    <row r="14" spans="1:5" x14ac:dyDescent="0.35">
      <c r="A14" s="187"/>
      <c r="B14" s="525" t="s">
        <v>662</v>
      </c>
      <c r="C14" s="94"/>
      <c r="D14" s="94">
        <v>44024</v>
      </c>
      <c r="E14" s="94"/>
    </row>
    <row r="15" spans="1:5" x14ac:dyDescent="0.35">
      <c r="A15" s="187"/>
      <c r="B15" s="525" t="s">
        <v>663</v>
      </c>
      <c r="C15" s="94"/>
      <c r="D15" s="94">
        <v>423301</v>
      </c>
      <c r="E15" s="94"/>
    </row>
    <row r="16" spans="1:5" x14ac:dyDescent="0.35">
      <c r="A16" s="187"/>
      <c r="B16" s="525" t="s">
        <v>664</v>
      </c>
      <c r="C16" s="94"/>
      <c r="D16" s="94">
        <v>4515</v>
      </c>
      <c r="E16" s="94"/>
    </row>
    <row r="17" spans="1:5" x14ac:dyDescent="0.35">
      <c r="A17" s="187"/>
      <c r="B17" s="525" t="s">
        <v>665</v>
      </c>
      <c r="C17" s="94"/>
      <c r="D17" s="94">
        <v>589110</v>
      </c>
      <c r="E17" s="94"/>
    </row>
    <row r="18" spans="1:5" x14ac:dyDescent="0.35">
      <c r="A18" s="187"/>
      <c r="B18" s="525" t="s">
        <v>666</v>
      </c>
      <c r="C18" s="94"/>
      <c r="D18" s="94">
        <v>449186</v>
      </c>
      <c r="E18" s="94"/>
    </row>
    <row r="19" spans="1:5" x14ac:dyDescent="0.35">
      <c r="A19" s="187"/>
      <c r="B19" s="525" t="s">
        <v>667</v>
      </c>
      <c r="C19" s="94"/>
      <c r="D19" s="94">
        <v>460184</v>
      </c>
      <c r="E19" s="94"/>
    </row>
    <row r="20" spans="1:5" x14ac:dyDescent="0.35">
      <c r="A20" s="187"/>
      <c r="B20" s="525" t="s">
        <v>668</v>
      </c>
      <c r="C20" s="94"/>
      <c r="D20" s="94">
        <v>4198</v>
      </c>
      <c r="E20" s="94"/>
    </row>
    <row r="21" spans="1:5" x14ac:dyDescent="0.35">
      <c r="A21" s="187"/>
      <c r="B21" s="525" t="s">
        <v>669</v>
      </c>
      <c r="C21" s="94"/>
      <c r="D21" s="94">
        <v>8509</v>
      </c>
      <c r="E21" s="94"/>
    </row>
    <row r="22" spans="1:5" x14ac:dyDescent="0.35">
      <c r="A22" s="187"/>
      <c r="B22" s="525" t="s">
        <v>670</v>
      </c>
      <c r="C22" s="94"/>
      <c r="D22" s="94">
        <v>4873</v>
      </c>
      <c r="E22" s="94"/>
    </row>
    <row r="23" spans="1:5" x14ac:dyDescent="0.35">
      <c r="A23" s="187"/>
      <c r="B23" s="525" t="s">
        <v>671</v>
      </c>
      <c r="C23" s="94"/>
      <c r="D23" s="94">
        <v>474062</v>
      </c>
      <c r="E23" s="94"/>
    </row>
    <row r="24" spans="1:5" x14ac:dyDescent="0.35">
      <c r="A24" s="187"/>
      <c r="B24" s="525" t="s">
        <v>672</v>
      </c>
      <c r="C24" s="94"/>
      <c r="D24" s="94">
        <v>662601</v>
      </c>
      <c r="E24" s="94"/>
    </row>
    <row r="25" spans="1:5" x14ac:dyDescent="0.35">
      <c r="A25" s="187"/>
      <c r="B25" s="525" t="s">
        <v>673</v>
      </c>
      <c r="C25" s="94"/>
      <c r="D25" s="94">
        <v>1666437</v>
      </c>
      <c r="E25" s="94"/>
    </row>
    <row r="26" spans="1:5" ht="21.75" customHeight="1" thickBot="1" x14ac:dyDescent="0.4">
      <c r="A26" s="187"/>
      <c r="B26" s="525" t="s">
        <v>674</v>
      </c>
      <c r="C26" s="94"/>
      <c r="D26" s="95">
        <v>514871</v>
      </c>
      <c r="E26" s="94"/>
    </row>
    <row r="27" spans="1:5" ht="21.75" thickBot="1" x14ac:dyDescent="0.4">
      <c r="A27" s="948" t="s">
        <v>63</v>
      </c>
      <c r="B27" s="949"/>
      <c r="C27" s="96">
        <f>SUM(C5:C26)</f>
        <v>0</v>
      </c>
      <c r="D27" s="96">
        <f t="shared" ref="D27:E27" si="0">SUM(D5:D26)</f>
        <v>7973363</v>
      </c>
      <c r="E27" s="96">
        <f t="shared" si="0"/>
        <v>0</v>
      </c>
    </row>
    <row r="28" spans="1:5" x14ac:dyDescent="0.35">
      <c r="A28" s="512" t="s">
        <v>57</v>
      </c>
      <c r="B28" s="523"/>
      <c r="C28" s="173"/>
      <c r="D28" s="173"/>
      <c r="E28" s="173"/>
    </row>
    <row r="29" spans="1:5" x14ac:dyDescent="0.35">
      <c r="A29" s="188"/>
      <c r="B29" s="172" t="s">
        <v>128</v>
      </c>
      <c r="C29" s="94">
        <v>1000000</v>
      </c>
      <c r="D29" s="94">
        <v>793559</v>
      </c>
      <c r="E29" s="94">
        <v>500000</v>
      </c>
    </row>
    <row r="30" spans="1:5" x14ac:dyDescent="0.35">
      <c r="A30" s="188"/>
      <c r="B30" s="172" t="s">
        <v>491</v>
      </c>
      <c r="C30" s="94"/>
      <c r="D30" s="95">
        <v>4330</v>
      </c>
      <c r="E30" s="94"/>
    </row>
    <row r="31" spans="1:5" x14ac:dyDescent="0.35">
      <c r="A31" s="188"/>
      <c r="B31" s="172" t="s">
        <v>675</v>
      </c>
      <c r="C31" s="94"/>
      <c r="D31" s="95">
        <v>990</v>
      </c>
      <c r="E31" s="94"/>
    </row>
    <row r="32" spans="1:5" x14ac:dyDescent="0.35">
      <c r="A32" s="188"/>
      <c r="B32" s="172" t="s">
        <v>676</v>
      </c>
      <c r="C32" s="94"/>
      <c r="D32" s="95">
        <v>79270</v>
      </c>
      <c r="E32" s="94"/>
    </row>
    <row r="33" spans="1:5" ht="21.75" thickBot="1" x14ac:dyDescent="0.4">
      <c r="A33" s="188"/>
      <c r="B33" s="172" t="s">
        <v>482</v>
      </c>
      <c r="C33" s="95"/>
      <c r="D33" s="95">
        <v>24100</v>
      </c>
      <c r="E33" s="94"/>
    </row>
    <row r="34" spans="1:5" ht="21.75" thickBot="1" x14ac:dyDescent="0.4">
      <c r="A34" s="514" t="s">
        <v>58</v>
      </c>
      <c r="B34" s="526"/>
      <c r="C34" s="13">
        <f>SUM(C29:C33)</f>
        <v>1000000</v>
      </c>
      <c r="D34" s="13">
        <f>SUM(D29:D33)</f>
        <v>902249</v>
      </c>
      <c r="E34" s="13">
        <f>SUM(E29:E33)</f>
        <v>500000</v>
      </c>
    </row>
    <row r="35" spans="1:5" ht="16.5" customHeight="1" x14ac:dyDescent="0.35">
      <c r="A35" s="515" t="s">
        <v>64</v>
      </c>
      <c r="B35" s="527"/>
      <c r="C35" s="516"/>
      <c r="D35" s="516"/>
      <c r="E35" s="516"/>
    </row>
    <row r="36" spans="1:5" ht="44.25" customHeight="1" x14ac:dyDescent="0.35">
      <c r="A36" s="206"/>
      <c r="B36" s="528" t="s">
        <v>29</v>
      </c>
      <c r="C36" s="517"/>
      <c r="D36" s="517"/>
      <c r="E36" s="517"/>
    </row>
    <row r="37" spans="1:5" x14ac:dyDescent="0.35">
      <c r="A37" s="188"/>
      <c r="B37" s="524" t="s">
        <v>130</v>
      </c>
      <c r="C37" s="94">
        <v>8000</v>
      </c>
      <c r="D37" s="94">
        <v>8044</v>
      </c>
      <c r="E37" s="94">
        <v>7000</v>
      </c>
    </row>
    <row r="38" spans="1:5" x14ac:dyDescent="0.35">
      <c r="A38" s="188"/>
      <c r="B38" s="525" t="s">
        <v>113</v>
      </c>
      <c r="C38" s="94"/>
      <c r="D38" s="94">
        <v>2935</v>
      </c>
      <c r="E38" s="94"/>
    </row>
    <row r="39" spans="1:5" x14ac:dyDescent="0.35">
      <c r="A39" s="206"/>
      <c r="B39" s="529" t="s">
        <v>30</v>
      </c>
      <c r="C39" s="97"/>
      <c r="D39" s="518"/>
      <c r="E39" s="97"/>
    </row>
    <row r="40" spans="1:5" ht="48.75" customHeight="1" x14ac:dyDescent="0.35">
      <c r="A40" s="206"/>
      <c r="B40" s="530" t="s">
        <v>677</v>
      </c>
      <c r="C40" s="110"/>
      <c r="D40" s="94">
        <v>38449</v>
      </c>
      <c r="E40" s="110"/>
    </row>
    <row r="41" spans="1:5" x14ac:dyDescent="0.35">
      <c r="A41" s="206"/>
      <c r="B41" s="524" t="s">
        <v>678</v>
      </c>
      <c r="C41" s="95"/>
      <c r="D41" s="94">
        <v>800</v>
      </c>
      <c r="E41" s="95"/>
    </row>
    <row r="42" spans="1:5" x14ac:dyDescent="0.35">
      <c r="A42" s="188"/>
      <c r="B42" s="524" t="s">
        <v>435</v>
      </c>
      <c r="C42" s="94"/>
      <c r="D42" s="94">
        <v>92239</v>
      </c>
      <c r="E42" s="94"/>
    </row>
    <row r="43" spans="1:5" x14ac:dyDescent="0.35">
      <c r="A43" s="943" t="s">
        <v>65</v>
      </c>
      <c r="B43" s="944"/>
      <c r="C43" s="98">
        <f>SUM(C36:C42)</f>
        <v>8000</v>
      </c>
      <c r="D43" s="98">
        <f>SUM(D36:D42)</f>
        <v>142467</v>
      </c>
      <c r="E43" s="98">
        <f>SUM(E36:E42)</f>
        <v>7000</v>
      </c>
    </row>
    <row r="44" spans="1:5" x14ac:dyDescent="0.35">
      <c r="A44" s="336" t="s">
        <v>103</v>
      </c>
      <c r="B44" s="40"/>
      <c r="C44" s="520"/>
      <c r="D44" s="520"/>
      <c r="E44" s="520"/>
    </row>
    <row r="45" spans="1:5" x14ac:dyDescent="0.35">
      <c r="A45" s="206"/>
      <c r="B45" s="45" t="s">
        <v>181</v>
      </c>
      <c r="C45" s="100"/>
      <c r="D45" s="100">
        <v>774</v>
      </c>
      <c r="E45" s="94"/>
    </row>
    <row r="46" spans="1:5" x14ac:dyDescent="0.35">
      <c r="A46" s="206"/>
      <c r="B46" s="45" t="s">
        <v>373</v>
      </c>
      <c r="C46" s="100"/>
      <c r="D46" s="100">
        <v>35</v>
      </c>
      <c r="E46" s="94"/>
    </row>
    <row r="47" spans="1:5" x14ac:dyDescent="0.35">
      <c r="A47" s="206"/>
      <c r="B47" s="45" t="s">
        <v>634</v>
      </c>
      <c r="C47" s="100"/>
      <c r="D47" s="100">
        <v>31678</v>
      </c>
      <c r="E47" s="94"/>
    </row>
    <row r="48" spans="1:5" x14ac:dyDescent="0.35">
      <c r="A48" s="206"/>
      <c r="B48" s="45" t="s">
        <v>109</v>
      </c>
      <c r="C48" s="100"/>
      <c r="D48" s="100">
        <v>5800</v>
      </c>
      <c r="E48" s="94"/>
    </row>
    <row r="49" spans="1:5" x14ac:dyDescent="0.35">
      <c r="A49" s="206"/>
      <c r="B49" s="45" t="s">
        <v>244</v>
      </c>
      <c r="C49" s="100"/>
      <c r="D49" s="100">
        <v>6009</v>
      </c>
      <c r="E49" s="94"/>
    </row>
    <row r="50" spans="1:5" x14ac:dyDescent="0.35">
      <c r="A50" s="206"/>
      <c r="B50" s="45" t="s">
        <v>13</v>
      </c>
      <c r="C50" s="100"/>
      <c r="D50" s="100">
        <v>120</v>
      </c>
      <c r="E50" s="94"/>
    </row>
    <row r="51" spans="1:5" x14ac:dyDescent="0.35">
      <c r="A51" s="206"/>
      <c r="B51" s="45" t="s">
        <v>142</v>
      </c>
      <c r="C51" s="100"/>
      <c r="D51" s="100"/>
      <c r="E51" s="94"/>
    </row>
    <row r="52" spans="1:5" x14ac:dyDescent="0.35">
      <c r="A52" s="206"/>
      <c r="B52" s="45" t="s">
        <v>610</v>
      </c>
      <c r="C52" s="100"/>
      <c r="D52" s="100"/>
      <c r="E52" s="94"/>
    </row>
    <row r="53" spans="1:5" x14ac:dyDescent="0.35">
      <c r="A53" s="206"/>
      <c r="B53" s="45" t="s">
        <v>4</v>
      </c>
      <c r="C53" s="100"/>
      <c r="D53" s="100">
        <v>1580</v>
      </c>
      <c r="E53" s="94"/>
    </row>
    <row r="54" spans="1:5" x14ac:dyDescent="0.35">
      <c r="A54" s="945" t="s">
        <v>62</v>
      </c>
      <c r="B54" s="946"/>
      <c r="C54" s="101">
        <f>SUM(C45:C53)</f>
        <v>0</v>
      </c>
      <c r="D54" s="101">
        <f>SUM(D45:D53)</f>
        <v>45996</v>
      </c>
      <c r="E54" s="101">
        <f>SUM(E45:E53)</f>
        <v>0</v>
      </c>
    </row>
    <row r="55" spans="1:5" ht="21.75" thickBot="1" x14ac:dyDescent="0.4">
      <c r="A55" s="941" t="s">
        <v>294</v>
      </c>
      <c r="B55" s="942"/>
      <c r="C55" s="102">
        <f>C34+C27+C43+C54</f>
        <v>1008000</v>
      </c>
      <c r="D55" s="102">
        <f>D34+D27+D43+D54</f>
        <v>9064075</v>
      </c>
      <c r="E55" s="102">
        <f>E34+E27+E43+E54</f>
        <v>507000</v>
      </c>
    </row>
    <row r="56" spans="1:5" x14ac:dyDescent="0.35">
      <c r="A56" s="192"/>
      <c r="B56" s="104"/>
      <c r="C56" s="192"/>
      <c r="D56" s="192"/>
      <c r="E56" s="192"/>
    </row>
  </sheetData>
  <mergeCells count="5">
    <mergeCell ref="A55:B55"/>
    <mergeCell ref="A43:B43"/>
    <mergeCell ref="A54:B54"/>
    <mergeCell ref="A1:E1"/>
    <mergeCell ref="A27:B27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6" orientation="portrait" r:id="rId1"/>
  <headerFooter alignWithMargins="0">
    <oddHeader xml:space="preserve">&amp;R&amp;"-,Félkövér"&amp;12 17. melléklet a 3/2026. (II.27.) önkormányzati rendelethe&amp;"Times New Roman CE,Félkövér"z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1"/>
  <dimension ref="A1:K80"/>
  <sheetViews>
    <sheetView zoomScale="91" zoomScaleNormal="91" zoomScalePageLayoutView="55" workbookViewId="0">
      <selection activeCell="C75" sqref="C75:G75"/>
    </sheetView>
  </sheetViews>
  <sheetFormatPr defaultColWidth="10.6640625" defaultRowHeight="15" customHeight="1" x14ac:dyDescent="0.35"/>
  <cols>
    <col min="1" max="1" width="5.6640625" style="165" customWidth="1"/>
    <col min="2" max="2" width="146.5" style="165" customWidth="1"/>
    <col min="3" max="3" width="33.1640625" style="165" customWidth="1"/>
    <col min="4" max="4" width="36" style="165" customWidth="1"/>
    <col min="5" max="5" width="33.1640625" style="165" customWidth="1"/>
    <col min="6" max="6" width="29.33203125" style="165" customWidth="1"/>
    <col min="7" max="7" width="26.6640625" style="165" customWidth="1"/>
    <col min="8" max="8" width="38.1640625" style="165" customWidth="1"/>
    <col min="9" max="9" width="10.6640625" style="532"/>
    <col min="10" max="10" width="12.33203125" style="165" bestFit="1" customWidth="1"/>
    <col min="11" max="16384" width="10.6640625" style="165"/>
  </cols>
  <sheetData>
    <row r="1" spans="1:9" ht="15" customHeight="1" x14ac:dyDescent="0.35">
      <c r="A1" s="531"/>
      <c r="B1" s="531"/>
      <c r="C1" s="192"/>
      <c r="D1" s="192"/>
      <c r="E1" s="192"/>
      <c r="F1" s="192"/>
      <c r="G1" s="192"/>
      <c r="H1" s="192"/>
    </row>
    <row r="2" spans="1:9" ht="23.25" customHeight="1" x14ac:dyDescent="0.35">
      <c r="A2" s="947" t="s">
        <v>159</v>
      </c>
      <c r="B2" s="947"/>
      <c r="C2" s="947"/>
      <c r="D2" s="947"/>
      <c r="E2" s="947"/>
      <c r="F2" s="947"/>
      <c r="G2" s="947"/>
      <c r="H2" s="531"/>
    </row>
    <row r="3" spans="1:9" ht="21.75" thickBot="1" x14ac:dyDescent="0.4">
      <c r="A3" s="165" t="s">
        <v>12</v>
      </c>
      <c r="F3" s="331"/>
      <c r="G3" s="331" t="s">
        <v>204</v>
      </c>
      <c r="H3" s="331"/>
      <c r="I3" s="165"/>
    </row>
    <row r="4" spans="1:9" ht="18.75" customHeight="1" x14ac:dyDescent="0.35">
      <c r="A4" s="950" t="s">
        <v>157</v>
      </c>
      <c r="B4" s="951"/>
      <c r="C4" s="202" t="s">
        <v>445</v>
      </c>
      <c r="D4" s="202" t="s">
        <v>612</v>
      </c>
      <c r="E4" s="202" t="s">
        <v>467</v>
      </c>
      <c r="F4" s="202" t="s">
        <v>506</v>
      </c>
      <c r="G4" s="202" t="s">
        <v>599</v>
      </c>
      <c r="H4" s="194"/>
      <c r="I4" s="165"/>
    </row>
    <row r="5" spans="1:9" ht="44.25" customHeight="1" thickBot="1" x14ac:dyDescent="0.4">
      <c r="A5" s="203"/>
      <c r="B5" s="204"/>
      <c r="C5" s="921" t="s">
        <v>877</v>
      </c>
      <c r="D5" s="921" t="s">
        <v>876</v>
      </c>
      <c r="E5" s="921" t="s">
        <v>877</v>
      </c>
      <c r="F5" s="501" t="s">
        <v>877</v>
      </c>
      <c r="G5" s="501" t="s">
        <v>336</v>
      </c>
      <c r="H5" s="194"/>
      <c r="I5" s="165"/>
    </row>
    <row r="6" spans="1:9" ht="21" x14ac:dyDescent="0.35">
      <c r="A6" s="533" t="s">
        <v>168</v>
      </c>
      <c r="B6" s="534" t="s">
        <v>129</v>
      </c>
      <c r="C6" s="105"/>
      <c r="D6" s="105"/>
      <c r="E6" s="105"/>
      <c r="F6" s="105"/>
      <c r="G6" s="105"/>
      <c r="H6" s="535"/>
      <c r="I6" s="165"/>
    </row>
    <row r="7" spans="1:9" ht="21" x14ac:dyDescent="0.35">
      <c r="A7" s="188"/>
      <c r="B7" s="536" t="s">
        <v>458</v>
      </c>
      <c r="C7" s="100"/>
      <c r="D7" s="106">
        <v>81755</v>
      </c>
      <c r="E7" s="100"/>
      <c r="F7" s="100"/>
      <c r="G7" s="100"/>
      <c r="H7" s="535"/>
      <c r="I7" s="165"/>
    </row>
    <row r="8" spans="1:9" ht="21" x14ac:dyDescent="0.35">
      <c r="A8" s="188"/>
      <c r="B8" s="537" t="s">
        <v>679</v>
      </c>
      <c r="C8" s="100"/>
      <c r="D8" s="106">
        <v>7000</v>
      </c>
      <c r="E8" s="100"/>
      <c r="F8" s="100"/>
      <c r="G8" s="100"/>
      <c r="H8" s="535"/>
      <c r="I8" s="165"/>
    </row>
    <row r="9" spans="1:9" ht="21" x14ac:dyDescent="0.35">
      <c r="A9" s="188"/>
      <c r="B9" s="537" t="s">
        <v>574</v>
      </c>
      <c r="C9" s="100">
        <v>50000</v>
      </c>
      <c r="D9" s="106">
        <v>50000</v>
      </c>
      <c r="E9" s="100"/>
      <c r="F9" s="100"/>
      <c r="G9" s="100"/>
      <c r="H9" s="535"/>
      <c r="I9" s="165"/>
    </row>
    <row r="10" spans="1:9" ht="21" x14ac:dyDescent="0.35">
      <c r="A10" s="538"/>
      <c r="B10" s="539" t="s">
        <v>155</v>
      </c>
      <c r="C10" s="98">
        <f>SUM(C7:C9)</f>
        <v>50000</v>
      </c>
      <c r="D10" s="98">
        <f>SUM(D7:D9)</f>
        <v>138755</v>
      </c>
      <c r="E10" s="98">
        <f>SUM(E7:E9)</f>
        <v>0</v>
      </c>
      <c r="F10" s="98">
        <f>SUM(F7:F9)</f>
        <v>0</v>
      </c>
      <c r="G10" s="98">
        <f>SUM(G7:G9)</f>
        <v>0</v>
      </c>
      <c r="H10" s="535"/>
      <c r="I10" s="165"/>
    </row>
    <row r="11" spans="1:9" ht="21" x14ac:dyDescent="0.35">
      <c r="A11" s="540" t="s">
        <v>169</v>
      </c>
      <c r="B11" s="541" t="s">
        <v>156</v>
      </c>
      <c r="C11" s="108"/>
      <c r="D11" s="107"/>
      <c r="E11" s="108"/>
      <c r="F11" s="108"/>
      <c r="G11" s="108"/>
      <c r="H11" s="535"/>
      <c r="I11" s="165"/>
    </row>
    <row r="12" spans="1:9" ht="21" x14ac:dyDescent="0.35">
      <c r="A12" s="533"/>
      <c r="B12" s="537" t="s">
        <v>586</v>
      </c>
      <c r="C12" s="94">
        <v>100000</v>
      </c>
      <c r="D12" s="109">
        <v>106525</v>
      </c>
      <c r="E12" s="94"/>
      <c r="F12" s="94"/>
      <c r="G12" s="94"/>
      <c r="H12" s="535"/>
      <c r="I12" s="165"/>
    </row>
    <row r="13" spans="1:9" ht="21" x14ac:dyDescent="0.35">
      <c r="A13" s="533"/>
      <c r="B13" s="537" t="s">
        <v>690</v>
      </c>
      <c r="C13" s="94"/>
      <c r="D13" s="109"/>
      <c r="E13" s="94">
        <v>200000</v>
      </c>
      <c r="F13" s="94"/>
      <c r="G13" s="94"/>
      <c r="H13" s="535"/>
      <c r="I13" s="165"/>
    </row>
    <row r="14" spans="1:9" ht="21" x14ac:dyDescent="0.35">
      <c r="A14" s="533"/>
      <c r="B14" s="537" t="s">
        <v>680</v>
      </c>
      <c r="C14" s="110"/>
      <c r="D14" s="189">
        <v>23174</v>
      </c>
      <c r="E14" s="110"/>
      <c r="F14" s="110"/>
      <c r="G14" s="110"/>
      <c r="H14" s="535"/>
      <c r="I14" s="165"/>
    </row>
    <row r="15" spans="1:9" ht="21" x14ac:dyDescent="0.35">
      <c r="A15" s="538"/>
      <c r="B15" s="539" t="s">
        <v>125</v>
      </c>
      <c r="C15" s="98">
        <f>SUM(C12:C14)</f>
        <v>100000</v>
      </c>
      <c r="D15" s="98">
        <f t="shared" ref="D15:G15" si="0">SUM(D12:D14)</f>
        <v>129699</v>
      </c>
      <c r="E15" s="98">
        <f t="shared" si="0"/>
        <v>200000</v>
      </c>
      <c r="F15" s="98">
        <f t="shared" si="0"/>
        <v>0</v>
      </c>
      <c r="G15" s="98">
        <f t="shared" si="0"/>
        <v>0</v>
      </c>
      <c r="H15" s="535"/>
      <c r="I15" s="165"/>
    </row>
    <row r="16" spans="1:9" ht="20.25" customHeight="1" x14ac:dyDescent="0.35">
      <c r="A16" s="533" t="s">
        <v>170</v>
      </c>
      <c r="B16" s="541" t="s">
        <v>172</v>
      </c>
      <c r="C16" s="108"/>
      <c r="D16" s="108"/>
      <c r="E16" s="108"/>
      <c r="F16" s="108"/>
      <c r="G16" s="108"/>
      <c r="H16" s="535"/>
      <c r="I16" s="165"/>
    </row>
    <row r="17" spans="1:11" ht="21" x14ac:dyDescent="0.35">
      <c r="A17" s="188"/>
      <c r="B17" s="543" t="s">
        <v>348</v>
      </c>
      <c r="C17" s="94">
        <v>15000</v>
      </c>
      <c r="D17" s="6">
        <v>13000</v>
      </c>
      <c r="E17" s="94"/>
      <c r="F17" s="94"/>
      <c r="G17" s="94"/>
      <c r="H17" s="535"/>
      <c r="I17" s="165"/>
    </row>
    <row r="18" spans="1:11" ht="21" x14ac:dyDescent="0.35">
      <c r="A18" s="188"/>
      <c r="B18" s="171" t="s">
        <v>560</v>
      </c>
      <c r="C18" s="95">
        <v>40000</v>
      </c>
      <c r="D18" s="8">
        <v>49257</v>
      </c>
      <c r="E18" s="95"/>
      <c r="F18" s="95"/>
      <c r="G18" s="95"/>
      <c r="H18" s="535"/>
      <c r="I18" s="165"/>
    </row>
    <row r="19" spans="1:11" ht="42" x14ac:dyDescent="0.35">
      <c r="A19" s="188"/>
      <c r="B19" s="171" t="s">
        <v>681</v>
      </c>
      <c r="C19" s="95"/>
      <c r="D19" s="8">
        <v>3484</v>
      </c>
      <c r="E19" s="95"/>
      <c r="F19" s="95"/>
      <c r="G19" s="95"/>
      <c r="H19" s="535"/>
      <c r="I19" s="165"/>
    </row>
    <row r="20" spans="1:11" ht="21" x14ac:dyDescent="0.35">
      <c r="A20" s="188"/>
      <c r="B20" s="171" t="s">
        <v>492</v>
      </c>
      <c r="C20" s="110"/>
      <c r="D20" s="14">
        <v>5499</v>
      </c>
      <c r="E20" s="110"/>
      <c r="F20" s="110"/>
      <c r="G20" s="110"/>
      <c r="H20" s="535"/>
      <c r="I20" s="165"/>
    </row>
    <row r="21" spans="1:11" ht="21" x14ac:dyDescent="0.35">
      <c r="A21" s="538"/>
      <c r="B21" s="544" t="s">
        <v>138</v>
      </c>
      <c r="C21" s="98">
        <f>SUM(C17:C20)</f>
        <v>55000</v>
      </c>
      <c r="D21" s="98">
        <f>SUM(D17:D20)</f>
        <v>71240</v>
      </c>
      <c r="E21" s="98">
        <f>SUM(E17:E20)</f>
        <v>0</v>
      </c>
      <c r="F21" s="98">
        <f>SUM(F17:F20)</f>
        <v>0</v>
      </c>
      <c r="G21" s="98">
        <f>SUM(G17:G20)</f>
        <v>0</v>
      </c>
      <c r="H21" s="535"/>
      <c r="I21" s="165"/>
      <c r="K21" s="545"/>
    </row>
    <row r="22" spans="1:11" ht="21" customHeight="1" x14ac:dyDescent="0.35">
      <c r="A22" s="533" t="s">
        <v>171</v>
      </c>
      <c r="B22" s="541" t="s">
        <v>139</v>
      </c>
      <c r="C22" s="108"/>
      <c r="D22" s="108"/>
      <c r="E22" s="108"/>
      <c r="F22" s="108"/>
      <c r="G22" s="108"/>
      <c r="H22" s="535"/>
      <c r="I22" s="165"/>
    </row>
    <row r="23" spans="1:11" ht="21" x14ac:dyDescent="0.35">
      <c r="A23" s="546" t="s">
        <v>166</v>
      </c>
      <c r="B23" s="638"/>
      <c r="C23" s="111"/>
      <c r="D23" s="111"/>
      <c r="E23" s="111"/>
      <c r="F23" s="111"/>
      <c r="G23" s="111"/>
      <c r="H23" s="535"/>
      <c r="I23" s="165"/>
    </row>
    <row r="24" spans="1:11" ht="21" x14ac:dyDescent="0.35">
      <c r="A24" s="188"/>
      <c r="B24" s="542" t="s">
        <v>270</v>
      </c>
      <c r="C24" s="6"/>
      <c r="D24" s="6">
        <v>349433</v>
      </c>
      <c r="E24" s="6"/>
      <c r="F24" s="6"/>
      <c r="G24" s="6"/>
      <c r="H24" s="535"/>
      <c r="I24" s="165"/>
    </row>
    <row r="25" spans="1:11" ht="42" x14ac:dyDescent="0.35">
      <c r="A25" s="188"/>
      <c r="B25" s="548" t="s">
        <v>531</v>
      </c>
      <c r="C25" s="14"/>
      <c r="D25" s="14">
        <v>312</v>
      </c>
      <c r="E25" s="14"/>
      <c r="F25" s="14"/>
      <c r="G25" s="14"/>
      <c r="H25" s="535"/>
      <c r="I25" s="165"/>
    </row>
    <row r="26" spans="1:11" ht="21" x14ac:dyDescent="0.35">
      <c r="A26" s="546" t="s">
        <v>165</v>
      </c>
      <c r="B26" s="547"/>
      <c r="C26" s="59"/>
      <c r="D26" s="59"/>
      <c r="E26" s="59"/>
      <c r="F26" s="59"/>
      <c r="G26" s="59"/>
      <c r="H26" s="535"/>
      <c r="I26" s="165"/>
    </row>
    <row r="27" spans="1:11" ht="21" x14ac:dyDescent="0.35">
      <c r="A27" s="188"/>
      <c r="B27" s="543" t="s">
        <v>447</v>
      </c>
      <c r="C27" s="94">
        <v>0</v>
      </c>
      <c r="D27" s="6">
        <v>4191</v>
      </c>
      <c r="E27" s="94"/>
      <c r="F27" s="94">
        <v>197000</v>
      </c>
      <c r="G27" s="94"/>
      <c r="H27" s="535"/>
      <c r="I27" s="165"/>
    </row>
    <row r="28" spans="1:11" ht="21" x14ac:dyDescent="0.35">
      <c r="A28" s="188"/>
      <c r="B28" s="543" t="s">
        <v>474</v>
      </c>
      <c r="C28" s="94">
        <v>10000</v>
      </c>
      <c r="D28" s="6">
        <v>33000</v>
      </c>
      <c r="E28" s="94"/>
      <c r="F28" s="94"/>
      <c r="G28" s="94"/>
      <c r="H28" s="535"/>
      <c r="I28" s="165"/>
    </row>
    <row r="29" spans="1:11" ht="21" x14ac:dyDescent="0.35">
      <c r="A29" s="188"/>
      <c r="B29" s="548" t="s">
        <v>481</v>
      </c>
      <c r="C29" s="6"/>
      <c r="D29" s="6">
        <v>983</v>
      </c>
      <c r="E29" s="6"/>
      <c r="F29" s="6"/>
      <c r="G29" s="6"/>
      <c r="H29" s="535"/>
      <c r="I29" s="165"/>
    </row>
    <row r="30" spans="1:11" ht="21" x14ac:dyDescent="0.35">
      <c r="A30" s="188"/>
      <c r="B30" s="548" t="s">
        <v>682</v>
      </c>
      <c r="C30" s="6"/>
      <c r="D30" s="6">
        <v>38449</v>
      </c>
      <c r="E30" s="6"/>
      <c r="F30" s="6"/>
      <c r="G30" s="6"/>
      <c r="H30" s="535"/>
      <c r="I30" s="165"/>
    </row>
    <row r="31" spans="1:11" ht="21" x14ac:dyDescent="0.35">
      <c r="A31" s="188"/>
      <c r="B31" s="548" t="s">
        <v>587</v>
      </c>
      <c r="C31" s="6">
        <v>15000</v>
      </c>
      <c r="D31" s="6">
        <v>15000</v>
      </c>
      <c r="E31" s="6"/>
      <c r="F31" s="6"/>
      <c r="G31" s="6"/>
      <c r="H31" s="535"/>
      <c r="I31" s="165"/>
    </row>
    <row r="32" spans="1:11" ht="21" x14ac:dyDescent="0.35">
      <c r="A32" s="188"/>
      <c r="B32" s="548" t="s">
        <v>698</v>
      </c>
      <c r="C32" s="6"/>
      <c r="D32" s="6"/>
      <c r="E32" s="6">
        <v>150000</v>
      </c>
      <c r="F32" s="6"/>
      <c r="G32" s="6"/>
      <c r="H32" s="535"/>
      <c r="I32" s="165"/>
    </row>
    <row r="33" spans="1:9" ht="21" x14ac:dyDescent="0.35">
      <c r="A33" s="546" t="s">
        <v>167</v>
      </c>
      <c r="B33" s="549"/>
      <c r="C33" s="97"/>
      <c r="D33" s="59"/>
      <c r="E33" s="97"/>
      <c r="F33" s="97"/>
      <c r="G33" s="97"/>
      <c r="H33" s="535"/>
      <c r="I33" s="165"/>
    </row>
    <row r="34" spans="1:9" ht="42" x14ac:dyDescent="0.35">
      <c r="A34" s="546"/>
      <c r="B34" s="543" t="s">
        <v>532</v>
      </c>
      <c r="C34" s="94"/>
      <c r="D34" s="6">
        <v>21128</v>
      </c>
      <c r="E34" s="94"/>
      <c r="F34" s="94"/>
      <c r="G34" s="94"/>
      <c r="H34" s="535"/>
      <c r="I34" s="165"/>
    </row>
    <row r="35" spans="1:9" ht="63" x14ac:dyDescent="0.35">
      <c r="A35" s="546"/>
      <c r="B35" s="543" t="s">
        <v>683</v>
      </c>
      <c r="C35" s="94"/>
      <c r="D35" s="6">
        <v>3882</v>
      </c>
      <c r="E35" s="94"/>
      <c r="F35" s="94"/>
      <c r="G35" s="94"/>
      <c r="H35" s="535"/>
      <c r="I35" s="165"/>
    </row>
    <row r="36" spans="1:9" ht="21" x14ac:dyDescent="0.35">
      <c r="A36" s="188"/>
      <c r="B36" s="543" t="s">
        <v>115</v>
      </c>
      <c r="C36" s="94"/>
      <c r="D36" s="6">
        <v>2807</v>
      </c>
      <c r="E36" s="94"/>
      <c r="F36" s="94"/>
      <c r="G36" s="94"/>
      <c r="H36" s="535"/>
      <c r="I36" s="165"/>
    </row>
    <row r="37" spans="1:9" ht="21" x14ac:dyDescent="0.35">
      <c r="A37" s="187"/>
      <c r="B37" s="536" t="s">
        <v>403</v>
      </c>
      <c r="C37" s="94"/>
      <c r="D37" s="6">
        <v>385</v>
      </c>
      <c r="E37" s="94"/>
      <c r="F37" s="94"/>
      <c r="G37" s="94"/>
      <c r="H37" s="535"/>
      <c r="I37" s="165"/>
    </row>
    <row r="38" spans="1:9" ht="42" x14ac:dyDescent="0.35">
      <c r="A38" s="187"/>
      <c r="B38" s="536" t="s">
        <v>459</v>
      </c>
      <c r="C38" s="94"/>
      <c r="D38" s="6">
        <v>7608</v>
      </c>
      <c r="E38" s="94"/>
      <c r="F38" s="94"/>
      <c r="G38" s="94"/>
      <c r="H38" s="535"/>
      <c r="I38" s="165"/>
    </row>
    <row r="39" spans="1:9" ht="21" x14ac:dyDescent="0.35">
      <c r="A39" s="546" t="s">
        <v>16</v>
      </c>
      <c r="B39" s="549"/>
      <c r="C39" s="110"/>
      <c r="D39" s="59"/>
      <c r="E39" s="110"/>
      <c r="F39" s="110"/>
      <c r="G39" s="110"/>
      <c r="H39" s="535"/>
      <c r="I39" s="165"/>
    </row>
    <row r="40" spans="1:9" ht="25.15" customHeight="1" x14ac:dyDescent="0.35">
      <c r="A40" s="188"/>
      <c r="B40" s="542" t="s">
        <v>440</v>
      </c>
      <c r="C40" s="94"/>
      <c r="D40" s="6">
        <v>8206</v>
      </c>
      <c r="E40" s="94"/>
      <c r="F40" s="94"/>
      <c r="G40" s="94"/>
      <c r="H40" s="535"/>
      <c r="I40" s="165"/>
    </row>
    <row r="41" spans="1:9" ht="21" x14ac:dyDescent="0.35">
      <c r="A41" s="952" t="s">
        <v>9</v>
      </c>
      <c r="B41" s="953"/>
      <c r="C41" s="110"/>
      <c r="D41" s="59"/>
      <c r="E41" s="110"/>
      <c r="F41" s="110"/>
      <c r="G41" s="110"/>
      <c r="H41" s="535"/>
      <c r="I41" s="165"/>
    </row>
    <row r="42" spans="1:9" ht="21" x14ac:dyDescent="0.35">
      <c r="A42" s="546"/>
      <c r="B42" s="519" t="s">
        <v>701</v>
      </c>
      <c r="C42" s="6"/>
      <c r="D42" s="6"/>
      <c r="E42" s="6">
        <f>3000+6000</f>
        <v>9000</v>
      </c>
      <c r="F42" s="6"/>
      <c r="G42" s="6"/>
      <c r="H42" s="535"/>
      <c r="I42" s="165"/>
    </row>
    <row r="43" spans="1:9" ht="21" x14ac:dyDescent="0.35">
      <c r="A43" s="546"/>
      <c r="B43" s="519" t="s">
        <v>684</v>
      </c>
      <c r="C43" s="6"/>
      <c r="D43" s="6">
        <v>2005</v>
      </c>
      <c r="E43" s="6"/>
      <c r="F43" s="6"/>
      <c r="G43" s="6"/>
      <c r="H43" s="535"/>
      <c r="I43" s="165"/>
    </row>
    <row r="44" spans="1:9" ht="21" x14ac:dyDescent="0.35">
      <c r="A44" s="546"/>
      <c r="B44" s="519" t="s">
        <v>685</v>
      </c>
      <c r="C44" s="6"/>
      <c r="D44" s="6">
        <v>2500</v>
      </c>
      <c r="E44" s="6"/>
      <c r="F44" s="6"/>
      <c r="G44" s="6"/>
      <c r="H44" s="535"/>
      <c r="I44" s="165"/>
    </row>
    <row r="45" spans="1:9" ht="21" x14ac:dyDescent="0.35">
      <c r="A45" s="546"/>
      <c r="B45" s="519" t="s">
        <v>697</v>
      </c>
      <c r="C45" s="8"/>
      <c r="D45" s="8">
        <v>2600</v>
      </c>
      <c r="E45" s="8">
        <v>1200</v>
      </c>
      <c r="F45" s="8"/>
      <c r="G45" s="8"/>
      <c r="H45" s="535"/>
      <c r="I45" s="165"/>
    </row>
    <row r="46" spans="1:9" ht="21" x14ac:dyDescent="0.35">
      <c r="A46" s="546" t="s">
        <v>19</v>
      </c>
      <c r="B46" s="549"/>
      <c r="C46" s="14"/>
      <c r="D46" s="14"/>
      <c r="E46" s="14"/>
      <c r="F46" s="14"/>
      <c r="G46" s="14"/>
      <c r="H46" s="535"/>
      <c r="I46" s="165"/>
    </row>
    <row r="47" spans="1:9" ht="21" x14ac:dyDescent="0.35">
      <c r="A47" s="187"/>
      <c r="B47" s="211" t="s">
        <v>702</v>
      </c>
      <c r="C47" s="94"/>
      <c r="D47" s="94">
        <v>26544</v>
      </c>
      <c r="E47" s="94">
        <f>10000+79000+67000-10000-25440-5000-2260+60000-42842</f>
        <v>130458</v>
      </c>
      <c r="F47" s="94"/>
      <c r="G47" s="94"/>
      <c r="H47" s="535"/>
      <c r="I47" s="165"/>
    </row>
    <row r="48" spans="1:9" ht="42" x14ac:dyDescent="0.35">
      <c r="A48" s="188"/>
      <c r="B48" s="211" t="s">
        <v>661</v>
      </c>
      <c r="C48" s="94"/>
      <c r="D48" s="6">
        <v>393968</v>
      </c>
      <c r="E48" s="94"/>
      <c r="F48" s="94"/>
      <c r="G48" s="94"/>
      <c r="H48" s="535"/>
      <c r="I48" s="165"/>
    </row>
    <row r="49" spans="1:9" ht="21" x14ac:dyDescent="0.35">
      <c r="A49" s="188"/>
      <c r="B49" s="211" t="s">
        <v>662</v>
      </c>
      <c r="C49" s="94"/>
      <c r="D49" s="6">
        <v>44024</v>
      </c>
      <c r="E49" s="94"/>
      <c r="F49" s="94"/>
      <c r="G49" s="94"/>
      <c r="H49" s="535"/>
      <c r="I49" s="165"/>
    </row>
    <row r="50" spans="1:9" ht="21" x14ac:dyDescent="0.35">
      <c r="A50" s="188"/>
      <c r="B50" s="211" t="s">
        <v>663</v>
      </c>
      <c r="C50" s="94"/>
      <c r="D50" s="6">
        <v>423301</v>
      </c>
      <c r="E50" s="94"/>
      <c r="F50" s="94"/>
      <c r="G50" s="94"/>
      <c r="H50" s="535"/>
      <c r="I50" s="165"/>
    </row>
    <row r="51" spans="1:9" ht="21" x14ac:dyDescent="0.35">
      <c r="A51" s="188"/>
      <c r="B51" s="211" t="s">
        <v>664</v>
      </c>
      <c r="C51" s="94"/>
      <c r="D51" s="6">
        <v>4515</v>
      </c>
      <c r="E51" s="94"/>
      <c r="F51" s="94"/>
      <c r="G51" s="94"/>
      <c r="H51" s="535"/>
      <c r="I51" s="165"/>
    </row>
    <row r="52" spans="1:9" ht="21" x14ac:dyDescent="0.35">
      <c r="A52" s="188"/>
      <c r="B52" s="211" t="s">
        <v>665</v>
      </c>
      <c r="C52" s="94"/>
      <c r="D52" s="6">
        <v>589110</v>
      </c>
      <c r="E52" s="94"/>
      <c r="F52" s="94"/>
      <c r="G52" s="94"/>
      <c r="H52" s="535"/>
      <c r="I52" s="165"/>
    </row>
    <row r="53" spans="1:9" ht="21" x14ac:dyDescent="0.35">
      <c r="A53" s="188"/>
      <c r="B53" s="211" t="s">
        <v>666</v>
      </c>
      <c r="C53" s="94"/>
      <c r="D53" s="6">
        <v>449186</v>
      </c>
      <c r="E53" s="94"/>
      <c r="F53" s="94"/>
      <c r="G53" s="94"/>
      <c r="H53" s="535"/>
      <c r="I53" s="165"/>
    </row>
    <row r="54" spans="1:9" ht="21" x14ac:dyDescent="0.35">
      <c r="A54" s="188"/>
      <c r="B54" s="211" t="s">
        <v>667</v>
      </c>
      <c r="C54" s="94"/>
      <c r="D54" s="6">
        <v>460184</v>
      </c>
      <c r="E54" s="94"/>
      <c r="F54" s="94"/>
      <c r="G54" s="94"/>
      <c r="H54" s="535"/>
      <c r="I54" s="165"/>
    </row>
    <row r="55" spans="1:9" ht="21" x14ac:dyDescent="0.35">
      <c r="A55" s="188"/>
      <c r="B55" s="211" t="s">
        <v>668</v>
      </c>
      <c r="C55" s="94"/>
      <c r="D55" s="6">
        <v>4198</v>
      </c>
      <c r="E55" s="94"/>
      <c r="F55" s="94"/>
      <c r="G55" s="94"/>
      <c r="H55" s="535"/>
      <c r="I55" s="165"/>
    </row>
    <row r="56" spans="1:9" ht="21" x14ac:dyDescent="0.35">
      <c r="A56" s="188"/>
      <c r="B56" s="211" t="s">
        <v>669</v>
      </c>
      <c r="C56" s="94"/>
      <c r="D56" s="6">
        <v>8509</v>
      </c>
      <c r="E56" s="94"/>
      <c r="F56" s="94"/>
      <c r="G56" s="94"/>
      <c r="H56" s="535"/>
      <c r="I56" s="165"/>
    </row>
    <row r="57" spans="1:9" ht="21" x14ac:dyDescent="0.35">
      <c r="A57" s="188"/>
      <c r="B57" s="211" t="s">
        <v>670</v>
      </c>
      <c r="C57" s="94"/>
      <c r="D57" s="6">
        <v>4873</v>
      </c>
      <c r="E57" s="94"/>
      <c r="F57" s="94"/>
      <c r="G57" s="94"/>
      <c r="H57" s="535"/>
      <c r="I57" s="165"/>
    </row>
    <row r="58" spans="1:9" ht="21" x14ac:dyDescent="0.35">
      <c r="A58" s="188"/>
      <c r="B58" s="211" t="s">
        <v>671</v>
      </c>
      <c r="C58" s="94"/>
      <c r="D58" s="6">
        <v>474062</v>
      </c>
      <c r="E58" s="94"/>
      <c r="F58" s="94"/>
      <c r="G58" s="94"/>
      <c r="H58" s="535"/>
      <c r="I58" s="165"/>
    </row>
    <row r="59" spans="1:9" ht="21" x14ac:dyDescent="0.35">
      <c r="A59" s="188"/>
      <c r="B59" s="211" t="s">
        <v>672</v>
      </c>
      <c r="C59" s="94"/>
      <c r="D59" s="6">
        <v>662601</v>
      </c>
      <c r="E59" s="94"/>
      <c r="F59" s="94"/>
      <c r="G59" s="94"/>
      <c r="H59" s="535"/>
      <c r="I59" s="165"/>
    </row>
    <row r="60" spans="1:9" ht="21" x14ac:dyDescent="0.35">
      <c r="A60" s="188"/>
      <c r="B60" s="211" t="s">
        <v>673</v>
      </c>
      <c r="C60" s="94"/>
      <c r="D60" s="6">
        <v>1666437</v>
      </c>
      <c r="E60" s="94"/>
      <c r="F60" s="94"/>
      <c r="G60" s="94"/>
      <c r="H60" s="535"/>
      <c r="I60" s="165"/>
    </row>
    <row r="61" spans="1:9" ht="21" x14ac:dyDescent="0.35">
      <c r="A61" s="188"/>
      <c r="B61" s="211" t="s">
        <v>674</v>
      </c>
      <c r="C61" s="94"/>
      <c r="D61" s="6">
        <v>514871</v>
      </c>
      <c r="E61" s="94"/>
      <c r="F61" s="94"/>
      <c r="G61" s="94"/>
      <c r="H61" s="535"/>
      <c r="I61" s="165"/>
    </row>
    <row r="62" spans="1:9" ht="21" x14ac:dyDescent="0.35">
      <c r="A62" s="188"/>
      <c r="B62" s="211" t="s">
        <v>654</v>
      </c>
      <c r="C62" s="94"/>
      <c r="D62" s="6">
        <v>225150</v>
      </c>
      <c r="E62" s="94"/>
      <c r="F62" s="94"/>
      <c r="G62" s="94"/>
      <c r="H62" s="535"/>
      <c r="I62" s="165"/>
    </row>
    <row r="63" spans="1:9" ht="21" x14ac:dyDescent="0.35">
      <c r="A63" s="188"/>
      <c r="B63" s="211" t="s">
        <v>655</v>
      </c>
      <c r="C63" s="94"/>
      <c r="D63" s="6">
        <v>194800</v>
      </c>
      <c r="E63" s="94"/>
      <c r="F63" s="94"/>
      <c r="G63" s="94"/>
      <c r="H63" s="535"/>
      <c r="I63" s="165"/>
    </row>
    <row r="64" spans="1:9" ht="21" x14ac:dyDescent="0.35">
      <c r="A64" s="188"/>
      <c r="B64" s="211" t="s">
        <v>656</v>
      </c>
      <c r="C64" s="94"/>
      <c r="D64" s="6">
        <v>358920</v>
      </c>
      <c r="E64" s="94"/>
      <c r="F64" s="94"/>
      <c r="G64" s="94"/>
      <c r="H64" s="535"/>
      <c r="I64" s="165"/>
    </row>
    <row r="65" spans="1:9" ht="21" x14ac:dyDescent="0.35">
      <c r="A65" s="188"/>
      <c r="B65" s="211" t="s">
        <v>657</v>
      </c>
      <c r="C65" s="94"/>
      <c r="D65" s="6">
        <v>109473</v>
      </c>
      <c r="E65" s="94"/>
      <c r="F65" s="94"/>
      <c r="G65" s="94"/>
      <c r="H65" s="535"/>
      <c r="I65" s="165"/>
    </row>
    <row r="66" spans="1:9" ht="21" x14ac:dyDescent="0.35">
      <c r="A66" s="188"/>
      <c r="B66" s="211" t="s">
        <v>658</v>
      </c>
      <c r="C66" s="94"/>
      <c r="D66" s="6">
        <v>647071</v>
      </c>
      <c r="E66" s="94"/>
      <c r="F66" s="94"/>
      <c r="G66" s="94"/>
      <c r="H66" s="535"/>
      <c r="I66" s="165"/>
    </row>
    <row r="67" spans="1:9" ht="21" x14ac:dyDescent="0.35">
      <c r="A67" s="188"/>
      <c r="B67" s="211" t="s">
        <v>659</v>
      </c>
      <c r="C67" s="94"/>
      <c r="D67" s="6">
        <v>544045</v>
      </c>
      <c r="E67" s="94"/>
      <c r="F67" s="94"/>
      <c r="G67" s="94"/>
      <c r="H67" s="535"/>
      <c r="I67" s="165"/>
    </row>
    <row r="68" spans="1:9" ht="21" x14ac:dyDescent="0.35">
      <c r="A68" s="188"/>
      <c r="B68" s="211" t="s">
        <v>660</v>
      </c>
      <c r="C68" s="94"/>
      <c r="D68" s="6">
        <v>194065</v>
      </c>
      <c r="E68" s="94"/>
      <c r="F68" s="94"/>
      <c r="G68" s="94"/>
      <c r="H68" s="535"/>
      <c r="I68" s="165"/>
    </row>
    <row r="69" spans="1:9" ht="21" x14ac:dyDescent="0.35">
      <c r="A69" s="188"/>
      <c r="B69" s="358" t="s">
        <v>407</v>
      </c>
      <c r="C69" s="94">
        <v>65542</v>
      </c>
      <c r="D69" s="6"/>
      <c r="E69" s="94">
        <v>7966774</v>
      </c>
      <c r="F69" s="94"/>
      <c r="G69" s="94"/>
      <c r="H69" s="535"/>
      <c r="I69" s="165"/>
    </row>
    <row r="70" spans="1:9" ht="42" x14ac:dyDescent="0.35">
      <c r="A70" s="188"/>
      <c r="B70" s="168" t="s">
        <v>457</v>
      </c>
      <c r="C70" s="94"/>
      <c r="D70" s="6">
        <v>82</v>
      </c>
      <c r="E70" s="94"/>
      <c r="F70" s="94"/>
      <c r="G70" s="94"/>
      <c r="H70" s="535"/>
      <c r="I70" s="165"/>
    </row>
    <row r="71" spans="1:9" ht="21" x14ac:dyDescent="0.35">
      <c r="A71" s="188"/>
      <c r="B71" s="168" t="s">
        <v>558</v>
      </c>
      <c r="C71" s="94"/>
      <c r="D71" s="6">
        <v>30610</v>
      </c>
      <c r="E71" s="94"/>
      <c r="F71" s="94"/>
      <c r="G71" s="94"/>
      <c r="H71" s="535"/>
      <c r="I71" s="165"/>
    </row>
    <row r="72" spans="1:9" ht="21.75" thickBot="1" x14ac:dyDescent="0.4">
      <c r="A72" s="187"/>
      <c r="B72" s="168" t="s">
        <v>559</v>
      </c>
      <c r="C72" s="110"/>
      <c r="D72" s="14">
        <v>78</v>
      </c>
      <c r="E72" s="110"/>
      <c r="F72" s="110"/>
      <c r="G72" s="110"/>
      <c r="H72" s="535"/>
      <c r="I72" s="165"/>
    </row>
    <row r="73" spans="1:9" ht="21.75" thickBot="1" x14ac:dyDescent="0.4">
      <c r="A73" s="550"/>
      <c r="B73" s="551" t="s">
        <v>192</v>
      </c>
      <c r="C73" s="13">
        <f>SUM(C24:C72)</f>
        <v>90542</v>
      </c>
      <c r="D73" s="13">
        <f>SUM(D24:D72)</f>
        <v>8523166</v>
      </c>
      <c r="E73" s="13">
        <f>SUM(E24:E72)</f>
        <v>8257432</v>
      </c>
      <c r="F73" s="13">
        <f>SUM(F24:F72)</f>
        <v>197000</v>
      </c>
      <c r="G73" s="13">
        <f>SUM(G24:G72)</f>
        <v>0</v>
      </c>
      <c r="H73" s="535"/>
      <c r="I73" s="165"/>
    </row>
    <row r="74" spans="1:9" ht="21.75" thickBot="1" x14ac:dyDescent="0.4">
      <c r="A74" s="552" t="s">
        <v>173</v>
      </c>
      <c r="B74" s="553" t="s">
        <v>718</v>
      </c>
      <c r="C74" s="112">
        <v>1200</v>
      </c>
      <c r="D74" s="183">
        <v>1200</v>
      </c>
      <c r="E74" s="112"/>
      <c r="F74" s="112"/>
      <c r="G74" s="112"/>
      <c r="H74" s="535"/>
      <c r="I74" s="165"/>
    </row>
    <row r="75" spans="1:9" ht="20.25" customHeight="1" thickBot="1" x14ac:dyDescent="0.4">
      <c r="A75" s="514" t="s">
        <v>295</v>
      </c>
      <c r="B75" s="554"/>
      <c r="C75" s="96">
        <f>C10+C15+C21+C73+C74</f>
        <v>296742</v>
      </c>
      <c r="D75" s="96">
        <f t="shared" ref="D75:G75" si="1">D10+D15+D21+D73+D74</f>
        <v>8864060</v>
      </c>
      <c r="E75" s="96">
        <f t="shared" si="1"/>
        <v>8457432</v>
      </c>
      <c r="F75" s="96">
        <f t="shared" si="1"/>
        <v>197000</v>
      </c>
      <c r="G75" s="96">
        <f t="shared" si="1"/>
        <v>0</v>
      </c>
      <c r="H75" s="535"/>
      <c r="I75" s="165"/>
    </row>
    <row r="78" spans="1:9" ht="15" customHeight="1" x14ac:dyDescent="0.35">
      <c r="C78" s="532"/>
      <c r="E78" s="532"/>
      <c r="F78" s="532"/>
    </row>
    <row r="79" spans="1:9" ht="15" customHeight="1" x14ac:dyDescent="0.35">
      <c r="C79" s="532"/>
      <c r="E79" s="532"/>
    </row>
    <row r="80" spans="1:9" ht="15" customHeight="1" x14ac:dyDescent="0.35">
      <c r="C80" s="532"/>
      <c r="E80" s="532"/>
    </row>
  </sheetData>
  <customSheetViews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41:B41"/>
    <mergeCell ref="A2:G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43" fitToHeight="0" orientation="portrait" r:id="rId3"/>
  <headerFooter alignWithMargins="0">
    <oddHeader xml:space="preserve">&amp;R&amp;"-,Félkövér"&amp;14 18. melléklet a 3/2026. (II.27.) önkormányzati rendelethe&amp;"Times New Roman CE,Félkövér"&amp;20z
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22"/>
  <sheetViews>
    <sheetView zoomScale="89" zoomScaleNormal="89" workbookViewId="0">
      <selection activeCell="U16" sqref="U16"/>
    </sheetView>
  </sheetViews>
  <sheetFormatPr defaultColWidth="9.33203125" defaultRowHeight="21" x14ac:dyDescent="0.35"/>
  <cols>
    <col min="1" max="1" width="102.83203125" style="555" customWidth="1"/>
    <col min="2" max="2" width="23.83203125" style="555" bestFit="1" customWidth="1"/>
    <col min="3" max="3" width="22.1640625" style="555" bestFit="1" customWidth="1"/>
    <col min="4" max="5" width="20.83203125" style="555" customWidth="1"/>
    <col min="6" max="6" width="22.1640625" style="555" bestFit="1" customWidth="1"/>
    <col min="7" max="14" width="20.83203125" style="555" customWidth="1"/>
    <col min="15" max="15" width="16.5" style="578" bestFit="1" customWidth="1"/>
    <col min="16" max="16" width="14.6640625" style="578" bestFit="1" customWidth="1"/>
    <col min="17" max="17" width="17.33203125" style="578" customWidth="1"/>
    <col min="18" max="18" width="13.33203125" style="578" bestFit="1" customWidth="1"/>
    <col min="19" max="20" width="9.33203125" style="578"/>
    <col min="21" max="16384" width="9.33203125" style="555"/>
  </cols>
  <sheetData>
    <row r="1" spans="1:20" s="557" customFormat="1" x14ac:dyDescent="0.35">
      <c r="A1" s="52" t="s">
        <v>600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8"/>
      <c r="P1" s="558"/>
      <c r="Q1" s="558"/>
      <c r="R1" s="558"/>
      <c r="S1" s="558"/>
      <c r="T1" s="558"/>
    </row>
    <row r="2" spans="1:20" s="557" customFormat="1" x14ac:dyDescent="0.35">
      <c r="A2" s="954"/>
      <c r="B2" s="954"/>
      <c r="O2" s="558"/>
      <c r="P2" s="558"/>
      <c r="Q2" s="558"/>
      <c r="R2" s="558"/>
      <c r="S2" s="558"/>
      <c r="T2" s="558"/>
    </row>
    <row r="3" spans="1:20" s="557" customFormat="1" ht="21.75" thickBot="1" x14ac:dyDescent="0.4">
      <c r="N3" s="559" t="s">
        <v>352</v>
      </c>
      <c r="O3" s="558"/>
      <c r="P3" s="558"/>
      <c r="Q3" s="558"/>
      <c r="R3" s="558"/>
      <c r="S3" s="558"/>
      <c r="T3" s="558"/>
    </row>
    <row r="4" spans="1:20" s="557" customFormat="1" ht="20.100000000000001" customHeight="1" x14ac:dyDescent="0.35">
      <c r="A4" s="560" t="s">
        <v>203</v>
      </c>
      <c r="B4" s="561" t="s">
        <v>219</v>
      </c>
      <c r="C4" s="561" t="s">
        <v>168</v>
      </c>
      <c r="D4" s="561" t="s">
        <v>169</v>
      </c>
      <c r="E4" s="561" t="s">
        <v>170</v>
      </c>
      <c r="F4" s="561" t="s">
        <v>171</v>
      </c>
      <c r="G4" s="561" t="s">
        <v>173</v>
      </c>
      <c r="H4" s="561" t="s">
        <v>174</v>
      </c>
      <c r="I4" s="561" t="s">
        <v>175</v>
      </c>
      <c r="J4" s="561" t="s">
        <v>176</v>
      </c>
      <c r="K4" s="561" t="s">
        <v>213</v>
      </c>
      <c r="L4" s="561" t="s">
        <v>214</v>
      </c>
      <c r="M4" s="561" t="s">
        <v>215</v>
      </c>
      <c r="N4" s="561" t="s">
        <v>216</v>
      </c>
      <c r="O4" s="558"/>
      <c r="P4" s="558"/>
      <c r="Q4" s="558"/>
      <c r="R4" s="558"/>
      <c r="S4" s="558"/>
      <c r="T4" s="558"/>
    </row>
    <row r="5" spans="1:20" s="557" customFormat="1" ht="20.100000000000001" customHeight="1" x14ac:dyDescent="0.35">
      <c r="A5" s="562"/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58"/>
      <c r="P5" s="558"/>
      <c r="Q5" s="558"/>
      <c r="R5" s="558"/>
      <c r="S5" s="558"/>
      <c r="T5" s="558"/>
    </row>
    <row r="6" spans="1:20" s="557" customFormat="1" ht="67.5" customHeight="1" thickBot="1" x14ac:dyDescent="0.4">
      <c r="A6" s="564"/>
      <c r="B6" s="565" t="s">
        <v>220</v>
      </c>
      <c r="C6" s="565" t="s">
        <v>221</v>
      </c>
      <c r="D6" s="565" t="s">
        <v>221</v>
      </c>
      <c r="E6" s="565" t="s">
        <v>221</v>
      </c>
      <c r="F6" s="565" t="s">
        <v>221</v>
      </c>
      <c r="G6" s="565" t="s">
        <v>221</v>
      </c>
      <c r="H6" s="565" t="s">
        <v>221</v>
      </c>
      <c r="I6" s="565" t="s">
        <v>221</v>
      </c>
      <c r="J6" s="565" t="s">
        <v>221</v>
      </c>
      <c r="K6" s="565" t="s">
        <v>221</v>
      </c>
      <c r="L6" s="565" t="s">
        <v>221</v>
      </c>
      <c r="M6" s="565" t="s">
        <v>221</v>
      </c>
      <c r="N6" s="565" t="s">
        <v>221</v>
      </c>
      <c r="O6" s="558"/>
      <c r="P6" s="558"/>
      <c r="Q6" s="558"/>
      <c r="R6" s="558"/>
      <c r="S6" s="558"/>
      <c r="T6" s="558"/>
    </row>
    <row r="7" spans="1:20" s="557" customFormat="1" ht="24" customHeight="1" x14ac:dyDescent="0.35">
      <c r="A7" s="567" t="s">
        <v>222</v>
      </c>
      <c r="B7" s="568">
        <f>'1 kiemelt ei. '!G13</f>
        <v>31142740</v>
      </c>
      <c r="C7" s="568">
        <f>897325+177046+189084+4666</f>
        <v>1268121</v>
      </c>
      <c r="D7" s="568">
        <f t="shared" ref="D7:L7" si="0">897325+177046+189084+4666</f>
        <v>1268121</v>
      </c>
      <c r="E7" s="568">
        <f>897325+177046+189084+4666+40279+4026000+1367500</f>
        <v>6701900</v>
      </c>
      <c r="F7" s="568">
        <f t="shared" si="0"/>
        <v>1268121</v>
      </c>
      <c r="G7" s="568">
        <f>897325+177046+189084+4666+2000000</f>
        <v>3268121</v>
      </c>
      <c r="H7" s="568">
        <f t="shared" si="0"/>
        <v>1268121</v>
      </c>
      <c r="I7" s="568">
        <f>897325+177046+189084+4666+250000+700000</f>
        <v>2218121</v>
      </c>
      <c r="J7" s="568">
        <f t="shared" si="0"/>
        <v>1268121</v>
      </c>
      <c r="K7" s="568">
        <f>897325+177046+189084+4666+4000000+1367500</f>
        <v>6635621</v>
      </c>
      <c r="L7" s="568">
        <f t="shared" si="0"/>
        <v>1268121</v>
      </c>
      <c r="M7" s="568">
        <f>897325+177046+189084+4666+1000000</f>
        <v>2268121</v>
      </c>
      <c r="N7" s="568">
        <f>897325+177046+189084+4666+2174000+9-1000000</f>
        <v>2442130</v>
      </c>
      <c r="O7" s="558"/>
      <c r="P7" s="558"/>
      <c r="Q7" s="558"/>
      <c r="R7" s="558"/>
      <c r="S7" s="558"/>
      <c r="T7" s="558"/>
    </row>
    <row r="8" spans="1:20" s="557" customFormat="1" ht="24" customHeight="1" thickBot="1" x14ac:dyDescent="0.4">
      <c r="A8" s="564" t="s">
        <v>223</v>
      </c>
      <c r="B8" s="569">
        <f>'1 kiemelt ei. '!G17</f>
        <v>507000</v>
      </c>
      <c r="C8" s="569">
        <v>583</v>
      </c>
      <c r="D8" s="569">
        <v>583</v>
      </c>
      <c r="E8" s="569">
        <v>583</v>
      </c>
      <c r="F8" s="569">
        <v>583</v>
      </c>
      <c r="G8" s="569">
        <v>583</v>
      </c>
      <c r="H8" s="569">
        <v>583</v>
      </c>
      <c r="I8" s="569">
        <v>583</v>
      </c>
      <c r="J8" s="569">
        <v>583</v>
      </c>
      <c r="K8" s="569">
        <v>583</v>
      </c>
      <c r="L8" s="569">
        <v>583</v>
      </c>
      <c r="M8" s="569">
        <f>583+500000</f>
        <v>500583</v>
      </c>
      <c r="N8" s="569">
        <f>583+4</f>
        <v>587</v>
      </c>
      <c r="O8" s="558"/>
      <c r="P8" s="558"/>
      <c r="Q8" s="558"/>
      <c r="R8" s="558"/>
      <c r="S8" s="558"/>
      <c r="T8" s="558"/>
    </row>
    <row r="9" spans="1:20" s="572" customFormat="1" ht="24" customHeight="1" thickBot="1" x14ac:dyDescent="0.4">
      <c r="A9" s="570" t="s">
        <v>224</v>
      </c>
      <c r="B9" s="571">
        <f t="shared" ref="B9:N9" si="1">+B7+B8</f>
        <v>31649740</v>
      </c>
      <c r="C9" s="571">
        <f t="shared" si="1"/>
        <v>1268704</v>
      </c>
      <c r="D9" s="571">
        <f t="shared" si="1"/>
        <v>1268704</v>
      </c>
      <c r="E9" s="571">
        <f t="shared" si="1"/>
        <v>6702483</v>
      </c>
      <c r="F9" s="571">
        <f t="shared" si="1"/>
        <v>1268704</v>
      </c>
      <c r="G9" s="571">
        <f t="shared" si="1"/>
        <v>3268704</v>
      </c>
      <c r="H9" s="571">
        <f t="shared" si="1"/>
        <v>1268704</v>
      </c>
      <c r="I9" s="571">
        <f t="shared" si="1"/>
        <v>2218704</v>
      </c>
      <c r="J9" s="571">
        <f t="shared" si="1"/>
        <v>1268704</v>
      </c>
      <c r="K9" s="571">
        <f t="shared" si="1"/>
        <v>6636204</v>
      </c>
      <c r="L9" s="571">
        <f t="shared" si="1"/>
        <v>1268704</v>
      </c>
      <c r="M9" s="571">
        <f t="shared" si="1"/>
        <v>2768704</v>
      </c>
      <c r="N9" s="571">
        <f t="shared" si="1"/>
        <v>2442717</v>
      </c>
      <c r="O9" s="566"/>
      <c r="P9" s="566"/>
      <c r="Q9" s="566"/>
      <c r="R9" s="566"/>
      <c r="S9" s="566"/>
      <c r="T9" s="566"/>
    </row>
    <row r="10" spans="1:20" s="557" customFormat="1" ht="49.5" customHeight="1" thickBot="1" x14ac:dyDescent="0.4">
      <c r="A10" s="573" t="s">
        <v>225</v>
      </c>
      <c r="B10" s="574">
        <f>'1 kiemelt ei. '!G19</f>
        <v>10830113</v>
      </c>
      <c r="C10" s="575">
        <f>10830113-1940747-7966774</f>
        <v>922592</v>
      </c>
      <c r="D10" s="575"/>
      <c r="E10" s="575"/>
      <c r="F10" s="575"/>
      <c r="G10" s="575"/>
      <c r="H10" s="575"/>
      <c r="I10" s="575"/>
      <c r="J10" s="575"/>
      <c r="K10" s="575"/>
      <c r="L10" s="575"/>
      <c r="M10" s="575">
        <v>9907521</v>
      </c>
      <c r="N10" s="575"/>
      <c r="O10" s="566"/>
      <c r="P10" s="558"/>
      <c r="Q10" s="558"/>
      <c r="R10" s="558"/>
      <c r="S10" s="558"/>
      <c r="T10" s="558"/>
    </row>
    <row r="11" spans="1:20" s="572" customFormat="1" ht="24" customHeight="1" thickBot="1" x14ac:dyDescent="0.4">
      <c r="A11" s="576" t="s">
        <v>226</v>
      </c>
      <c r="B11" s="571">
        <f>+B9+B10</f>
        <v>42479853</v>
      </c>
      <c r="C11" s="571">
        <f t="shared" ref="C11:N11" si="2">+C9+C10</f>
        <v>2191296</v>
      </c>
      <c r="D11" s="571">
        <f t="shared" si="2"/>
        <v>1268704</v>
      </c>
      <c r="E11" s="571">
        <f t="shared" si="2"/>
        <v>6702483</v>
      </c>
      <c r="F11" s="571">
        <f t="shared" si="2"/>
        <v>1268704</v>
      </c>
      <c r="G11" s="571">
        <f t="shared" si="2"/>
        <v>3268704</v>
      </c>
      <c r="H11" s="571">
        <f t="shared" si="2"/>
        <v>1268704</v>
      </c>
      <c r="I11" s="571">
        <f t="shared" si="2"/>
        <v>2218704</v>
      </c>
      <c r="J11" s="571">
        <f t="shared" si="2"/>
        <v>1268704</v>
      </c>
      <c r="K11" s="571">
        <f t="shared" si="2"/>
        <v>6636204</v>
      </c>
      <c r="L11" s="571">
        <f t="shared" si="2"/>
        <v>1268704</v>
      </c>
      <c r="M11" s="571">
        <f t="shared" si="2"/>
        <v>12676225</v>
      </c>
      <c r="N11" s="571">
        <f t="shared" si="2"/>
        <v>2442717</v>
      </c>
      <c r="O11" s="566"/>
      <c r="P11" s="566"/>
      <c r="Q11" s="566"/>
      <c r="R11" s="566"/>
      <c r="S11" s="566"/>
      <c r="T11" s="566"/>
    </row>
    <row r="12" spans="1:20" s="557" customFormat="1" ht="24" customHeight="1" x14ac:dyDescent="0.35">
      <c r="O12" s="558"/>
      <c r="P12" s="558"/>
      <c r="Q12" s="558"/>
      <c r="R12" s="558"/>
      <c r="S12" s="558"/>
      <c r="T12" s="558"/>
    </row>
    <row r="13" spans="1:20" s="557" customFormat="1" x14ac:dyDescent="0.35">
      <c r="B13" s="558"/>
      <c r="O13" s="558"/>
      <c r="P13" s="558"/>
      <c r="Q13" s="558"/>
      <c r="R13" s="558"/>
      <c r="S13" s="558"/>
      <c r="T13" s="558"/>
    </row>
    <row r="14" spans="1:20" s="557" customFormat="1" x14ac:dyDescent="0.35"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8"/>
      <c r="Q14" s="558"/>
      <c r="R14" s="558"/>
      <c r="S14" s="558"/>
      <c r="T14" s="558"/>
    </row>
    <row r="15" spans="1:20" s="557" customFormat="1" x14ac:dyDescent="0.35">
      <c r="C15" s="558"/>
      <c r="O15" s="558"/>
      <c r="P15" s="558"/>
      <c r="Q15" s="558"/>
      <c r="R15" s="558"/>
      <c r="S15" s="558"/>
      <c r="T15" s="558"/>
    </row>
    <row r="16" spans="1:20" s="557" customFormat="1" x14ac:dyDescent="0.35">
      <c r="C16" s="577"/>
      <c r="D16" s="577"/>
      <c r="E16" s="577"/>
      <c r="F16" s="558"/>
      <c r="G16" s="558"/>
      <c r="H16" s="558"/>
      <c r="I16" s="558"/>
      <c r="L16" s="558"/>
      <c r="M16" s="577"/>
      <c r="N16" s="577"/>
      <c r="O16" s="558"/>
      <c r="P16" s="558"/>
      <c r="Q16" s="558"/>
      <c r="R16" s="558"/>
      <c r="S16" s="558"/>
      <c r="T16" s="558"/>
    </row>
    <row r="17" spans="2:20" s="557" customFormat="1" x14ac:dyDescent="0.35">
      <c r="F17" s="558"/>
      <c r="G17" s="558"/>
      <c r="H17" s="558"/>
      <c r="I17" s="558"/>
      <c r="J17" s="558"/>
      <c r="L17" s="558"/>
      <c r="O17" s="558"/>
      <c r="P17" s="558"/>
      <c r="Q17" s="558"/>
      <c r="R17" s="558"/>
      <c r="S17" s="558"/>
      <c r="T17" s="558"/>
    </row>
    <row r="18" spans="2:20" s="557" customFormat="1" x14ac:dyDescent="0.35">
      <c r="B18" s="558"/>
      <c r="C18" s="558"/>
      <c r="F18" s="558"/>
      <c r="G18" s="558"/>
      <c r="H18" s="558"/>
      <c r="I18" s="558"/>
      <c r="J18" s="558"/>
      <c r="K18" s="558"/>
      <c r="O18" s="558"/>
      <c r="P18" s="558"/>
      <c r="Q18" s="558"/>
      <c r="R18" s="558"/>
      <c r="S18" s="558"/>
      <c r="T18" s="558"/>
    </row>
    <row r="19" spans="2:20" s="557" customFormat="1" x14ac:dyDescent="0.35">
      <c r="F19" s="558"/>
      <c r="G19" s="558"/>
      <c r="H19" s="558"/>
      <c r="I19" s="558"/>
      <c r="J19" s="558"/>
      <c r="L19" s="558"/>
      <c r="O19" s="558"/>
      <c r="P19" s="558"/>
      <c r="Q19" s="558"/>
      <c r="R19" s="558"/>
      <c r="S19" s="558"/>
      <c r="T19" s="558"/>
    </row>
    <row r="20" spans="2:20" s="557" customFormat="1" x14ac:dyDescent="0.35">
      <c r="C20" s="558"/>
      <c r="F20" s="558"/>
      <c r="G20" s="558"/>
      <c r="H20" s="558"/>
      <c r="O20" s="558"/>
      <c r="P20" s="558"/>
      <c r="Q20" s="558"/>
      <c r="R20" s="558"/>
      <c r="S20" s="558"/>
      <c r="T20" s="558"/>
    </row>
    <row r="21" spans="2:20" x14ac:dyDescent="0.35">
      <c r="F21" s="578"/>
      <c r="G21" s="578"/>
      <c r="H21" s="558"/>
      <c r="I21" s="578"/>
      <c r="J21" s="578"/>
      <c r="K21" s="578"/>
    </row>
    <row r="22" spans="2:20" x14ac:dyDescent="0.35">
      <c r="F22" s="578"/>
      <c r="G22" s="578"/>
      <c r="H22" s="558"/>
      <c r="I22" s="578"/>
      <c r="J22" s="578"/>
      <c r="K22" s="578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3/2026. (II.27.) önkormányzati rendelethe&amp;"Times New Roman CE,Félkövér"z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/>
  <dimension ref="A2:K66"/>
  <sheetViews>
    <sheetView zoomScale="77" zoomScaleNormal="77" workbookViewId="0">
      <selection activeCell="N3" sqref="N3"/>
    </sheetView>
  </sheetViews>
  <sheetFormatPr defaultColWidth="9.33203125" defaultRowHeight="15" customHeight="1" x14ac:dyDescent="0.35"/>
  <cols>
    <col min="1" max="1" width="3.1640625" style="86" customWidth="1"/>
    <col min="2" max="2" width="5" style="86" customWidth="1"/>
    <col min="3" max="3" width="119" style="86" bestFit="1" customWidth="1"/>
    <col min="4" max="4" width="38" style="86" customWidth="1"/>
    <col min="5" max="5" width="43.83203125" style="86" customWidth="1"/>
    <col min="6" max="6" width="40.1640625" style="86" customWidth="1"/>
    <col min="7" max="7" width="33.6640625" style="86" customWidth="1"/>
    <col min="8" max="8" width="120.6640625" style="86" customWidth="1"/>
    <col min="9" max="9" width="37.83203125" style="86" customWidth="1"/>
    <col min="10" max="10" width="45.5" style="86" customWidth="1"/>
    <col min="11" max="11" width="40.6640625" style="86" customWidth="1"/>
    <col min="12" max="12" width="7.83203125" style="86" customWidth="1"/>
    <col min="13" max="14" width="9.33203125" style="86"/>
    <col min="15" max="15" width="17.6640625" style="86" bestFit="1" customWidth="1"/>
    <col min="16" max="16" width="14.6640625" style="86" bestFit="1" customWidth="1"/>
    <col min="17" max="17" width="10.5" style="86" bestFit="1" customWidth="1"/>
    <col min="18" max="16384" width="9.33203125" style="86"/>
  </cols>
  <sheetData>
    <row r="2" spans="1:11" ht="18.75" customHeight="1" x14ac:dyDescent="0.35">
      <c r="A2" s="925" t="s">
        <v>411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</row>
    <row r="3" spans="1:11" ht="15" customHeight="1" thickBot="1" x14ac:dyDescent="0.4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5" t="s">
        <v>204</v>
      </c>
    </row>
    <row r="4" spans="1:11" ht="23.25" x14ac:dyDescent="0.35">
      <c r="A4" s="246"/>
      <c r="B4" s="247" t="s">
        <v>14</v>
      </c>
      <c r="C4" s="247"/>
      <c r="D4" s="248" t="s">
        <v>445</v>
      </c>
      <c r="E4" s="248" t="s">
        <v>612</v>
      </c>
      <c r="F4" s="248" t="s">
        <v>467</v>
      </c>
      <c r="G4" s="247" t="s">
        <v>15</v>
      </c>
      <c r="H4" s="249"/>
      <c r="I4" s="248" t="s">
        <v>445</v>
      </c>
      <c r="J4" s="248" t="s">
        <v>612</v>
      </c>
      <c r="K4" s="248" t="s">
        <v>467</v>
      </c>
    </row>
    <row r="5" spans="1:11" ht="23.25" x14ac:dyDescent="0.35">
      <c r="A5" s="250"/>
      <c r="B5" s="153"/>
      <c r="C5" s="153"/>
      <c r="D5" s="251" t="s">
        <v>336</v>
      </c>
      <c r="E5" s="251" t="s">
        <v>350</v>
      </c>
      <c r="F5" s="251" t="s">
        <v>336</v>
      </c>
      <c r="G5" s="153"/>
      <c r="I5" s="251" t="s">
        <v>336</v>
      </c>
      <c r="J5" s="251" t="s">
        <v>350</v>
      </c>
      <c r="K5" s="251" t="s">
        <v>336</v>
      </c>
    </row>
    <row r="6" spans="1:11" ht="24" thickBot="1" x14ac:dyDescent="0.4">
      <c r="A6" s="252"/>
      <c r="B6" s="253"/>
      <c r="C6" s="253"/>
      <c r="D6" s="254"/>
      <c r="E6" s="254"/>
      <c r="F6" s="254"/>
      <c r="G6" s="255"/>
      <c r="H6" s="256"/>
      <c r="I6" s="254"/>
      <c r="J6" s="254"/>
      <c r="K6" s="254"/>
    </row>
    <row r="7" spans="1:11" ht="23.25" x14ac:dyDescent="0.35">
      <c r="A7" s="257" t="s">
        <v>106</v>
      </c>
      <c r="B7" s="258"/>
      <c r="C7" s="258"/>
      <c r="D7" s="127">
        <f>'3 működési bevételek'!F56</f>
        <v>9551585</v>
      </c>
      <c r="E7" s="127">
        <f>'3 működési bevételek'!G56</f>
        <v>9963486</v>
      </c>
      <c r="F7" s="127">
        <f>'3 működési bevételek'!H56</f>
        <v>11782041</v>
      </c>
      <c r="G7" s="258" t="s">
        <v>198</v>
      </c>
      <c r="H7" s="259"/>
      <c r="I7" s="130">
        <f>+'8 oktatás'!B25+'8 oktatás'!B9</f>
        <v>6070061</v>
      </c>
      <c r="J7" s="130">
        <f>+'8 oktatás'!C25+'8 oktatás'!C9</f>
        <v>6271990</v>
      </c>
      <c r="K7" s="130">
        <f>'8 oktatás'!D26</f>
        <v>6593717</v>
      </c>
    </row>
    <row r="8" spans="1:11" ht="23.25" x14ac:dyDescent="0.35">
      <c r="A8" s="260" t="s">
        <v>182</v>
      </c>
      <c r="B8" s="151"/>
      <c r="C8" s="151"/>
      <c r="D8" s="128">
        <f>'3 működési bevételek'!F70</f>
        <v>14308000</v>
      </c>
      <c r="E8" s="128">
        <f>'3 működési bevételek'!G70</f>
        <v>16204265</v>
      </c>
      <c r="F8" s="128">
        <f>'3 működési bevételek'!H70</f>
        <v>14991000</v>
      </c>
      <c r="G8" s="151" t="s">
        <v>278</v>
      </c>
      <c r="H8" s="261"/>
      <c r="I8" s="131">
        <f>'9 kultúra'!B63</f>
        <v>3102126</v>
      </c>
      <c r="J8" s="131">
        <f>'9 kultúra'!C63</f>
        <v>4052441</v>
      </c>
      <c r="K8" s="131">
        <f>'9 kultúra'!D63</f>
        <v>3694119</v>
      </c>
    </row>
    <row r="9" spans="1:11" ht="23.25" x14ac:dyDescent="0.35">
      <c r="A9" s="262" t="s">
        <v>50</v>
      </c>
      <c r="B9" s="263"/>
      <c r="C9" s="263"/>
      <c r="D9" s="129">
        <f>'3 működési bevételek'!F106</f>
        <v>2148686</v>
      </c>
      <c r="E9" s="129">
        <f>'3 működési bevételek'!G106</f>
        <v>3131964</v>
      </c>
      <c r="F9" s="129">
        <f>'3 működési bevételek'!H106</f>
        <v>2100686</v>
      </c>
      <c r="G9" s="263" t="s">
        <v>146</v>
      </c>
      <c r="H9" s="264"/>
      <c r="I9" s="132">
        <f>'10 szociális'!B36</f>
        <v>2203054</v>
      </c>
      <c r="J9" s="132">
        <f>'10 szociális'!C36</f>
        <v>2611650</v>
      </c>
      <c r="K9" s="132">
        <f>'10 szociális'!D36</f>
        <v>2284192</v>
      </c>
    </row>
    <row r="10" spans="1:11" ht="23.25" x14ac:dyDescent="0.35">
      <c r="A10" s="262" t="s">
        <v>107</v>
      </c>
      <c r="B10" s="263"/>
      <c r="C10" s="263"/>
      <c r="D10" s="129">
        <f>'3 működési bevételek'!F130</f>
        <v>0</v>
      </c>
      <c r="E10" s="129">
        <f>'3 működési bevételek'!G130</f>
        <v>1995855</v>
      </c>
      <c r="F10" s="129">
        <f>'3 működési bevételek'!H130</f>
        <v>0</v>
      </c>
      <c r="G10" s="263" t="s">
        <v>141</v>
      </c>
      <c r="H10" s="264"/>
      <c r="I10" s="132">
        <f>'11 egészségügy'!B19</f>
        <v>911877</v>
      </c>
      <c r="J10" s="132">
        <f>'11 egészségügy'!C19</f>
        <v>1115470</v>
      </c>
      <c r="K10" s="132">
        <f>'11 egészségügy'!D19</f>
        <v>1038794</v>
      </c>
    </row>
    <row r="11" spans="1:11" ht="23.25" x14ac:dyDescent="0.35">
      <c r="A11" s="262" t="s">
        <v>84</v>
      </c>
      <c r="B11" s="263"/>
      <c r="C11" s="263"/>
      <c r="D11" s="129">
        <f>'3 működési bevételek'!F144</f>
        <v>1999313</v>
      </c>
      <c r="E11" s="129">
        <f>'3 működési bevételek'!G144</f>
        <v>2674034</v>
      </c>
      <c r="F11" s="129">
        <f>'3 működési bevételek'!H144</f>
        <v>2269013</v>
      </c>
      <c r="G11" s="263" t="s">
        <v>287</v>
      </c>
      <c r="H11" s="264"/>
      <c r="I11" s="132">
        <f>'12 gyermek és ifj.véd.'!B12</f>
        <v>1990106</v>
      </c>
      <c r="J11" s="132">
        <f>'12 gyermek és ifj.véd.'!C12</f>
        <v>2011664</v>
      </c>
      <c r="K11" s="132">
        <f>'12 gyermek és ifj.véd.'!D12</f>
        <v>2147581</v>
      </c>
    </row>
    <row r="12" spans="1:11" ht="23.25" x14ac:dyDescent="0.35">
      <c r="A12" s="265"/>
      <c r="D12" s="141"/>
      <c r="E12" s="141"/>
      <c r="F12" s="141"/>
      <c r="G12" s="263" t="s">
        <v>288</v>
      </c>
      <c r="H12" s="266"/>
      <c r="I12" s="132">
        <f>'13 egyéb'!B114</f>
        <v>11678266</v>
      </c>
      <c r="J12" s="132">
        <f>'13 egyéb'!C114</f>
        <v>16063475</v>
      </c>
      <c r="K12" s="132">
        <f>'13 egyéb'!D114</f>
        <v>12726120</v>
      </c>
    </row>
    <row r="13" spans="1:11" ht="23.25" x14ac:dyDescent="0.35">
      <c r="A13" s="267"/>
      <c r="B13" s="152"/>
      <c r="C13" s="152"/>
      <c r="D13" s="268"/>
      <c r="E13" s="268"/>
      <c r="F13" s="268"/>
      <c r="G13" s="263" t="s">
        <v>154</v>
      </c>
      <c r="H13" s="269"/>
      <c r="I13" s="132">
        <f>+'14 sport'!B25</f>
        <v>936977</v>
      </c>
      <c r="J13" s="132">
        <f>+'14 sport'!C25</f>
        <v>1230515</v>
      </c>
      <c r="K13" s="132">
        <f>+'14 sport'!D25</f>
        <v>984977</v>
      </c>
    </row>
    <row r="14" spans="1:11" ht="23.25" x14ac:dyDescent="0.35">
      <c r="A14" s="267"/>
      <c r="C14" s="152"/>
      <c r="D14" s="268"/>
      <c r="E14" s="268"/>
      <c r="F14" s="268"/>
      <c r="G14" s="263" t="s">
        <v>92</v>
      </c>
      <c r="H14" s="270"/>
      <c r="I14" s="132">
        <f>+'15 város.ü.'!B28</f>
        <v>1485832</v>
      </c>
      <c r="J14" s="132">
        <f>+'15 város.ü.'!C28</f>
        <v>1846461</v>
      </c>
      <c r="K14" s="132">
        <f>+'15 város.ü.'!D28</f>
        <v>3079786</v>
      </c>
    </row>
    <row r="15" spans="1:11" ht="23.25" x14ac:dyDescent="0.35">
      <c r="A15" s="267"/>
      <c r="C15" s="152"/>
      <c r="D15" s="268"/>
      <c r="E15" s="268"/>
      <c r="F15" s="141"/>
      <c r="G15" s="263" t="s">
        <v>189</v>
      </c>
      <c r="H15" s="270"/>
      <c r="I15" s="132">
        <f>+'16 út-híd'!B30</f>
        <v>367300</v>
      </c>
      <c r="J15" s="132">
        <f>+'16 út-híd'!C30</f>
        <v>696203</v>
      </c>
      <c r="K15" s="132">
        <f>+'16 út-híd'!D30</f>
        <v>396000</v>
      </c>
    </row>
    <row r="16" spans="1:11" ht="23.25" x14ac:dyDescent="0.35">
      <c r="A16" s="267"/>
      <c r="C16" s="152"/>
      <c r="D16" s="268"/>
      <c r="E16" s="268"/>
      <c r="F16" s="141"/>
      <c r="G16" s="152" t="s">
        <v>11</v>
      </c>
      <c r="H16" s="271"/>
      <c r="I16" s="133"/>
      <c r="J16" s="133"/>
      <c r="K16" s="133"/>
    </row>
    <row r="17" spans="1:11" ht="23.25" x14ac:dyDescent="0.35">
      <c r="A17" s="272"/>
      <c r="B17" s="273"/>
      <c r="C17" s="273"/>
      <c r="D17" s="274"/>
      <c r="E17" s="274"/>
      <c r="F17" s="141"/>
      <c r="G17" s="152"/>
      <c r="H17" s="151" t="s">
        <v>136</v>
      </c>
      <c r="I17" s="128">
        <v>2245</v>
      </c>
      <c r="J17" s="128">
        <v>745</v>
      </c>
      <c r="K17" s="128">
        <f>2245+1+6686+3649-200+1510</f>
        <v>13891</v>
      </c>
    </row>
    <row r="18" spans="1:11" ht="69.75" x14ac:dyDescent="0.35">
      <c r="A18" s="272"/>
      <c r="B18" s="273"/>
      <c r="C18" s="273"/>
      <c r="D18" s="274"/>
      <c r="E18" s="274"/>
      <c r="F18" s="141"/>
      <c r="G18" s="152"/>
      <c r="H18" s="275" t="s">
        <v>594</v>
      </c>
      <c r="I18" s="128">
        <v>142713</v>
      </c>
      <c r="J18" s="129"/>
      <c r="K18" s="128">
        <f>142713-392</f>
        <v>142321</v>
      </c>
    </row>
    <row r="19" spans="1:11" ht="43.9" customHeight="1" x14ac:dyDescent="0.35">
      <c r="A19" s="272"/>
      <c r="B19" s="273"/>
      <c r="C19" s="273"/>
      <c r="D19" s="274"/>
      <c r="E19" s="274"/>
      <c r="F19" s="274"/>
      <c r="G19" s="152"/>
      <c r="H19" s="275" t="s">
        <v>595</v>
      </c>
      <c r="I19" s="128">
        <v>243763</v>
      </c>
      <c r="J19" s="129">
        <v>3631</v>
      </c>
      <c r="K19" s="128">
        <f>243763-19926-77726-38000-79910-3631</f>
        <v>24570</v>
      </c>
    </row>
    <row r="20" spans="1:11" ht="43.9" customHeight="1" x14ac:dyDescent="0.35">
      <c r="A20" s="272"/>
      <c r="B20" s="273"/>
      <c r="C20" s="273"/>
      <c r="D20" s="274"/>
      <c r="E20" s="274"/>
      <c r="F20" s="274"/>
      <c r="G20" s="152"/>
      <c r="H20" s="275" t="s">
        <v>716</v>
      </c>
      <c r="I20" s="128"/>
      <c r="J20" s="128"/>
      <c r="K20" s="128">
        <v>139829</v>
      </c>
    </row>
    <row r="21" spans="1:11" ht="43.9" customHeight="1" x14ac:dyDescent="0.35">
      <c r="A21" s="272"/>
      <c r="B21" s="273"/>
      <c r="C21" s="273"/>
      <c r="D21" s="274"/>
      <c r="E21" s="274"/>
      <c r="F21" s="274"/>
      <c r="G21" s="152"/>
      <c r="H21" s="275" t="s">
        <v>686</v>
      </c>
      <c r="I21" s="128"/>
      <c r="J21" s="128">
        <v>79270</v>
      </c>
      <c r="K21" s="128"/>
    </row>
    <row r="22" spans="1:11" ht="43.9" customHeight="1" x14ac:dyDescent="0.35">
      <c r="A22" s="272"/>
      <c r="B22" s="273"/>
      <c r="C22" s="273"/>
      <c r="D22" s="274"/>
      <c r="E22" s="274"/>
      <c r="F22" s="274"/>
      <c r="G22" s="152"/>
      <c r="H22" s="275" t="s">
        <v>687</v>
      </c>
      <c r="I22" s="128"/>
      <c r="J22" s="128">
        <v>426414</v>
      </c>
      <c r="K22" s="128"/>
    </row>
    <row r="23" spans="1:11" ht="43.9" customHeight="1" x14ac:dyDescent="0.35">
      <c r="A23" s="272"/>
      <c r="B23" s="273"/>
      <c r="C23" s="273"/>
      <c r="D23" s="274"/>
      <c r="E23" s="274"/>
      <c r="F23" s="274"/>
      <c r="G23" s="152"/>
      <c r="H23" s="275" t="s">
        <v>590</v>
      </c>
      <c r="I23" s="128">
        <v>200000</v>
      </c>
      <c r="J23" s="128"/>
      <c r="K23" s="128">
        <f>7158+42842+7842+7890+76016-1000-1000-300+5000-4000-1000+500-5000-6966</f>
        <v>127982</v>
      </c>
    </row>
    <row r="24" spans="1:11" ht="23.25" x14ac:dyDescent="0.35">
      <c r="A24" s="272"/>
      <c r="B24" s="273"/>
      <c r="C24" s="273"/>
      <c r="D24" s="274"/>
      <c r="E24" s="274"/>
      <c r="F24" s="274"/>
      <c r="G24" s="152"/>
      <c r="H24" s="275" t="s">
        <v>712</v>
      </c>
      <c r="I24" s="128">
        <v>0</v>
      </c>
      <c r="J24" s="128"/>
      <c r="K24" s="128">
        <f>10000-5000+5000</f>
        <v>10000</v>
      </c>
    </row>
    <row r="25" spans="1:11" ht="24" thickBot="1" x14ac:dyDescent="0.4">
      <c r="A25" s="276"/>
      <c r="B25" s="277"/>
      <c r="C25" s="278"/>
      <c r="D25" s="279"/>
      <c r="E25" s="279"/>
      <c r="F25" s="279"/>
      <c r="G25" s="280" t="s">
        <v>36</v>
      </c>
      <c r="H25" s="134"/>
      <c r="I25" s="134">
        <f>SUM(I17:I24)</f>
        <v>588721</v>
      </c>
      <c r="J25" s="134">
        <f>SUM(J16:J24)</f>
        <v>510060</v>
      </c>
      <c r="K25" s="134">
        <f>SUM(K17:K24)</f>
        <v>458593</v>
      </c>
    </row>
    <row r="26" spans="1:11" ht="24" thickBot="1" x14ac:dyDescent="0.4">
      <c r="A26" s="281" t="s">
        <v>131</v>
      </c>
      <c r="B26" s="282"/>
      <c r="C26" s="283"/>
      <c r="D26" s="142">
        <f>SUM(D7:D25)</f>
        <v>28007584</v>
      </c>
      <c r="E26" s="142">
        <f>SUM(E7:E25)</f>
        <v>33969604</v>
      </c>
      <c r="F26" s="142">
        <f>SUM(F7:F25)</f>
        <v>31142740</v>
      </c>
      <c r="G26" s="253" t="s">
        <v>151</v>
      </c>
      <c r="H26" s="253"/>
      <c r="I26" s="139">
        <f>+I25+I15+I14+I13+I12+I11+I10+I9+I8+I7</f>
        <v>29334320</v>
      </c>
      <c r="J26" s="139">
        <f>+J25+J15+J14+J13+J12+J11+J10+J9+J8+J7</f>
        <v>36409929</v>
      </c>
      <c r="K26" s="139">
        <f>+K25+K15+K14+K13+K12+K11+K10+K9+K8+K7</f>
        <v>33403879</v>
      </c>
    </row>
    <row r="27" spans="1:11" ht="24" thickBot="1" x14ac:dyDescent="0.4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spans="1:11" ht="28.5" customHeight="1" x14ac:dyDescent="0.35">
      <c r="A28" s="246"/>
      <c r="B28" s="247"/>
      <c r="C28" s="284" t="s">
        <v>57</v>
      </c>
      <c r="D28" s="248" t="s">
        <v>445</v>
      </c>
      <c r="E28" s="248" t="s">
        <v>612</v>
      </c>
      <c r="F28" s="248" t="s">
        <v>467</v>
      </c>
      <c r="G28" s="285"/>
      <c r="H28" s="247" t="s">
        <v>69</v>
      </c>
      <c r="I28" s="248" t="s">
        <v>445</v>
      </c>
      <c r="J28" s="248" t="s">
        <v>612</v>
      </c>
      <c r="K28" s="248" t="s">
        <v>467</v>
      </c>
    </row>
    <row r="29" spans="1:11" ht="20.25" customHeight="1" x14ac:dyDescent="0.35">
      <c r="A29" s="250"/>
      <c r="B29" s="153"/>
      <c r="C29" s="286"/>
      <c r="D29" s="251" t="s">
        <v>336</v>
      </c>
      <c r="E29" s="251" t="s">
        <v>350</v>
      </c>
      <c r="F29" s="251" t="s">
        <v>336</v>
      </c>
      <c r="G29" s="287"/>
      <c r="H29" s="153"/>
      <c r="I29" s="251" t="s">
        <v>336</v>
      </c>
      <c r="J29" s="251" t="s">
        <v>350</v>
      </c>
      <c r="K29" s="251" t="s">
        <v>336</v>
      </c>
    </row>
    <row r="30" spans="1:11" ht="18.75" customHeight="1" thickBot="1" x14ac:dyDescent="0.4">
      <c r="A30" s="252"/>
      <c r="B30" s="253"/>
      <c r="C30" s="288"/>
      <c r="D30" s="254"/>
      <c r="E30" s="254"/>
      <c r="F30" s="254"/>
      <c r="G30" s="255"/>
      <c r="H30" s="256"/>
      <c r="I30" s="254"/>
      <c r="J30" s="254"/>
      <c r="K30" s="254"/>
    </row>
    <row r="31" spans="1:11" ht="23.25" x14ac:dyDescent="0.35">
      <c r="A31" s="289" t="s">
        <v>67</v>
      </c>
      <c r="B31" s="290"/>
      <c r="C31" s="291"/>
      <c r="D31" s="135">
        <f>'17 felhalm.bevétel '!C27</f>
        <v>0</v>
      </c>
      <c r="E31" s="135">
        <f>'17 felhalm.bevétel '!D27</f>
        <v>7973363</v>
      </c>
      <c r="F31" s="135">
        <f>'17 felhalm.bevétel '!E27</f>
        <v>0</v>
      </c>
      <c r="G31" s="292" t="s">
        <v>160</v>
      </c>
      <c r="H31" s="293"/>
      <c r="I31" s="294"/>
      <c r="J31" s="294"/>
      <c r="K31" s="294"/>
    </row>
    <row r="32" spans="1:11" ht="23.25" x14ac:dyDescent="0.35">
      <c r="A32" s="295" t="s">
        <v>66</v>
      </c>
      <c r="B32" s="270"/>
      <c r="C32" s="296"/>
      <c r="D32" s="132">
        <f>'17 felhalm.bevétel '!C34</f>
        <v>1000000</v>
      </c>
      <c r="E32" s="132">
        <f>'17 felhalm.bevétel '!D34</f>
        <v>902249</v>
      </c>
      <c r="F32" s="132">
        <f>'17 felhalm.bevétel '!E34</f>
        <v>500000</v>
      </c>
      <c r="G32" s="151" t="s">
        <v>198</v>
      </c>
      <c r="H32" s="297"/>
      <c r="I32" s="131">
        <f>+'8 oktatás'!B33</f>
        <v>0</v>
      </c>
      <c r="J32" s="131">
        <f>+'8 oktatás'!C33</f>
        <v>111625</v>
      </c>
      <c r="K32" s="131">
        <f>+'8 oktatás'!D33</f>
        <v>0</v>
      </c>
    </row>
    <row r="33" spans="1:11" ht="23.25" x14ac:dyDescent="0.35">
      <c r="A33" s="295" t="s">
        <v>68</v>
      </c>
      <c r="B33" s="296"/>
      <c r="C33" s="298"/>
      <c r="D33" s="132">
        <f>'17 felhalm.bevétel '!C43</f>
        <v>8000</v>
      </c>
      <c r="E33" s="132">
        <f>'17 felhalm.bevétel '!D43</f>
        <v>142467</v>
      </c>
      <c r="F33" s="132">
        <f>'17 felhalm.bevétel '!E43</f>
        <v>7000</v>
      </c>
      <c r="G33" s="263" t="s">
        <v>278</v>
      </c>
      <c r="H33" s="299"/>
      <c r="I33" s="132">
        <f>'9 kultúra'!B73</f>
        <v>0</v>
      </c>
      <c r="J33" s="132">
        <f>'9 kultúra'!C73</f>
        <v>162266</v>
      </c>
      <c r="K33" s="132">
        <f>'9 kultúra'!D73</f>
        <v>0</v>
      </c>
    </row>
    <row r="34" spans="1:11" ht="23.25" x14ac:dyDescent="0.35">
      <c r="A34" s="262" t="s">
        <v>85</v>
      </c>
      <c r="B34" s="263"/>
      <c r="C34" s="263"/>
      <c r="D34" s="132">
        <f>'17 felhalm.bevétel '!C54</f>
        <v>0</v>
      </c>
      <c r="E34" s="132">
        <f>'17 felhalm.bevétel '!D54</f>
        <v>45996</v>
      </c>
      <c r="F34" s="132">
        <f>'17 felhalm.bevétel '!E54</f>
        <v>0</v>
      </c>
      <c r="G34" s="263" t="s">
        <v>146</v>
      </c>
      <c r="H34" s="299"/>
      <c r="I34" s="132">
        <f>'10 szociális'!B41</f>
        <v>0</v>
      </c>
      <c r="J34" s="131">
        <f>'10 szociális'!C41</f>
        <v>78429</v>
      </c>
      <c r="K34" s="132">
        <f>'10 szociális'!D41</f>
        <v>14967</v>
      </c>
    </row>
    <row r="35" spans="1:11" ht="23.25" x14ac:dyDescent="0.35">
      <c r="A35" s="300"/>
      <c r="B35" s="291"/>
      <c r="C35" s="291"/>
      <c r="D35" s="136"/>
      <c r="E35" s="136"/>
      <c r="F35" s="137"/>
      <c r="G35" s="263" t="s">
        <v>141</v>
      </c>
      <c r="H35" s="299"/>
      <c r="I35" s="132">
        <f>'11 egészségügy'!B25</f>
        <v>0</v>
      </c>
      <c r="J35" s="132">
        <f>'11 egészségügy'!C25</f>
        <v>19406</v>
      </c>
      <c r="K35" s="132">
        <f>'11 egészségügy'!D25</f>
        <v>0</v>
      </c>
    </row>
    <row r="36" spans="1:11" ht="23.25" x14ac:dyDescent="0.35">
      <c r="A36" s="300"/>
      <c r="B36" s="291"/>
      <c r="C36" s="291"/>
      <c r="D36" s="136"/>
      <c r="E36" s="136"/>
      <c r="F36" s="137"/>
      <c r="G36" s="263" t="s">
        <v>287</v>
      </c>
      <c r="H36" s="299"/>
      <c r="I36" s="132">
        <f>'12 gyermek és ifj.véd.'!B17</f>
        <v>700</v>
      </c>
      <c r="J36" s="131">
        <f>'12 gyermek és ifj.véd.'!C17</f>
        <v>82819</v>
      </c>
      <c r="K36" s="132">
        <f>'12 gyermek és ifj.véd.'!D17</f>
        <v>51660</v>
      </c>
    </row>
    <row r="37" spans="1:11" ht="24" thickBot="1" x14ac:dyDescent="0.4">
      <c r="A37" s="301"/>
      <c r="B37" s="302"/>
      <c r="C37" s="302"/>
      <c r="D37" s="143"/>
      <c r="E37" s="143"/>
      <c r="F37" s="144"/>
      <c r="G37" s="263" t="s">
        <v>288</v>
      </c>
      <c r="H37" s="299"/>
      <c r="I37" s="132">
        <f>'13 egyéb'!B121</f>
        <v>72163</v>
      </c>
      <c r="J37" s="131">
        <f>'13 egyéb'!C121</f>
        <v>119769</v>
      </c>
      <c r="K37" s="132">
        <f>'13 egyéb'!D121</f>
        <v>95155</v>
      </c>
    </row>
    <row r="38" spans="1:11" ht="24" thickBot="1" x14ac:dyDescent="0.4">
      <c r="A38" s="301"/>
      <c r="B38" s="302"/>
      <c r="C38" s="302"/>
      <c r="D38" s="143"/>
      <c r="E38" s="143"/>
      <c r="F38" s="144"/>
      <c r="G38" s="303" t="s">
        <v>161</v>
      </c>
      <c r="H38" s="304"/>
      <c r="I38" s="139">
        <f>SUM(I31:I37)</f>
        <v>72863</v>
      </c>
      <c r="J38" s="139">
        <f>SUM(J31:J37)</f>
        <v>574314</v>
      </c>
      <c r="K38" s="139">
        <f>SUM(K31:K37)</f>
        <v>161782</v>
      </c>
    </row>
    <row r="39" spans="1:11" ht="23.25" x14ac:dyDescent="0.35">
      <c r="A39" s="267"/>
      <c r="D39" s="141"/>
      <c r="E39" s="141"/>
      <c r="F39" s="137"/>
      <c r="G39" s="152" t="s">
        <v>129</v>
      </c>
      <c r="H39" s="290"/>
      <c r="I39" s="135">
        <f>+'18 felhalm.kiadás'!C10</f>
        <v>50000</v>
      </c>
      <c r="J39" s="135">
        <f>+'18 felhalm.kiadás'!D10</f>
        <v>138755</v>
      </c>
      <c r="K39" s="135">
        <f>+'18 felhalm.kiadás'!E10</f>
        <v>0</v>
      </c>
    </row>
    <row r="40" spans="1:11" ht="23.25" x14ac:dyDescent="0.35">
      <c r="A40" s="267"/>
      <c r="D40" s="141"/>
      <c r="E40" s="141"/>
      <c r="F40" s="137"/>
      <c r="G40" s="263" t="s">
        <v>156</v>
      </c>
      <c r="H40" s="270"/>
      <c r="I40" s="132">
        <f>'18 felhalm.kiadás'!C15</f>
        <v>100000</v>
      </c>
      <c r="J40" s="132">
        <f>'18 felhalm.kiadás'!D15</f>
        <v>129699</v>
      </c>
      <c r="K40" s="132">
        <f>'18 felhalm.kiadás'!E15</f>
        <v>200000</v>
      </c>
    </row>
    <row r="41" spans="1:11" ht="23.25" x14ac:dyDescent="0.35">
      <c r="A41" s="305"/>
      <c r="B41" s="306"/>
      <c r="D41" s="141"/>
      <c r="E41" s="141"/>
      <c r="F41" s="137"/>
      <c r="G41" s="263" t="s">
        <v>172</v>
      </c>
      <c r="H41" s="269"/>
      <c r="I41" s="132">
        <f>+'18 felhalm.kiadás'!C21</f>
        <v>55000</v>
      </c>
      <c r="J41" s="132">
        <f>+'18 felhalm.kiadás'!D21</f>
        <v>71240</v>
      </c>
      <c r="K41" s="132">
        <f>+'18 felhalm.kiadás'!E21</f>
        <v>0</v>
      </c>
    </row>
    <row r="42" spans="1:11" ht="23.25" x14ac:dyDescent="0.35">
      <c r="A42" s="305"/>
      <c r="B42" s="306"/>
      <c r="C42" s="307"/>
      <c r="D42" s="145"/>
      <c r="E42" s="145"/>
      <c r="F42" s="137"/>
      <c r="G42" s="263" t="s">
        <v>139</v>
      </c>
      <c r="H42" s="269"/>
      <c r="I42" s="132">
        <f>+'18 felhalm.kiadás'!C73</f>
        <v>90542</v>
      </c>
      <c r="J42" s="132">
        <f>+'18 felhalm.kiadás'!D73</f>
        <v>8523166</v>
      </c>
      <c r="K42" s="132">
        <f>+'18 felhalm.kiadás'!E73</f>
        <v>8257432</v>
      </c>
    </row>
    <row r="43" spans="1:11" ht="23.25" x14ac:dyDescent="0.35">
      <c r="A43" s="265"/>
      <c r="B43" s="308"/>
      <c r="C43" s="307"/>
      <c r="D43" s="145"/>
      <c r="E43" s="145"/>
      <c r="F43" s="137"/>
      <c r="G43" s="263" t="s">
        <v>33</v>
      </c>
      <c r="H43" s="263"/>
      <c r="I43" s="132">
        <f>'18 felhalm.kiadás'!C74</f>
        <v>1200</v>
      </c>
      <c r="J43" s="132">
        <f>'18 felhalm.kiadás'!D74</f>
        <v>1200</v>
      </c>
      <c r="K43" s="132">
        <f>'18 felhalm.kiadás'!E74</f>
        <v>0</v>
      </c>
    </row>
    <row r="44" spans="1:11" ht="24" thickBot="1" x14ac:dyDescent="0.4">
      <c r="A44" s="265"/>
      <c r="B44" s="308"/>
      <c r="C44" s="307"/>
      <c r="D44" s="146"/>
      <c r="E44" s="146"/>
      <c r="F44" s="146"/>
      <c r="G44" s="309" t="s">
        <v>162</v>
      </c>
      <c r="H44" s="310"/>
      <c r="I44" s="311">
        <f>SUM(I39:I43)</f>
        <v>296742</v>
      </c>
      <c r="J44" s="311">
        <f>SUM(J39:J43)</f>
        <v>8864060</v>
      </c>
      <c r="K44" s="311">
        <f>SUM(K39:K43)</f>
        <v>8457432</v>
      </c>
    </row>
    <row r="45" spans="1:11" ht="24" thickBot="1" x14ac:dyDescent="0.4">
      <c r="A45" s="312" t="s">
        <v>152</v>
      </c>
      <c r="B45" s="312"/>
      <c r="C45" s="313"/>
      <c r="D45" s="140">
        <f>SUM(D31:D44)</f>
        <v>1008000</v>
      </c>
      <c r="E45" s="140">
        <f>SUM(E31:E44)</f>
        <v>9064075</v>
      </c>
      <c r="F45" s="140">
        <f>SUM(F31:F44)</f>
        <v>507000</v>
      </c>
      <c r="G45" s="314" t="s">
        <v>153</v>
      </c>
      <c r="H45" s="314"/>
      <c r="I45" s="140">
        <f>+I44+I38</f>
        <v>369605</v>
      </c>
      <c r="J45" s="140">
        <f>+J44+J38</f>
        <v>9438374</v>
      </c>
      <c r="K45" s="140">
        <f>+K44+K38</f>
        <v>8619214</v>
      </c>
    </row>
    <row r="46" spans="1:11" ht="18.75" customHeight="1" thickBot="1" x14ac:dyDescent="0.4">
      <c r="A46" s="315"/>
      <c r="B46" s="315"/>
      <c r="C46" s="316"/>
      <c r="D46" s="316"/>
      <c r="E46" s="316"/>
      <c r="F46" s="316"/>
      <c r="G46" s="247"/>
      <c r="H46" s="247"/>
      <c r="I46" s="247"/>
      <c r="J46" s="247"/>
      <c r="K46" s="247"/>
    </row>
    <row r="47" spans="1:11" ht="23.25" x14ac:dyDescent="0.35">
      <c r="A47" s="317" t="s">
        <v>144</v>
      </c>
      <c r="B47" s="318"/>
      <c r="C47" s="319"/>
      <c r="D47" s="147"/>
      <c r="E47" s="147"/>
      <c r="F47" s="147"/>
      <c r="G47" s="317" t="s">
        <v>144</v>
      </c>
      <c r="H47" s="320"/>
      <c r="I47" s="157"/>
      <c r="J47" s="157"/>
      <c r="K47" s="157"/>
    </row>
    <row r="48" spans="1:11" ht="23.25" x14ac:dyDescent="0.35">
      <c r="A48" s="272"/>
      <c r="C48" s="321" t="s">
        <v>96</v>
      </c>
      <c r="D48" s="138">
        <v>633414</v>
      </c>
      <c r="E48" s="138">
        <v>1069309</v>
      </c>
      <c r="F48" s="138">
        <v>500000</v>
      </c>
      <c r="G48" s="151" t="s">
        <v>390</v>
      </c>
      <c r="H48" s="151"/>
      <c r="I48" s="131">
        <v>120750</v>
      </c>
      <c r="J48" s="131">
        <v>120750</v>
      </c>
      <c r="K48" s="131">
        <v>120750</v>
      </c>
    </row>
    <row r="49" spans="1:11" ht="23.25" x14ac:dyDescent="0.35">
      <c r="A49" s="272"/>
      <c r="C49" s="322" t="s">
        <v>497</v>
      </c>
      <c r="D49" s="138">
        <v>76672</v>
      </c>
      <c r="E49" s="138"/>
      <c r="F49" s="138">
        <v>1940747</v>
      </c>
      <c r="G49" s="151" t="s">
        <v>604</v>
      </c>
      <c r="H49" s="151"/>
      <c r="I49" s="131">
        <v>0</v>
      </c>
      <c r="J49" s="131">
        <v>336010</v>
      </c>
      <c r="K49" s="131">
        <v>336010</v>
      </c>
    </row>
    <row r="50" spans="1:11" ht="46.5" x14ac:dyDescent="0.35">
      <c r="A50" s="272"/>
      <c r="C50" s="321" t="s">
        <v>603</v>
      </c>
      <c r="D50" s="138">
        <v>0</v>
      </c>
      <c r="E50" s="138">
        <v>336010</v>
      </c>
      <c r="F50" s="138">
        <v>336010</v>
      </c>
      <c r="G50" s="151" t="s">
        <v>534</v>
      </c>
      <c r="H50" s="151"/>
      <c r="I50" s="131">
        <v>281004</v>
      </c>
      <c r="J50" s="131">
        <v>2269238</v>
      </c>
      <c r="K50" s="131"/>
    </row>
    <row r="51" spans="1:11" ht="46.5" x14ac:dyDescent="0.35">
      <c r="A51" s="272"/>
      <c r="C51" s="321" t="s">
        <v>533</v>
      </c>
      <c r="D51" s="138">
        <v>281004</v>
      </c>
      <c r="E51" s="138">
        <v>1988234</v>
      </c>
      <c r="F51" s="138"/>
      <c r="G51" s="151" t="s">
        <v>688</v>
      </c>
      <c r="H51" s="151"/>
      <c r="I51" s="131"/>
      <c r="J51" s="131">
        <v>2000000</v>
      </c>
      <c r="K51" s="131"/>
    </row>
    <row r="52" spans="1:11" ht="21" customHeight="1" x14ac:dyDescent="0.35">
      <c r="A52" s="272"/>
      <c r="C52" s="323" t="s">
        <v>124</v>
      </c>
      <c r="D52" s="138">
        <v>33463</v>
      </c>
      <c r="E52" s="138">
        <v>1456893</v>
      </c>
      <c r="F52" s="138"/>
      <c r="G52" s="151"/>
      <c r="H52" s="151"/>
      <c r="I52" s="131"/>
      <c r="J52" s="131"/>
      <c r="K52" s="131"/>
    </row>
    <row r="53" spans="1:11" ht="23.25" x14ac:dyDescent="0.35">
      <c r="A53" s="272"/>
      <c r="C53" s="323" t="s">
        <v>498</v>
      </c>
      <c r="D53" s="138">
        <v>65542</v>
      </c>
      <c r="E53" s="138"/>
      <c r="F53" s="138">
        <v>7966774</v>
      </c>
      <c r="G53" s="151"/>
      <c r="H53" s="151"/>
      <c r="I53" s="131"/>
      <c r="J53" s="131"/>
      <c r="K53" s="131"/>
    </row>
    <row r="54" spans="1:11" ht="23.25" x14ac:dyDescent="0.35">
      <c r="A54" s="272"/>
      <c r="B54" s="308"/>
      <c r="C54" s="321" t="s">
        <v>713</v>
      </c>
      <c r="D54" s="138"/>
      <c r="E54" s="138">
        <v>690176</v>
      </c>
      <c r="F54" s="138">
        <f>19955+26670+24990+14967</f>
        <v>86582</v>
      </c>
      <c r="G54" s="151"/>
      <c r="H54" s="151"/>
      <c r="I54" s="131"/>
      <c r="J54" s="131"/>
      <c r="K54" s="131"/>
    </row>
    <row r="55" spans="1:11" ht="47.25" thickBot="1" x14ac:dyDescent="0.4">
      <c r="A55" s="272"/>
      <c r="B55" s="308"/>
      <c r="C55" s="323" t="s">
        <v>689</v>
      </c>
      <c r="D55" s="138"/>
      <c r="E55" s="138">
        <v>2000000</v>
      </c>
      <c r="F55" s="138"/>
      <c r="G55" s="152"/>
      <c r="H55" s="153"/>
      <c r="I55" s="154"/>
      <c r="J55" s="154"/>
      <c r="K55" s="154"/>
    </row>
    <row r="56" spans="1:11" ht="24" thickBot="1" x14ac:dyDescent="0.4">
      <c r="A56" s="324" t="s">
        <v>119</v>
      </c>
      <c r="B56" s="313"/>
      <c r="C56" s="148"/>
      <c r="D56" s="148">
        <f>SUM(D47:D55)</f>
        <v>1090095</v>
      </c>
      <c r="E56" s="148">
        <f>SUM(E47:E55)</f>
        <v>7540622</v>
      </c>
      <c r="F56" s="148">
        <f>SUM(F47:F55)</f>
        <v>10830113</v>
      </c>
      <c r="G56" s="155" t="s">
        <v>119</v>
      </c>
      <c r="H56" s="156"/>
      <c r="I56" s="139">
        <f>SUM(I48:I55)</f>
        <v>401754</v>
      </c>
      <c r="J56" s="139">
        <f t="shared" ref="J56:K56" si="0">SUM(J48:J55)</f>
        <v>4725998</v>
      </c>
      <c r="K56" s="139">
        <f t="shared" si="0"/>
        <v>456760</v>
      </c>
    </row>
    <row r="57" spans="1:11" ht="23.25" x14ac:dyDescent="0.35">
      <c r="A57" s="272"/>
      <c r="B57" s="315"/>
      <c r="C57" s="315"/>
      <c r="D57" s="147"/>
      <c r="E57" s="147"/>
      <c r="F57" s="147"/>
      <c r="G57" s="153"/>
      <c r="H57" s="153"/>
      <c r="I57" s="157"/>
      <c r="J57" s="157"/>
      <c r="K57" s="157"/>
    </row>
    <row r="58" spans="1:11" ht="24" thickBot="1" x14ac:dyDescent="0.4">
      <c r="A58" s="325"/>
      <c r="B58" s="159"/>
      <c r="C58" s="159"/>
      <c r="D58" s="149"/>
      <c r="E58" s="149"/>
      <c r="F58" s="149"/>
      <c r="G58" s="158"/>
      <c r="H58" s="159"/>
      <c r="I58" s="149"/>
      <c r="J58" s="149"/>
      <c r="K58" s="149"/>
    </row>
    <row r="59" spans="1:11" ht="24" thickBot="1" x14ac:dyDescent="0.4">
      <c r="A59" s="326" t="s">
        <v>145</v>
      </c>
      <c r="B59" s="313"/>
      <c r="C59" s="313"/>
      <c r="D59" s="140">
        <f>+D56+D45+D26</f>
        <v>30105679</v>
      </c>
      <c r="E59" s="140">
        <f>+E56+E45+E26</f>
        <v>50574301</v>
      </c>
      <c r="F59" s="140">
        <f>+F56+F45+F26</f>
        <v>42479853</v>
      </c>
      <c r="G59" s="155" t="s">
        <v>118</v>
      </c>
      <c r="H59" s="156"/>
      <c r="I59" s="139">
        <f>+I56+I45+I26</f>
        <v>30105679</v>
      </c>
      <c r="J59" s="139">
        <f>+J56+J45+J26</f>
        <v>50574301</v>
      </c>
      <c r="K59" s="139">
        <f>+K56+K45+K26</f>
        <v>42479853</v>
      </c>
    </row>
    <row r="60" spans="1:11" ht="23.25" x14ac:dyDescent="0.35">
      <c r="C60" s="328"/>
    </row>
    <row r="61" spans="1:11" ht="23.25" x14ac:dyDescent="0.35">
      <c r="C61" s="328"/>
    </row>
    <row r="62" spans="1:11" ht="23.25" x14ac:dyDescent="0.35">
      <c r="C62" s="328"/>
    </row>
    <row r="63" spans="1:11" ht="23.25" x14ac:dyDescent="0.35">
      <c r="C63" s="328"/>
      <c r="H63" s="327"/>
    </row>
    <row r="64" spans="1:11" ht="23.25" x14ac:dyDescent="0.35">
      <c r="H64" s="315"/>
    </row>
    <row r="65" ht="23.25" x14ac:dyDescent="0.35"/>
    <row r="66" ht="14.1" customHeight="1" x14ac:dyDescent="0.35"/>
  </sheetData>
  <customSheetViews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K2"/>
  </mergeCells>
  <phoneticPr fontId="0" type="noConversion"/>
  <printOptions horizontalCentered="1" verticalCentered="1"/>
  <pageMargins left="0" right="0" top="0" bottom="0" header="0.39370078740157483" footer="0"/>
  <pageSetup paperSize="9" scale="37" orientation="landscape" r:id="rId3"/>
  <headerFooter alignWithMargins="0">
    <oddHeader xml:space="preserve">&amp;R&amp;"Times New Roman CE,Félkövér"&amp;18
&amp;"-,Félkövér"2. melléklet a 3/2026. (II.27.) önkormányzati rendelethez&amp;"Times New Roman CE,Félkövér"
 </oddHeader>
    <oddFooter>&amp;L&amp;14&amp;D&amp;T</oddFooter>
  </headerFooter>
  <rowBreaks count="1" manualBreakCount="1">
    <brk id="26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31"/>
  <sheetViews>
    <sheetView zoomScale="85" zoomScaleNormal="85" workbookViewId="0">
      <selection activeCell="U16" sqref="U16"/>
    </sheetView>
  </sheetViews>
  <sheetFormatPr defaultColWidth="9.33203125" defaultRowHeight="21" x14ac:dyDescent="0.35"/>
  <cols>
    <col min="1" max="1" width="102.83203125" style="557" customWidth="1"/>
    <col min="2" max="2" width="26.83203125" style="557" bestFit="1" customWidth="1"/>
    <col min="3" max="3" width="28" style="557" bestFit="1" customWidth="1"/>
    <col min="4" max="5" width="21.6640625" style="557" bestFit="1" customWidth="1"/>
    <col min="6" max="14" width="20.83203125" style="557" customWidth="1"/>
    <col min="15" max="15" width="9.33203125" style="557"/>
    <col min="16" max="16" width="15.5" style="557" bestFit="1" customWidth="1"/>
    <col min="17" max="17" width="19" style="557" customWidth="1"/>
    <col min="18" max="18" width="18.33203125" style="557" bestFit="1" customWidth="1"/>
    <col min="19" max="20" width="9.33203125" style="557"/>
    <col min="21" max="21" width="18.83203125" style="557" customWidth="1"/>
    <col min="22" max="22" width="23.1640625" style="557" customWidth="1"/>
    <col min="23" max="16384" width="9.33203125" style="557"/>
  </cols>
  <sheetData>
    <row r="1" spans="1:23" x14ac:dyDescent="0.35">
      <c r="A1" s="52" t="s">
        <v>601</v>
      </c>
      <c r="B1" s="556"/>
      <c r="C1" s="556"/>
      <c r="D1" s="556"/>
      <c r="E1" s="558"/>
      <c r="F1" s="556"/>
      <c r="G1" s="556"/>
      <c r="H1" s="556"/>
      <c r="I1" s="556"/>
      <c r="J1" s="556"/>
      <c r="K1" s="556"/>
      <c r="L1" s="556"/>
      <c r="M1" s="556"/>
      <c r="N1" s="556"/>
    </row>
    <row r="2" spans="1:23" x14ac:dyDescent="0.35">
      <c r="A2" s="954"/>
      <c r="B2" s="954"/>
    </row>
    <row r="3" spans="1:23" ht="21.75" thickBot="1" x14ac:dyDescent="0.4">
      <c r="N3" s="557" t="s">
        <v>352</v>
      </c>
    </row>
    <row r="4" spans="1:23" ht="20.100000000000001" customHeight="1" x14ac:dyDescent="0.35">
      <c r="A4" s="560" t="s">
        <v>227</v>
      </c>
      <c r="B4" s="561" t="s">
        <v>219</v>
      </c>
      <c r="C4" s="561" t="s">
        <v>168</v>
      </c>
      <c r="D4" s="561" t="s">
        <v>169</v>
      </c>
      <c r="E4" s="561" t="s">
        <v>170</v>
      </c>
      <c r="F4" s="561" t="s">
        <v>171</v>
      </c>
      <c r="G4" s="561" t="s">
        <v>173</v>
      </c>
      <c r="H4" s="561" t="s">
        <v>174</v>
      </c>
      <c r="I4" s="561" t="s">
        <v>175</v>
      </c>
      <c r="J4" s="561" t="s">
        <v>176</v>
      </c>
      <c r="K4" s="561" t="s">
        <v>213</v>
      </c>
      <c r="L4" s="561" t="s">
        <v>214</v>
      </c>
      <c r="M4" s="561" t="s">
        <v>215</v>
      </c>
      <c r="N4" s="561" t="s">
        <v>216</v>
      </c>
    </row>
    <row r="5" spans="1:23" ht="20.100000000000001" customHeight="1" x14ac:dyDescent="0.35">
      <c r="A5" s="562"/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</row>
    <row r="6" spans="1:23" ht="67.5" customHeight="1" thickBot="1" x14ac:dyDescent="0.4">
      <c r="A6" s="564"/>
      <c r="B6" s="565" t="s">
        <v>228</v>
      </c>
      <c r="C6" s="565" t="s">
        <v>221</v>
      </c>
      <c r="D6" s="565" t="s">
        <v>221</v>
      </c>
      <c r="E6" s="565" t="s">
        <v>221</v>
      </c>
      <c r="F6" s="565" t="s">
        <v>221</v>
      </c>
      <c r="G6" s="565" t="s">
        <v>221</v>
      </c>
      <c r="H6" s="565" t="s">
        <v>221</v>
      </c>
      <c r="I6" s="565" t="s">
        <v>221</v>
      </c>
      <c r="J6" s="565" t="s">
        <v>221</v>
      </c>
      <c r="K6" s="565" t="s">
        <v>221</v>
      </c>
      <c r="L6" s="565" t="s">
        <v>221</v>
      </c>
      <c r="M6" s="565" t="s">
        <v>221</v>
      </c>
      <c r="N6" s="565" t="s">
        <v>221</v>
      </c>
      <c r="Q6" s="558"/>
      <c r="R6" s="558"/>
      <c r="S6" s="558"/>
      <c r="T6" s="558"/>
      <c r="U6" s="558"/>
      <c r="V6" s="558"/>
      <c r="W6" s="558"/>
    </row>
    <row r="7" spans="1:23" ht="24" customHeight="1" x14ac:dyDescent="0.35">
      <c r="A7" s="567" t="s">
        <v>229</v>
      </c>
      <c r="B7" s="568">
        <f>'1 kiemelt ei. '!N13</f>
        <v>33403879</v>
      </c>
      <c r="C7" s="568">
        <f>2264571+502594+50000-130000-127000-70000-25000-100000-100000-500000</f>
        <v>1765165</v>
      </c>
      <c r="D7" s="568">
        <f>2264571-1000000</f>
        <v>1264571</v>
      </c>
      <c r="E7" s="568">
        <f>2264571+150000</f>
        <v>2414571</v>
      </c>
      <c r="F7" s="568">
        <f>2264571+1591548+150000</f>
        <v>4006119</v>
      </c>
      <c r="G7" s="568">
        <f>2264571+150000</f>
        <v>2414571</v>
      </c>
      <c r="H7" s="568">
        <f>2264571+150000</f>
        <v>2414571</v>
      </c>
      <c r="I7" s="568">
        <f>2264571+502594+150000</f>
        <v>2917165</v>
      </c>
      <c r="J7" s="568">
        <f>2264571+130000+127000+150000</f>
        <v>2671571</v>
      </c>
      <c r="K7" s="568">
        <f>2264571+100000+25000+150000</f>
        <v>2539571</v>
      </c>
      <c r="L7" s="568">
        <f>2264571+1591547+150000</f>
        <v>4006118</v>
      </c>
      <c r="M7" s="568">
        <f>2264571+50000+1940747+150000</f>
        <v>4405318</v>
      </c>
      <c r="N7" s="568">
        <f>2264571-3+70000+100000+150000</f>
        <v>2584568</v>
      </c>
      <c r="Q7" s="558"/>
      <c r="R7" s="558"/>
      <c r="S7" s="558"/>
      <c r="T7" s="558"/>
      <c r="U7" s="558"/>
      <c r="V7" s="558"/>
      <c r="W7" s="558"/>
    </row>
    <row r="8" spans="1:23" ht="24" customHeight="1" thickBot="1" x14ac:dyDescent="0.4">
      <c r="A8" s="579" t="s">
        <v>230</v>
      </c>
      <c r="B8" s="569">
        <f>'1 kiemelt ei. '!N17</f>
        <v>8619214</v>
      </c>
      <c r="C8" s="569"/>
      <c r="D8" s="569"/>
      <c r="E8" s="569"/>
      <c r="F8" s="569">
        <v>10200</v>
      </c>
      <c r="G8" s="569">
        <v>200000</v>
      </c>
      <c r="H8" s="569"/>
      <c r="I8" s="569"/>
      <c r="J8" s="569"/>
      <c r="K8" s="569"/>
      <c r="L8" s="569">
        <v>150000</v>
      </c>
      <c r="M8" s="569">
        <v>8259014</v>
      </c>
      <c r="N8" s="569"/>
      <c r="Q8" s="558"/>
      <c r="R8" s="558"/>
      <c r="S8" s="558"/>
      <c r="T8" s="558"/>
      <c r="U8" s="558"/>
      <c r="V8" s="558"/>
      <c r="W8" s="558"/>
    </row>
    <row r="9" spans="1:23" s="572" customFormat="1" ht="24" customHeight="1" thickBot="1" x14ac:dyDescent="0.4">
      <c r="A9" s="576" t="s">
        <v>231</v>
      </c>
      <c r="B9" s="571">
        <f t="shared" ref="B9:N9" si="0">B7+B8</f>
        <v>42023093</v>
      </c>
      <c r="C9" s="571">
        <f t="shared" si="0"/>
        <v>1765165</v>
      </c>
      <c r="D9" s="571">
        <f t="shared" si="0"/>
        <v>1264571</v>
      </c>
      <c r="E9" s="571">
        <f t="shared" si="0"/>
        <v>2414571</v>
      </c>
      <c r="F9" s="571">
        <f t="shared" si="0"/>
        <v>4016319</v>
      </c>
      <c r="G9" s="571">
        <f t="shared" si="0"/>
        <v>2614571</v>
      </c>
      <c r="H9" s="571">
        <f t="shared" si="0"/>
        <v>2414571</v>
      </c>
      <c r="I9" s="571">
        <f t="shared" si="0"/>
        <v>2917165</v>
      </c>
      <c r="J9" s="571">
        <f t="shared" si="0"/>
        <v>2671571</v>
      </c>
      <c r="K9" s="571">
        <f>K7+K8</f>
        <v>2539571</v>
      </c>
      <c r="L9" s="571">
        <f t="shared" si="0"/>
        <v>4156118</v>
      </c>
      <c r="M9" s="571">
        <f t="shared" si="0"/>
        <v>12664332</v>
      </c>
      <c r="N9" s="571">
        <f t="shared" si="0"/>
        <v>2584568</v>
      </c>
      <c r="Q9" s="558"/>
      <c r="R9" s="558"/>
      <c r="S9" s="558"/>
      <c r="T9" s="558"/>
      <c r="U9" s="558"/>
      <c r="V9" s="558"/>
      <c r="W9" s="558"/>
    </row>
    <row r="10" spans="1:23" ht="49.5" customHeight="1" thickBot="1" x14ac:dyDescent="0.4">
      <c r="A10" s="580" t="s">
        <v>232</v>
      </c>
      <c r="B10" s="574">
        <f>'1 kiemelt ei. '!N19</f>
        <v>456760</v>
      </c>
      <c r="C10" s="575">
        <f>10063+336004</f>
        <v>346067</v>
      </c>
      <c r="D10" s="575">
        <v>10063</v>
      </c>
      <c r="E10" s="575">
        <v>10063</v>
      </c>
      <c r="F10" s="575">
        <v>10063</v>
      </c>
      <c r="G10" s="575">
        <v>10063</v>
      </c>
      <c r="H10" s="575">
        <v>10063</v>
      </c>
      <c r="I10" s="575">
        <v>10063</v>
      </c>
      <c r="J10" s="575">
        <v>10063</v>
      </c>
      <c r="K10" s="575">
        <v>10063</v>
      </c>
      <c r="L10" s="575">
        <v>10063</v>
      </c>
      <c r="M10" s="575">
        <v>10063</v>
      </c>
      <c r="N10" s="575">
        <v>10063</v>
      </c>
      <c r="Q10" s="558"/>
      <c r="R10" s="558"/>
      <c r="S10" s="558"/>
      <c r="T10" s="558"/>
      <c r="U10" s="558"/>
      <c r="V10" s="558"/>
      <c r="W10" s="558"/>
    </row>
    <row r="11" spans="1:23" s="572" customFormat="1" ht="24" customHeight="1" thickBot="1" x14ac:dyDescent="0.4">
      <c r="A11" s="576" t="s">
        <v>233</v>
      </c>
      <c r="B11" s="571">
        <f>SUM(B9:B10)</f>
        <v>42479853</v>
      </c>
      <c r="C11" s="571">
        <f t="shared" ref="C11:N11" si="1">SUM(C9:C10)</f>
        <v>2111232</v>
      </c>
      <c r="D11" s="571">
        <f t="shared" si="1"/>
        <v>1274634</v>
      </c>
      <c r="E11" s="571">
        <f t="shared" si="1"/>
        <v>2424634</v>
      </c>
      <c r="F11" s="571">
        <f t="shared" si="1"/>
        <v>4026382</v>
      </c>
      <c r="G11" s="571">
        <f t="shared" si="1"/>
        <v>2624634</v>
      </c>
      <c r="H11" s="571">
        <f t="shared" si="1"/>
        <v>2424634</v>
      </c>
      <c r="I11" s="571">
        <f t="shared" si="1"/>
        <v>2927228</v>
      </c>
      <c r="J11" s="571">
        <f t="shared" si="1"/>
        <v>2681634</v>
      </c>
      <c r="K11" s="571">
        <f t="shared" si="1"/>
        <v>2549634</v>
      </c>
      <c r="L11" s="571">
        <f t="shared" si="1"/>
        <v>4166181</v>
      </c>
      <c r="M11" s="571">
        <f t="shared" si="1"/>
        <v>12674395</v>
      </c>
      <c r="N11" s="571">
        <f t="shared" si="1"/>
        <v>2594631</v>
      </c>
      <c r="Q11" s="558"/>
      <c r="R11" s="558"/>
      <c r="S11" s="558"/>
      <c r="T11" s="558"/>
      <c r="U11" s="558"/>
      <c r="V11" s="558"/>
      <c r="W11" s="558"/>
    </row>
    <row r="12" spans="1:23" ht="24" customHeight="1" thickBot="1" x14ac:dyDescent="0.4">
      <c r="B12" s="558"/>
      <c r="Q12" s="558"/>
      <c r="R12" s="558"/>
      <c r="S12" s="558"/>
      <c r="T12" s="558"/>
      <c r="U12" s="558"/>
      <c r="V12" s="558"/>
      <c r="W12" s="558"/>
    </row>
    <row r="13" spans="1:23" s="2" customFormat="1" ht="42" x14ac:dyDescent="0.35">
      <c r="A13" s="581" t="s">
        <v>157</v>
      </c>
      <c r="B13" s="582"/>
      <c r="C13" s="582" t="s">
        <v>234</v>
      </c>
      <c r="D13" s="582" t="s">
        <v>235</v>
      </c>
      <c r="E13" s="583" t="s">
        <v>236</v>
      </c>
      <c r="O13" s="4"/>
      <c r="P13" s="4"/>
      <c r="Q13" s="558"/>
      <c r="R13" s="558"/>
      <c r="S13" s="558"/>
      <c r="T13" s="558"/>
      <c r="U13" s="558"/>
      <c r="V13" s="558"/>
      <c r="W13" s="558"/>
    </row>
    <row r="14" spans="1:23" s="2" customFormat="1" ht="21.75" thickBot="1" x14ac:dyDescent="0.4">
      <c r="A14" s="333"/>
      <c r="B14" s="584"/>
      <c r="C14" s="585"/>
      <c r="D14" s="585"/>
      <c r="E14" s="586"/>
      <c r="F14" s="4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58"/>
      <c r="R14" s="558"/>
      <c r="S14" s="558"/>
      <c r="T14" s="558"/>
      <c r="U14" s="558"/>
      <c r="V14" s="558"/>
      <c r="W14" s="558"/>
    </row>
    <row r="15" spans="1:23" s="2" customFormat="1" x14ac:dyDescent="0.35">
      <c r="A15" s="588" t="s">
        <v>237</v>
      </c>
      <c r="B15" s="589"/>
      <c r="C15" s="191">
        <f>'19 ei felh. terv bevétel'!C11</f>
        <v>2191296</v>
      </c>
      <c r="D15" s="191">
        <f>C11</f>
        <v>2111232</v>
      </c>
      <c r="E15" s="590">
        <f>+B15+C15-D15</f>
        <v>80064</v>
      </c>
      <c r="F15" s="4"/>
      <c r="G15" s="4"/>
      <c r="H15" s="4"/>
      <c r="I15" s="4"/>
      <c r="J15" s="4"/>
      <c r="K15" s="4"/>
      <c r="L15" s="4"/>
      <c r="M15" s="4"/>
      <c r="O15" s="4"/>
      <c r="P15" s="4"/>
      <c r="Q15" s="558"/>
      <c r="R15" s="558"/>
      <c r="S15" s="558"/>
      <c r="T15" s="558"/>
      <c r="U15" s="558"/>
      <c r="V15" s="558"/>
      <c r="W15" s="558"/>
    </row>
    <row r="16" spans="1:23" s="2" customFormat="1" x14ac:dyDescent="0.35">
      <c r="A16" s="591" t="s">
        <v>238</v>
      </c>
      <c r="B16" s="20"/>
      <c r="C16" s="191">
        <f>'19 ei felh. terv bevétel'!D11</f>
        <v>1268704</v>
      </c>
      <c r="D16" s="191">
        <f>D11</f>
        <v>1274634</v>
      </c>
      <c r="E16" s="592">
        <f t="shared" ref="E16:E26" si="2">+E15+C16-D16</f>
        <v>74134</v>
      </c>
      <c r="F16" s="4"/>
      <c r="G16" s="4"/>
      <c r="H16" s="4"/>
      <c r="I16" s="4"/>
      <c r="J16" s="4"/>
      <c r="K16" s="4"/>
      <c r="L16" s="4"/>
      <c r="M16" s="4"/>
      <c r="O16" s="4"/>
      <c r="P16" s="4"/>
      <c r="Q16" s="558"/>
      <c r="R16" s="558"/>
      <c r="S16" s="558"/>
      <c r="T16" s="558"/>
      <c r="U16" s="558"/>
      <c r="V16" s="558"/>
      <c r="W16" s="558"/>
    </row>
    <row r="17" spans="1:23" s="2" customFormat="1" x14ac:dyDescent="0.35">
      <c r="A17" s="591" t="s">
        <v>206</v>
      </c>
      <c r="B17" s="20"/>
      <c r="C17" s="191">
        <f>'19 ei felh. terv bevétel'!E11</f>
        <v>6702483</v>
      </c>
      <c r="D17" s="191">
        <f>E11</f>
        <v>2424634</v>
      </c>
      <c r="E17" s="592">
        <f t="shared" si="2"/>
        <v>4351983</v>
      </c>
      <c r="F17" s="4"/>
      <c r="G17" s="4"/>
      <c r="H17" s="4"/>
      <c r="I17" s="4"/>
      <c r="J17" s="4"/>
      <c r="K17" s="4"/>
      <c r="L17" s="4"/>
      <c r="M17" s="4"/>
      <c r="O17" s="4"/>
      <c r="P17" s="4"/>
      <c r="Q17" s="558"/>
      <c r="R17" s="558"/>
      <c r="S17" s="558"/>
      <c r="T17" s="558"/>
      <c r="U17" s="558"/>
      <c r="V17" s="558"/>
      <c r="W17" s="558"/>
    </row>
    <row r="18" spans="1:23" s="2" customFormat="1" x14ac:dyDescent="0.35">
      <c r="A18" s="591" t="s">
        <v>207</v>
      </c>
      <c r="B18" s="20"/>
      <c r="C18" s="191">
        <f>'19 ei felh. terv bevétel'!F11</f>
        <v>1268704</v>
      </c>
      <c r="D18" s="191">
        <f>F11</f>
        <v>4026382</v>
      </c>
      <c r="E18" s="592">
        <f t="shared" si="2"/>
        <v>1594305</v>
      </c>
      <c r="F18" s="4"/>
      <c r="G18" s="4"/>
      <c r="H18" s="4"/>
      <c r="I18" s="4"/>
      <c r="J18" s="4"/>
      <c r="K18" s="4"/>
      <c r="L18" s="4"/>
      <c r="M18" s="4"/>
      <c r="O18" s="4"/>
      <c r="P18" s="4"/>
      <c r="Q18" s="558"/>
      <c r="R18" s="558"/>
      <c r="S18" s="558"/>
      <c r="T18" s="558"/>
      <c r="U18" s="558"/>
      <c r="V18" s="558"/>
      <c r="W18" s="558"/>
    </row>
    <row r="19" spans="1:23" s="2" customFormat="1" x14ac:dyDescent="0.35">
      <c r="A19" s="591" t="s">
        <v>208</v>
      </c>
      <c r="B19" s="20"/>
      <c r="C19" s="191">
        <f>'19 ei felh. terv bevétel'!G11</f>
        <v>3268704</v>
      </c>
      <c r="D19" s="191">
        <f>G11</f>
        <v>2624634</v>
      </c>
      <c r="E19" s="592">
        <f t="shared" si="2"/>
        <v>2238375</v>
      </c>
      <c r="F19" s="4"/>
      <c r="G19" s="4"/>
      <c r="H19" s="4"/>
      <c r="I19" s="4"/>
      <c r="J19" s="4"/>
      <c r="K19" s="4"/>
      <c r="L19" s="4"/>
      <c r="M19" s="4"/>
      <c r="O19" s="4"/>
      <c r="P19" s="4"/>
      <c r="Q19" s="558"/>
      <c r="R19" s="558"/>
      <c r="S19" s="558"/>
      <c r="T19" s="558"/>
      <c r="U19" s="558"/>
      <c r="V19" s="558"/>
      <c r="W19" s="558"/>
    </row>
    <row r="20" spans="1:23" s="2" customFormat="1" x14ac:dyDescent="0.35">
      <c r="A20" s="591" t="s">
        <v>239</v>
      </c>
      <c r="B20" s="20"/>
      <c r="C20" s="191">
        <f>'19 ei felh. terv bevétel'!H11</f>
        <v>1268704</v>
      </c>
      <c r="D20" s="191">
        <f>H11</f>
        <v>2424634</v>
      </c>
      <c r="E20" s="592">
        <f t="shared" si="2"/>
        <v>1082445</v>
      </c>
      <c r="F20" s="4"/>
      <c r="G20" s="4"/>
      <c r="H20" s="4"/>
      <c r="I20" s="4"/>
      <c r="J20" s="4"/>
      <c r="K20" s="4"/>
      <c r="L20" s="4"/>
      <c r="M20" s="4"/>
      <c r="O20" s="4"/>
      <c r="P20" s="4"/>
      <c r="Q20" s="558"/>
      <c r="R20" s="558"/>
      <c r="S20" s="558"/>
      <c r="T20" s="558"/>
      <c r="U20" s="558"/>
      <c r="V20" s="558"/>
      <c r="W20" s="558"/>
    </row>
    <row r="21" spans="1:23" s="2" customFormat="1" x14ac:dyDescent="0.35">
      <c r="A21" s="591" t="s">
        <v>240</v>
      </c>
      <c r="B21" s="20"/>
      <c r="C21" s="191">
        <f>'19 ei felh. terv bevétel'!I11</f>
        <v>2218704</v>
      </c>
      <c r="D21" s="191">
        <f>I11</f>
        <v>2927228</v>
      </c>
      <c r="E21" s="592">
        <f t="shared" si="2"/>
        <v>373921</v>
      </c>
      <c r="F21" s="4"/>
      <c r="G21" s="4"/>
      <c r="H21" s="4"/>
      <c r="I21" s="4"/>
      <c r="J21" s="4"/>
      <c r="K21" s="4"/>
      <c r="L21" s="4"/>
      <c r="M21" s="4"/>
      <c r="O21" s="4"/>
      <c r="P21" s="4"/>
      <c r="Q21" s="558"/>
      <c r="R21" s="558"/>
      <c r="S21" s="558"/>
      <c r="T21" s="558"/>
      <c r="U21" s="558"/>
      <c r="V21" s="558"/>
      <c r="W21" s="558"/>
    </row>
    <row r="22" spans="1:23" s="2" customFormat="1" x14ac:dyDescent="0.35">
      <c r="A22" s="591" t="s">
        <v>241</v>
      </c>
      <c r="B22" s="20"/>
      <c r="C22" s="191">
        <f>'19 ei felh. terv bevétel'!J11</f>
        <v>1268704</v>
      </c>
      <c r="D22" s="191">
        <f>J11</f>
        <v>2681634</v>
      </c>
      <c r="E22" s="592">
        <f t="shared" si="2"/>
        <v>-1039009</v>
      </c>
      <c r="F22" s="4"/>
      <c r="G22" s="4"/>
      <c r="H22" s="4"/>
      <c r="I22" s="4"/>
      <c r="J22" s="4"/>
      <c r="K22" s="4"/>
      <c r="L22" s="4"/>
      <c r="M22" s="4"/>
      <c r="O22" s="4"/>
      <c r="P22" s="4"/>
      <c r="Q22" s="558"/>
      <c r="R22" s="558"/>
      <c r="S22" s="558"/>
      <c r="T22" s="558"/>
      <c r="U22" s="558"/>
      <c r="V22" s="558"/>
      <c r="W22" s="558"/>
    </row>
    <row r="23" spans="1:23" s="2" customFormat="1" x14ac:dyDescent="0.35">
      <c r="A23" s="591" t="s">
        <v>209</v>
      </c>
      <c r="B23" s="20"/>
      <c r="C23" s="191">
        <f>'19 ei felh. terv bevétel'!K11</f>
        <v>6636204</v>
      </c>
      <c r="D23" s="191">
        <f>K11</f>
        <v>2549634</v>
      </c>
      <c r="E23" s="592">
        <f t="shared" si="2"/>
        <v>3047561</v>
      </c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</row>
    <row r="24" spans="1:23" s="2" customFormat="1" x14ac:dyDescent="0.35">
      <c r="A24" s="591" t="s">
        <v>211</v>
      </c>
      <c r="B24" s="20"/>
      <c r="C24" s="191">
        <f>'19 ei felh. terv bevétel'!L11</f>
        <v>1268704</v>
      </c>
      <c r="D24" s="191">
        <f>L11</f>
        <v>4166181</v>
      </c>
      <c r="E24" s="592">
        <f t="shared" si="2"/>
        <v>150084</v>
      </c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</row>
    <row r="25" spans="1:23" s="2" customFormat="1" x14ac:dyDescent="0.35">
      <c r="A25" s="591" t="s">
        <v>242</v>
      </c>
      <c r="B25" s="20"/>
      <c r="C25" s="191">
        <f>'19 ei felh. terv bevétel'!M11</f>
        <v>12676225</v>
      </c>
      <c r="D25" s="191">
        <f>M11</f>
        <v>12674395</v>
      </c>
      <c r="E25" s="592">
        <f t="shared" si="2"/>
        <v>151914</v>
      </c>
      <c r="F25" s="4"/>
      <c r="G25" s="4"/>
      <c r="H25" s="4"/>
      <c r="I25" s="4"/>
      <c r="J25" s="4"/>
      <c r="K25" s="4"/>
      <c r="L25" s="4"/>
      <c r="M25" s="4"/>
      <c r="O25" s="4"/>
      <c r="P25" s="4"/>
      <c r="Q25" s="4"/>
    </row>
    <row r="26" spans="1:23" s="2" customFormat="1" ht="21.75" thickBot="1" x14ac:dyDescent="0.4">
      <c r="A26" s="593" t="s">
        <v>243</v>
      </c>
      <c r="B26" s="594"/>
      <c r="C26" s="595">
        <f>'19 ei felh. terv bevétel'!N11</f>
        <v>2442717</v>
      </c>
      <c r="D26" s="595">
        <f>N11</f>
        <v>2594631</v>
      </c>
      <c r="E26" s="639">
        <f t="shared" si="2"/>
        <v>0</v>
      </c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</row>
    <row r="27" spans="1:23" s="2" customFormat="1" ht="21.75" thickBot="1" x14ac:dyDescent="0.4">
      <c r="A27" s="596" t="s">
        <v>188</v>
      </c>
      <c r="B27" s="597"/>
      <c r="C27" s="598">
        <f>SUM(C15:C26)</f>
        <v>42479853</v>
      </c>
      <c r="D27" s="598">
        <f>SUM(D15:D26)</f>
        <v>42479853</v>
      </c>
      <c r="E27" s="599">
        <f>+C27-D27</f>
        <v>0</v>
      </c>
      <c r="G27" s="4"/>
      <c r="H27" s="4"/>
      <c r="I27" s="4"/>
      <c r="J27" s="4"/>
      <c r="K27" s="4"/>
      <c r="L27" s="4"/>
      <c r="M27" s="4"/>
      <c r="O27" s="4"/>
      <c r="P27" s="4"/>
      <c r="Q27" s="4"/>
    </row>
    <row r="30" spans="1:23" x14ac:dyDescent="0.35">
      <c r="B30" s="558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</row>
    <row r="31" spans="1:23" x14ac:dyDescent="0.35"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3/2026. (II.27.) önkormányzati rendelethez&amp;"Times New Roman CE,Félkövér"
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4"/>
  <sheetViews>
    <sheetView view="pageLayout" topLeftCell="N1" zoomScaleNormal="100" workbookViewId="0">
      <selection activeCell="AE8" sqref="AE8"/>
    </sheetView>
  </sheetViews>
  <sheetFormatPr defaultColWidth="9.33203125" defaultRowHeight="21" x14ac:dyDescent="0.35"/>
  <cols>
    <col min="1" max="1" width="15.6640625" style="602" customWidth="1"/>
    <col min="2" max="2" width="102.5" style="602" customWidth="1"/>
    <col min="3" max="3" width="45.83203125" style="602" customWidth="1"/>
    <col min="4" max="16384" width="9.33203125" style="602"/>
  </cols>
  <sheetData>
    <row r="1" spans="1:3" x14ac:dyDescent="0.35">
      <c r="A1" s="601"/>
    </row>
    <row r="2" spans="1:3" x14ac:dyDescent="0.35">
      <c r="C2" s="603"/>
    </row>
    <row r="4" spans="1:3" ht="15" customHeight="1" x14ac:dyDescent="0.35">
      <c r="A4" s="955" t="s">
        <v>351</v>
      </c>
      <c r="B4" s="955"/>
      <c r="C4" s="955"/>
    </row>
    <row r="5" spans="1:3" ht="15" customHeight="1" x14ac:dyDescent="0.35">
      <c r="A5" s="955" t="s">
        <v>212</v>
      </c>
      <c r="B5" s="955"/>
      <c r="C5" s="955"/>
    </row>
    <row r="6" spans="1:3" ht="24.75" customHeight="1" x14ac:dyDescent="0.35">
      <c r="A6" s="955" t="s">
        <v>602</v>
      </c>
      <c r="B6" s="955"/>
      <c r="C6" s="955"/>
    </row>
    <row r="7" spans="1:3" x14ac:dyDescent="0.35">
      <c r="B7" s="604"/>
    </row>
    <row r="8" spans="1:3" ht="21.75" thickBot="1" x14ac:dyDescent="0.4">
      <c r="B8" s="604"/>
      <c r="C8" s="605" t="s">
        <v>352</v>
      </c>
    </row>
    <row r="9" spans="1:3" x14ac:dyDescent="0.35">
      <c r="A9" s="606" t="s">
        <v>337</v>
      </c>
      <c r="B9" s="607" t="s">
        <v>157</v>
      </c>
      <c r="C9" s="608" t="s">
        <v>188</v>
      </c>
    </row>
    <row r="10" spans="1:3" ht="21.75" thickBot="1" x14ac:dyDescent="0.4">
      <c r="A10" s="609"/>
      <c r="B10" s="610"/>
      <c r="C10" s="611"/>
    </row>
    <row r="11" spans="1:3" ht="51" customHeight="1" thickBot="1" x14ac:dyDescent="0.4">
      <c r="A11" s="612" t="s">
        <v>168</v>
      </c>
      <c r="B11" s="613" t="s">
        <v>353</v>
      </c>
      <c r="C11" s="612">
        <v>75855</v>
      </c>
    </row>
    <row r="12" spans="1:3" ht="42.75" thickBot="1" x14ac:dyDescent="0.4">
      <c r="A12" s="612" t="s">
        <v>169</v>
      </c>
      <c r="B12" s="613" t="s">
        <v>354</v>
      </c>
      <c r="C12" s="612">
        <v>0</v>
      </c>
    </row>
    <row r="13" spans="1:3" ht="39.75" customHeight="1" x14ac:dyDescent="0.35">
      <c r="A13" s="614" t="s">
        <v>170</v>
      </c>
      <c r="B13" s="615" t="s">
        <v>355</v>
      </c>
      <c r="C13" s="616">
        <v>0</v>
      </c>
    </row>
    <row r="14" spans="1:3" x14ac:dyDescent="0.35">
      <c r="A14" s="617"/>
      <c r="B14" s="618" t="s">
        <v>493</v>
      </c>
      <c r="C14" s="619">
        <v>61000</v>
      </c>
    </row>
    <row r="15" spans="1:3" ht="21.75" thickBot="1" x14ac:dyDescent="0.4">
      <c r="A15" s="617"/>
      <c r="B15" s="620" t="s">
        <v>356</v>
      </c>
      <c r="C15" s="617">
        <v>3000</v>
      </c>
    </row>
    <row r="16" spans="1:3" ht="51" customHeight="1" thickBot="1" x14ac:dyDescent="0.4">
      <c r="A16" s="612" t="s">
        <v>171</v>
      </c>
      <c r="B16" s="613" t="s">
        <v>357</v>
      </c>
      <c r="C16" s="612">
        <v>55254</v>
      </c>
    </row>
    <row r="17" spans="1:4" ht="21.75" thickBot="1" x14ac:dyDescent="0.4">
      <c r="A17" s="609" t="s">
        <v>173</v>
      </c>
      <c r="B17" s="621" t="s">
        <v>358</v>
      </c>
      <c r="C17" s="609">
        <v>15000</v>
      </c>
    </row>
    <row r="18" spans="1:4" ht="21.75" thickBot="1" x14ac:dyDescent="0.4">
      <c r="A18" s="622" t="s">
        <v>174</v>
      </c>
      <c r="B18" s="623" t="s">
        <v>219</v>
      </c>
      <c r="C18" s="622">
        <f>SUM(C11:C17)</f>
        <v>210109</v>
      </c>
    </row>
    <row r="20" spans="1:4" x14ac:dyDescent="0.35">
      <c r="B20" s="624" t="s">
        <v>494</v>
      </c>
    </row>
    <row r="21" spans="1:4" ht="84" x14ac:dyDescent="0.35">
      <c r="B21" s="625" t="s">
        <v>359</v>
      </c>
      <c r="C21" s="626"/>
      <c r="D21" s="626"/>
    </row>
    <row r="22" spans="1:4" ht="42" x14ac:dyDescent="0.35">
      <c r="B22" s="625" t="s">
        <v>360</v>
      </c>
    </row>
    <row r="23" spans="1:4" ht="42" x14ac:dyDescent="0.35">
      <c r="B23" s="625" t="s">
        <v>361</v>
      </c>
    </row>
    <row r="24" spans="1:4" ht="42" x14ac:dyDescent="0.35">
      <c r="B24" s="625" t="s">
        <v>362</v>
      </c>
      <c r="C24" s="626"/>
      <c r="D24" s="626"/>
    </row>
  </sheetData>
  <mergeCells count="3">
    <mergeCell ref="A4:C4"/>
    <mergeCell ref="A5:C5"/>
    <mergeCell ref="A6:C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>
    <oddHeader>&amp;R&amp;"Times New Roman CE,Félkövér" &amp;"-,Félkövér"20. melléklet a 3/2026. (II.27.)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9" zoomScale="98" zoomScaleNormal="98" workbookViewId="0">
      <selection activeCell="B17" sqref="B17"/>
    </sheetView>
  </sheetViews>
  <sheetFormatPr defaultColWidth="10.6640625" defaultRowHeight="21" x14ac:dyDescent="0.35"/>
  <cols>
    <col min="1" max="1" width="6" style="165" customWidth="1"/>
    <col min="2" max="2" width="144.83203125" style="165" customWidth="1"/>
    <col min="3" max="3" width="37.83203125" style="165" customWidth="1"/>
    <col min="4" max="4" width="39.1640625" style="165" bestFit="1" customWidth="1"/>
    <col min="5" max="5" width="38.1640625" style="165" bestFit="1" customWidth="1"/>
    <col min="6" max="7" width="10.6640625" style="165"/>
    <col min="8" max="8" width="12.6640625" style="165" bestFit="1" customWidth="1"/>
    <col min="9" max="16384" width="10.6640625" style="165"/>
  </cols>
  <sheetData>
    <row r="1" spans="1:5" ht="18" customHeight="1" x14ac:dyDescent="0.35">
      <c r="A1" s="947" t="s">
        <v>363</v>
      </c>
      <c r="B1" s="947"/>
      <c r="C1" s="947"/>
      <c r="D1" s="947"/>
      <c r="E1" s="947"/>
    </row>
    <row r="2" spans="1:5" ht="21.75" thickBot="1" x14ac:dyDescent="0.4">
      <c r="B2" s="508"/>
      <c r="C2" s="508"/>
      <c r="D2" s="508"/>
      <c r="E2" s="331" t="s">
        <v>204</v>
      </c>
    </row>
    <row r="3" spans="1:5" ht="18" customHeight="1" x14ac:dyDescent="0.35">
      <c r="A3" s="509"/>
      <c r="B3" s="201" t="s">
        <v>157</v>
      </c>
      <c r="C3" s="202" t="s">
        <v>445</v>
      </c>
      <c r="D3" s="202" t="s">
        <v>612</v>
      </c>
      <c r="E3" s="202" t="s">
        <v>467</v>
      </c>
    </row>
    <row r="4" spans="1:5" ht="33" customHeight="1" thickBot="1" x14ac:dyDescent="0.4">
      <c r="A4" s="510"/>
      <c r="B4" s="511"/>
      <c r="C4" s="205" t="s">
        <v>336</v>
      </c>
      <c r="D4" s="205" t="s">
        <v>350</v>
      </c>
      <c r="E4" s="397" t="s">
        <v>336</v>
      </c>
    </row>
    <row r="5" spans="1:5" ht="21" customHeight="1" x14ac:dyDescent="0.35">
      <c r="A5" s="512" t="s">
        <v>44</v>
      </c>
      <c r="B5" s="513"/>
      <c r="C5" s="173"/>
      <c r="D5" s="173"/>
      <c r="E5" s="31"/>
    </row>
    <row r="6" spans="1:5" ht="21" customHeight="1" x14ac:dyDescent="0.35">
      <c r="A6" s="187"/>
      <c r="B6" s="36" t="s">
        <v>496</v>
      </c>
      <c r="C6" s="5"/>
      <c r="D6" s="5">
        <v>1618</v>
      </c>
      <c r="E6" s="28"/>
    </row>
    <row r="7" spans="1:5" ht="21" customHeight="1" x14ac:dyDescent="0.35">
      <c r="A7" s="187"/>
      <c r="B7" s="36" t="s">
        <v>628</v>
      </c>
      <c r="C7" s="5"/>
      <c r="D7" s="5">
        <v>44415</v>
      </c>
      <c r="E7" s="28"/>
    </row>
    <row r="8" spans="1:5" ht="21" customHeight="1" x14ac:dyDescent="0.35">
      <c r="A8" s="187"/>
      <c r="B8" s="36" t="s">
        <v>540</v>
      </c>
      <c r="C8" s="5"/>
      <c r="D8" s="5">
        <v>5370</v>
      </c>
      <c r="E8" s="28"/>
    </row>
    <row r="9" spans="1:5" ht="21" customHeight="1" x14ac:dyDescent="0.35">
      <c r="A9" s="187"/>
      <c r="B9" s="36" t="s">
        <v>541</v>
      </c>
      <c r="C9" s="5"/>
      <c r="D9" s="5">
        <v>6355</v>
      </c>
      <c r="E9" s="28"/>
    </row>
    <row r="10" spans="1:5" ht="21" customHeight="1" x14ac:dyDescent="0.35">
      <c r="A10" s="187"/>
      <c r="B10" s="36" t="s">
        <v>470</v>
      </c>
      <c r="C10" s="5"/>
      <c r="D10" s="5">
        <v>30917</v>
      </c>
      <c r="E10" s="28"/>
    </row>
    <row r="11" spans="1:5" ht="38.25" x14ac:dyDescent="0.35">
      <c r="A11" s="187"/>
      <c r="B11" s="199" t="s">
        <v>615</v>
      </c>
      <c r="C11" s="5"/>
      <c r="D11" s="5">
        <v>16591</v>
      </c>
      <c r="E11" s="28"/>
    </row>
    <row r="12" spans="1:5" ht="21" customHeight="1" x14ac:dyDescent="0.35">
      <c r="A12" s="187"/>
      <c r="B12" s="36" t="s">
        <v>629</v>
      </c>
      <c r="C12" s="5"/>
      <c r="D12" s="5">
        <v>1626</v>
      </c>
      <c r="E12" s="28"/>
    </row>
    <row r="13" spans="1:5" ht="21" customHeight="1" x14ac:dyDescent="0.35">
      <c r="A13" s="187"/>
      <c r="B13" s="36" t="s">
        <v>630</v>
      </c>
      <c r="C13" s="5"/>
      <c r="D13" s="5">
        <v>59209</v>
      </c>
      <c r="E13" s="28"/>
    </row>
    <row r="14" spans="1:5" ht="21" customHeight="1" x14ac:dyDescent="0.35">
      <c r="A14" s="187"/>
      <c r="B14" s="36" t="s">
        <v>631</v>
      </c>
      <c r="C14" s="5"/>
      <c r="D14" s="5">
        <v>660352</v>
      </c>
      <c r="E14" s="28"/>
    </row>
    <row r="15" spans="1:5" x14ac:dyDescent="0.35">
      <c r="A15" s="187"/>
      <c r="B15" s="199" t="s">
        <v>632</v>
      </c>
      <c r="C15" s="5"/>
      <c r="D15" s="5">
        <v>638723</v>
      </c>
      <c r="E15" s="28"/>
    </row>
    <row r="16" spans="1:5" ht="21" customHeight="1" x14ac:dyDescent="0.35">
      <c r="A16" s="187"/>
      <c r="B16" s="36" t="s">
        <v>633</v>
      </c>
      <c r="C16" s="5"/>
      <c r="D16" s="5">
        <v>500925</v>
      </c>
      <c r="E16" s="28"/>
    </row>
    <row r="17" spans="1:5" ht="21" customHeight="1" x14ac:dyDescent="0.35">
      <c r="A17" s="187"/>
      <c r="B17" s="36" t="s">
        <v>650</v>
      </c>
      <c r="C17" s="5"/>
      <c r="D17" s="5">
        <v>300</v>
      </c>
      <c r="E17" s="28"/>
    </row>
    <row r="18" spans="1:5" ht="21" customHeight="1" x14ac:dyDescent="0.35">
      <c r="A18" s="187" t="s">
        <v>59</v>
      </c>
      <c r="B18" s="923"/>
      <c r="C18" s="9"/>
      <c r="D18" s="9"/>
      <c r="E18" s="31"/>
    </row>
    <row r="19" spans="1:5" ht="21" customHeight="1" x14ac:dyDescent="0.35">
      <c r="A19" s="187"/>
      <c r="B19" s="36" t="s">
        <v>654</v>
      </c>
      <c r="C19" s="5"/>
      <c r="D19" s="5">
        <v>225150</v>
      </c>
      <c r="E19" s="28"/>
    </row>
    <row r="20" spans="1:5" ht="21" customHeight="1" x14ac:dyDescent="0.35">
      <c r="A20" s="187"/>
      <c r="B20" s="36" t="s">
        <v>655</v>
      </c>
      <c r="C20" s="5"/>
      <c r="D20" s="5">
        <v>194800</v>
      </c>
      <c r="E20" s="28"/>
    </row>
    <row r="21" spans="1:5" ht="21" customHeight="1" x14ac:dyDescent="0.35">
      <c r="A21" s="187"/>
      <c r="B21" s="36" t="s">
        <v>656</v>
      </c>
      <c r="C21" s="5"/>
      <c r="D21" s="5">
        <v>358920</v>
      </c>
      <c r="E21" s="28"/>
    </row>
    <row r="22" spans="1:5" ht="21" customHeight="1" x14ac:dyDescent="0.35">
      <c r="A22" s="187"/>
      <c r="B22" s="36" t="s">
        <v>657</v>
      </c>
      <c r="C22" s="5"/>
      <c r="D22" s="5">
        <v>109473</v>
      </c>
      <c r="E22" s="28"/>
    </row>
    <row r="23" spans="1:5" ht="21" customHeight="1" x14ac:dyDescent="0.35">
      <c r="A23" s="187"/>
      <c r="B23" s="36" t="s">
        <v>658</v>
      </c>
      <c r="C23" s="5"/>
      <c r="D23" s="5">
        <v>647071</v>
      </c>
      <c r="E23" s="28"/>
    </row>
    <row r="24" spans="1:5" ht="21" customHeight="1" x14ac:dyDescent="0.35">
      <c r="A24" s="187"/>
      <c r="B24" s="36" t="s">
        <v>659</v>
      </c>
      <c r="C24" s="5"/>
      <c r="D24" s="5">
        <v>544045</v>
      </c>
      <c r="E24" s="28"/>
    </row>
    <row r="25" spans="1:5" ht="21" customHeight="1" x14ac:dyDescent="0.35">
      <c r="A25" s="187"/>
      <c r="B25" s="36" t="s">
        <v>660</v>
      </c>
      <c r="C25" s="5"/>
      <c r="D25" s="5">
        <v>194065</v>
      </c>
      <c r="E25" s="28"/>
    </row>
    <row r="26" spans="1:5" ht="38.25" x14ac:dyDescent="0.35">
      <c r="A26" s="187"/>
      <c r="B26" s="199" t="s">
        <v>661</v>
      </c>
      <c r="C26" s="5"/>
      <c r="D26" s="5">
        <v>393968</v>
      </c>
      <c r="E26" s="28"/>
    </row>
    <row r="27" spans="1:5" ht="21" customHeight="1" x14ac:dyDescent="0.35">
      <c r="A27" s="187"/>
      <c r="B27" s="36" t="s">
        <v>662</v>
      </c>
      <c r="C27" s="5"/>
      <c r="D27" s="5">
        <v>44024</v>
      </c>
      <c r="E27" s="28"/>
    </row>
    <row r="28" spans="1:5" ht="21" customHeight="1" x14ac:dyDescent="0.35">
      <c r="A28" s="187"/>
      <c r="B28" s="36" t="s">
        <v>663</v>
      </c>
      <c r="C28" s="5"/>
      <c r="D28" s="5">
        <v>423301</v>
      </c>
      <c r="E28" s="28"/>
    </row>
    <row r="29" spans="1:5" ht="21" customHeight="1" x14ac:dyDescent="0.35">
      <c r="A29" s="187"/>
      <c r="B29" s="36" t="s">
        <v>664</v>
      </c>
      <c r="C29" s="5"/>
      <c r="D29" s="5">
        <v>4515</v>
      </c>
      <c r="E29" s="28"/>
    </row>
    <row r="30" spans="1:5" ht="21" customHeight="1" x14ac:dyDescent="0.35">
      <c r="A30" s="187"/>
      <c r="B30" s="36" t="s">
        <v>665</v>
      </c>
      <c r="C30" s="5"/>
      <c r="D30" s="5">
        <v>589110</v>
      </c>
      <c r="E30" s="28"/>
    </row>
    <row r="31" spans="1:5" ht="21" customHeight="1" x14ac:dyDescent="0.35">
      <c r="A31" s="187"/>
      <c r="B31" s="36" t="s">
        <v>666</v>
      </c>
      <c r="C31" s="5"/>
      <c r="D31" s="5">
        <v>449186</v>
      </c>
      <c r="E31" s="28"/>
    </row>
    <row r="32" spans="1:5" ht="21" customHeight="1" x14ac:dyDescent="0.35">
      <c r="A32" s="187"/>
      <c r="B32" s="36" t="s">
        <v>667</v>
      </c>
      <c r="C32" s="5"/>
      <c r="D32" s="5">
        <v>460184</v>
      </c>
      <c r="E32" s="28"/>
    </row>
    <row r="33" spans="1:5" ht="21" customHeight="1" x14ac:dyDescent="0.35">
      <c r="A33" s="187"/>
      <c r="B33" s="36" t="s">
        <v>668</v>
      </c>
      <c r="C33" s="5"/>
      <c r="D33" s="5">
        <v>4198</v>
      </c>
      <c r="E33" s="28"/>
    </row>
    <row r="34" spans="1:5" ht="21" customHeight="1" x14ac:dyDescent="0.35">
      <c r="A34" s="187"/>
      <c r="B34" s="36" t="s">
        <v>669</v>
      </c>
      <c r="C34" s="5"/>
      <c r="D34" s="5">
        <v>8509</v>
      </c>
      <c r="E34" s="28"/>
    </row>
    <row r="35" spans="1:5" ht="21" customHeight="1" x14ac:dyDescent="0.35">
      <c r="A35" s="187"/>
      <c r="B35" s="36" t="s">
        <v>670</v>
      </c>
      <c r="C35" s="5"/>
      <c r="D35" s="5">
        <v>4873</v>
      </c>
      <c r="E35" s="28"/>
    </row>
    <row r="36" spans="1:5" ht="21" customHeight="1" x14ac:dyDescent="0.35">
      <c r="A36" s="187"/>
      <c r="B36" s="36" t="s">
        <v>671</v>
      </c>
      <c r="C36" s="5"/>
      <c r="D36" s="5">
        <v>474062</v>
      </c>
      <c r="E36" s="28"/>
    </row>
    <row r="37" spans="1:5" ht="21" customHeight="1" x14ac:dyDescent="0.35">
      <c r="A37" s="187"/>
      <c r="B37" s="36" t="s">
        <v>672</v>
      </c>
      <c r="C37" s="5"/>
      <c r="D37" s="5">
        <v>662601</v>
      </c>
      <c r="E37" s="28"/>
    </row>
    <row r="38" spans="1:5" ht="21" customHeight="1" x14ac:dyDescent="0.35">
      <c r="A38" s="187"/>
      <c r="B38" s="36" t="s">
        <v>673</v>
      </c>
      <c r="C38" s="5"/>
      <c r="D38" s="5">
        <v>1666437</v>
      </c>
      <c r="E38" s="28"/>
    </row>
    <row r="39" spans="1:5" ht="21" customHeight="1" x14ac:dyDescent="0.35">
      <c r="A39" s="187"/>
      <c r="B39" s="36" t="s">
        <v>674</v>
      </c>
      <c r="C39" s="5"/>
      <c r="D39" s="5">
        <v>514871</v>
      </c>
      <c r="E39" s="28"/>
    </row>
    <row r="40" spans="1:5" ht="21" customHeight="1" thickBot="1" x14ac:dyDescent="0.4">
      <c r="A40" s="187"/>
      <c r="B40" s="524" t="s">
        <v>435</v>
      </c>
      <c r="C40" s="9"/>
      <c r="D40" s="9">
        <v>92239</v>
      </c>
      <c r="E40" s="31"/>
    </row>
    <row r="41" spans="1:5" ht="25.35" customHeight="1" thickBot="1" x14ac:dyDescent="0.4">
      <c r="A41" s="948" t="s">
        <v>364</v>
      </c>
      <c r="B41" s="956"/>
      <c r="C41" s="96">
        <f>SUM(C5:C40)</f>
        <v>0</v>
      </c>
      <c r="D41" s="96">
        <f t="shared" ref="D41:E41" si="0">SUM(D5:D40)</f>
        <v>10032003</v>
      </c>
      <c r="E41" s="96">
        <f t="shared" si="0"/>
        <v>0</v>
      </c>
    </row>
    <row r="49" s="165" customFormat="1" x14ac:dyDescent="0.35"/>
    <row r="50" s="165" customFormat="1" x14ac:dyDescent="0.35"/>
    <row r="51" s="165" customFormat="1" x14ac:dyDescent="0.35"/>
    <row r="52" s="165" customFormat="1" x14ac:dyDescent="0.35"/>
    <row r="53" s="165" customFormat="1" x14ac:dyDescent="0.35"/>
    <row r="54" s="165" customFormat="1" x14ac:dyDescent="0.35"/>
    <row r="55" s="165" customFormat="1" x14ac:dyDescent="0.35"/>
    <row r="56" s="165" customFormat="1" x14ac:dyDescent="0.35"/>
    <row r="57" s="165" customFormat="1" x14ac:dyDescent="0.35"/>
    <row r="58" s="165" customFormat="1" x14ac:dyDescent="0.35"/>
    <row r="59" s="165" customFormat="1" x14ac:dyDescent="0.35"/>
    <row r="60" s="165" customFormat="1" x14ac:dyDescent="0.35"/>
    <row r="61" s="165" customFormat="1" x14ac:dyDescent="0.35"/>
    <row r="62" s="165" customFormat="1" x14ac:dyDescent="0.35"/>
    <row r="63" s="165" customFormat="1" x14ac:dyDescent="0.35"/>
    <row r="64" s="165" customFormat="1" x14ac:dyDescent="0.35"/>
    <row r="65" s="165" customFormat="1" x14ac:dyDescent="0.35"/>
    <row r="66" s="165" customFormat="1" x14ac:dyDescent="0.35"/>
    <row r="67" s="165" customFormat="1" x14ac:dyDescent="0.35"/>
    <row r="68" s="165" customFormat="1" x14ac:dyDescent="0.35"/>
    <row r="69" s="165" customFormat="1" x14ac:dyDescent="0.35"/>
    <row r="70" s="165" customFormat="1" x14ac:dyDescent="0.35"/>
    <row r="71" s="165" customFormat="1" x14ac:dyDescent="0.35"/>
    <row r="72" s="165" customFormat="1" x14ac:dyDescent="0.35"/>
    <row r="73" s="165" customFormat="1" x14ac:dyDescent="0.35"/>
    <row r="74" s="165" customFormat="1" x14ac:dyDescent="0.35"/>
    <row r="75" s="165" customFormat="1" x14ac:dyDescent="0.35"/>
    <row r="76" s="165" customFormat="1" x14ac:dyDescent="0.35"/>
    <row r="77" s="165" customFormat="1" x14ac:dyDescent="0.35"/>
    <row r="78" s="165" customFormat="1" x14ac:dyDescent="0.35"/>
    <row r="79" s="165" customFormat="1" x14ac:dyDescent="0.35"/>
    <row r="80" s="165" customFormat="1" x14ac:dyDescent="0.35"/>
    <row r="81" s="165" customFormat="1" x14ac:dyDescent="0.35"/>
    <row r="82" s="165" customFormat="1" x14ac:dyDescent="0.35"/>
  </sheetData>
  <mergeCells count="2">
    <mergeCell ref="A1:E1"/>
    <mergeCell ref="A41:B41"/>
  </mergeCells>
  <printOptions horizontalCentered="1" verticalCentered="1"/>
  <pageMargins left="0" right="0" top="0" bottom="0" header="0.51181102362204722" footer="0"/>
  <pageSetup paperSize="9" scale="50" orientation="portrait" r:id="rId1"/>
  <headerFooter alignWithMargins="0">
    <oddHeader>&amp;R&amp;"-,Félkövér"&amp;12 21. melléklet a 3/2026. (II.27.)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6"/>
  <sheetViews>
    <sheetView view="pageLayout" zoomScale="55" zoomScaleNormal="86" zoomScalePageLayoutView="55" workbookViewId="0">
      <selection activeCell="R17" sqref="R17"/>
    </sheetView>
  </sheetViews>
  <sheetFormatPr defaultColWidth="10.6640625" defaultRowHeight="15" customHeight="1" x14ac:dyDescent="0.35"/>
  <cols>
    <col min="1" max="1" width="5.6640625" style="165" customWidth="1"/>
    <col min="2" max="2" width="158" style="165" customWidth="1"/>
    <col min="3" max="3" width="34.83203125" style="165" customWidth="1"/>
    <col min="4" max="4" width="40.6640625" style="165" customWidth="1"/>
    <col min="5" max="5" width="35.6640625" style="165" customWidth="1"/>
    <col min="6" max="16384" width="10.6640625" style="165"/>
  </cols>
  <sheetData>
    <row r="1" spans="1:5" ht="15" customHeight="1" x14ac:dyDescent="0.35">
      <c r="A1" s="947"/>
      <c r="B1" s="947"/>
      <c r="C1" s="192"/>
    </row>
    <row r="2" spans="1:5" ht="23.25" customHeight="1" x14ac:dyDescent="0.35">
      <c r="A2" s="947" t="s">
        <v>363</v>
      </c>
      <c r="B2" s="947"/>
      <c r="C2" s="947"/>
      <c r="D2" s="947"/>
      <c r="E2" s="947"/>
    </row>
    <row r="3" spans="1:5" ht="15" customHeight="1" thickBot="1" x14ac:dyDescent="0.4">
      <c r="A3" s="165" t="s">
        <v>12</v>
      </c>
      <c r="E3" s="200" t="s">
        <v>204</v>
      </c>
    </row>
    <row r="4" spans="1:5" ht="31.5" customHeight="1" x14ac:dyDescent="0.35">
      <c r="A4" s="950" t="s">
        <v>157</v>
      </c>
      <c r="B4" s="951"/>
      <c r="C4" s="202" t="s">
        <v>445</v>
      </c>
      <c r="D4" s="202" t="s">
        <v>612</v>
      </c>
      <c r="E4" s="202" t="s">
        <v>467</v>
      </c>
    </row>
    <row r="5" spans="1:5" ht="42.75" customHeight="1" thickBot="1" x14ac:dyDescent="0.4">
      <c r="A5" s="203"/>
      <c r="B5" s="204"/>
      <c r="C5" s="205" t="s">
        <v>336</v>
      </c>
      <c r="D5" s="205" t="s">
        <v>350</v>
      </c>
      <c r="E5" s="205" t="s">
        <v>336</v>
      </c>
    </row>
    <row r="6" spans="1:5" ht="21" x14ac:dyDescent="0.35">
      <c r="A6" s="206" t="s">
        <v>365</v>
      </c>
      <c r="B6" s="207"/>
      <c r="C6" s="105"/>
      <c r="D6" s="105"/>
      <c r="E6" s="105"/>
    </row>
    <row r="7" spans="1:5" ht="21" x14ac:dyDescent="0.35">
      <c r="A7" s="206"/>
      <c r="B7" s="208" t="s">
        <v>526</v>
      </c>
      <c r="C7" s="70"/>
      <c r="D7" s="70">
        <v>21701</v>
      </c>
      <c r="E7" s="70"/>
    </row>
    <row r="8" spans="1:5" ht="21" x14ac:dyDescent="0.35">
      <c r="A8" s="206"/>
      <c r="B8" s="208" t="s">
        <v>525</v>
      </c>
      <c r="C8" s="70"/>
      <c r="D8" s="70">
        <v>9278</v>
      </c>
      <c r="E8" s="70"/>
    </row>
    <row r="9" spans="1:5" ht="21" x14ac:dyDescent="0.35">
      <c r="A9" s="206"/>
      <c r="B9" s="209" t="s">
        <v>473</v>
      </c>
      <c r="C9" s="70"/>
      <c r="D9" s="70">
        <v>15217</v>
      </c>
      <c r="E9" s="70"/>
    </row>
    <row r="10" spans="1:5" ht="21" x14ac:dyDescent="0.35">
      <c r="A10" s="206"/>
      <c r="B10" s="208" t="s">
        <v>540</v>
      </c>
      <c r="C10" s="70"/>
      <c r="D10" s="70">
        <v>2249</v>
      </c>
      <c r="E10" s="70"/>
    </row>
    <row r="11" spans="1:5" ht="21" x14ac:dyDescent="0.35">
      <c r="A11" s="206"/>
      <c r="B11" s="208" t="s">
        <v>541</v>
      </c>
      <c r="C11" s="70"/>
      <c r="D11" s="70">
        <v>5002</v>
      </c>
      <c r="E11" s="70"/>
    </row>
    <row r="12" spans="1:5" ht="21" x14ac:dyDescent="0.35">
      <c r="A12" s="206"/>
      <c r="B12" s="209" t="s">
        <v>468</v>
      </c>
      <c r="C12" s="70"/>
      <c r="D12" s="70">
        <v>20828</v>
      </c>
      <c r="E12" s="70"/>
    </row>
    <row r="13" spans="1:5" ht="42" x14ac:dyDescent="0.35">
      <c r="A13" s="206"/>
      <c r="B13" s="209" t="s">
        <v>647</v>
      </c>
      <c r="C13" s="70"/>
      <c r="D13" s="70">
        <v>37585</v>
      </c>
      <c r="E13" s="70"/>
    </row>
    <row r="14" spans="1:5" ht="21" x14ac:dyDescent="0.35">
      <c r="A14" s="206"/>
      <c r="B14" s="209" t="s">
        <v>629</v>
      </c>
      <c r="C14" s="70"/>
      <c r="D14" s="70">
        <v>1626</v>
      </c>
      <c r="E14" s="70"/>
    </row>
    <row r="15" spans="1:5" ht="21" x14ac:dyDescent="0.35">
      <c r="A15" s="206"/>
      <c r="B15" s="209" t="s">
        <v>648</v>
      </c>
      <c r="C15" s="70"/>
      <c r="D15" s="70">
        <v>59209</v>
      </c>
      <c r="E15" s="70"/>
    </row>
    <row r="16" spans="1:5" ht="21" x14ac:dyDescent="0.35">
      <c r="A16" s="206"/>
      <c r="B16" s="209" t="s">
        <v>631</v>
      </c>
      <c r="C16" s="70"/>
      <c r="D16" s="70">
        <v>660352</v>
      </c>
      <c r="E16" s="70"/>
    </row>
    <row r="17" spans="1:5" ht="21" x14ac:dyDescent="0.35">
      <c r="A17" s="206"/>
      <c r="B17" s="209" t="s">
        <v>632</v>
      </c>
      <c r="C17" s="70"/>
      <c r="D17" s="70">
        <v>638723</v>
      </c>
      <c r="E17" s="70"/>
    </row>
    <row r="18" spans="1:5" ht="21" x14ac:dyDescent="0.35">
      <c r="A18" s="206"/>
      <c r="B18" s="209" t="s">
        <v>633</v>
      </c>
      <c r="C18" s="70"/>
      <c r="D18" s="70">
        <v>500925</v>
      </c>
      <c r="E18" s="70"/>
    </row>
    <row r="19" spans="1:5" ht="21" x14ac:dyDescent="0.35">
      <c r="A19" s="206"/>
      <c r="B19" s="209" t="s">
        <v>692</v>
      </c>
      <c r="C19" s="70"/>
      <c r="D19" s="70"/>
      <c r="E19" s="70">
        <v>1000</v>
      </c>
    </row>
    <row r="20" spans="1:5" ht="21" x14ac:dyDescent="0.35">
      <c r="A20" s="206"/>
      <c r="B20" s="209" t="s">
        <v>650</v>
      </c>
      <c r="C20" s="70"/>
      <c r="D20" s="70">
        <v>347</v>
      </c>
      <c r="E20" s="70"/>
    </row>
    <row r="21" spans="1:5" ht="21" x14ac:dyDescent="0.35">
      <c r="A21" s="206" t="s">
        <v>366</v>
      </c>
      <c r="B21" s="210"/>
      <c r="C21" s="174"/>
      <c r="D21" s="174"/>
      <c r="E21" s="174"/>
    </row>
    <row r="22" spans="1:5" ht="42" x14ac:dyDescent="0.35">
      <c r="A22" s="206"/>
      <c r="B22" s="211" t="s">
        <v>661</v>
      </c>
      <c r="C22" s="94"/>
      <c r="D22" s="6">
        <v>393968</v>
      </c>
      <c r="E22" s="94"/>
    </row>
    <row r="23" spans="1:5" ht="21" x14ac:dyDescent="0.35">
      <c r="A23" s="206"/>
      <c r="B23" s="211" t="s">
        <v>662</v>
      </c>
      <c r="C23" s="94"/>
      <c r="D23" s="6">
        <v>44024</v>
      </c>
      <c r="E23" s="94"/>
    </row>
    <row r="24" spans="1:5" ht="21" x14ac:dyDescent="0.35">
      <c r="A24" s="206"/>
      <c r="B24" s="211" t="s">
        <v>663</v>
      </c>
      <c r="C24" s="94"/>
      <c r="D24" s="6">
        <v>423301</v>
      </c>
      <c r="E24" s="94"/>
    </row>
    <row r="25" spans="1:5" ht="21" x14ac:dyDescent="0.35">
      <c r="A25" s="206"/>
      <c r="B25" s="211" t="s">
        <v>664</v>
      </c>
      <c r="C25" s="94"/>
      <c r="D25" s="6">
        <v>4515</v>
      </c>
      <c r="E25" s="94"/>
    </row>
    <row r="26" spans="1:5" ht="21" x14ac:dyDescent="0.35">
      <c r="A26" s="206"/>
      <c r="B26" s="211" t="s">
        <v>665</v>
      </c>
      <c r="C26" s="94"/>
      <c r="D26" s="6">
        <v>589110</v>
      </c>
      <c r="E26" s="94"/>
    </row>
    <row r="27" spans="1:5" ht="21" x14ac:dyDescent="0.35">
      <c r="A27" s="206"/>
      <c r="B27" s="211" t="s">
        <v>666</v>
      </c>
      <c r="C27" s="94"/>
      <c r="D27" s="6">
        <v>449186</v>
      </c>
      <c r="E27" s="94"/>
    </row>
    <row r="28" spans="1:5" ht="21" x14ac:dyDescent="0.35">
      <c r="A28" s="206"/>
      <c r="B28" s="211" t="s">
        <v>667</v>
      </c>
      <c r="C28" s="94"/>
      <c r="D28" s="6">
        <v>460184</v>
      </c>
      <c r="E28" s="94"/>
    </row>
    <row r="29" spans="1:5" ht="21" x14ac:dyDescent="0.35">
      <c r="A29" s="206"/>
      <c r="B29" s="211" t="s">
        <v>668</v>
      </c>
      <c r="C29" s="94"/>
      <c r="D29" s="6">
        <v>4198</v>
      </c>
      <c r="E29" s="94"/>
    </row>
    <row r="30" spans="1:5" ht="21" x14ac:dyDescent="0.35">
      <c r="A30" s="206"/>
      <c r="B30" s="211" t="s">
        <v>669</v>
      </c>
      <c r="C30" s="94"/>
      <c r="D30" s="6">
        <v>8509</v>
      </c>
      <c r="E30" s="94"/>
    </row>
    <row r="31" spans="1:5" ht="21" x14ac:dyDescent="0.35">
      <c r="A31" s="206"/>
      <c r="B31" s="211" t="s">
        <v>670</v>
      </c>
      <c r="C31" s="94"/>
      <c r="D31" s="6">
        <v>4873</v>
      </c>
      <c r="E31" s="94"/>
    </row>
    <row r="32" spans="1:5" ht="21" x14ac:dyDescent="0.35">
      <c r="A32" s="206"/>
      <c r="B32" s="211" t="s">
        <v>671</v>
      </c>
      <c r="C32" s="94"/>
      <c r="D32" s="6">
        <v>474062</v>
      </c>
      <c r="E32" s="94"/>
    </row>
    <row r="33" spans="1:5" ht="21" x14ac:dyDescent="0.35">
      <c r="A33" s="206"/>
      <c r="B33" s="211" t="s">
        <v>672</v>
      </c>
      <c r="C33" s="94"/>
      <c r="D33" s="6">
        <v>662601</v>
      </c>
      <c r="E33" s="94"/>
    </row>
    <row r="34" spans="1:5" ht="21" x14ac:dyDescent="0.35">
      <c r="A34" s="206"/>
      <c r="B34" s="211" t="s">
        <v>673</v>
      </c>
      <c r="C34" s="94"/>
      <c r="D34" s="6">
        <v>1666437</v>
      </c>
      <c r="E34" s="94"/>
    </row>
    <row r="35" spans="1:5" ht="21" x14ac:dyDescent="0.35">
      <c r="A35" s="206"/>
      <c r="B35" s="211" t="s">
        <v>674</v>
      </c>
      <c r="C35" s="94"/>
      <c r="D35" s="6">
        <v>514871</v>
      </c>
      <c r="E35" s="94"/>
    </row>
    <row r="36" spans="1:5" ht="21" x14ac:dyDescent="0.35">
      <c r="A36" s="206"/>
      <c r="B36" s="211" t="s">
        <v>654</v>
      </c>
      <c r="C36" s="94"/>
      <c r="D36" s="6">
        <v>225150</v>
      </c>
      <c r="E36" s="94"/>
    </row>
    <row r="37" spans="1:5" ht="21" x14ac:dyDescent="0.35">
      <c r="A37" s="206"/>
      <c r="B37" s="211" t="s">
        <v>655</v>
      </c>
      <c r="C37" s="94"/>
      <c r="D37" s="6">
        <v>194800</v>
      </c>
      <c r="E37" s="94"/>
    </row>
    <row r="38" spans="1:5" ht="21" x14ac:dyDescent="0.35">
      <c r="A38" s="206"/>
      <c r="B38" s="211" t="s">
        <v>656</v>
      </c>
      <c r="C38" s="94"/>
      <c r="D38" s="6">
        <v>358920</v>
      </c>
      <c r="E38" s="94"/>
    </row>
    <row r="39" spans="1:5" ht="21" x14ac:dyDescent="0.35">
      <c r="A39" s="206"/>
      <c r="B39" s="211" t="s">
        <v>657</v>
      </c>
      <c r="C39" s="94"/>
      <c r="D39" s="6">
        <v>109473</v>
      </c>
      <c r="E39" s="94"/>
    </row>
    <row r="40" spans="1:5" ht="21" x14ac:dyDescent="0.35">
      <c r="A40" s="206"/>
      <c r="B40" s="211" t="s">
        <v>658</v>
      </c>
      <c r="C40" s="94"/>
      <c r="D40" s="6">
        <v>647071</v>
      </c>
      <c r="E40" s="94"/>
    </row>
    <row r="41" spans="1:5" ht="21" x14ac:dyDescent="0.35">
      <c r="A41" s="206"/>
      <c r="B41" s="211" t="s">
        <v>659</v>
      </c>
      <c r="C41" s="94"/>
      <c r="D41" s="6">
        <v>544045</v>
      </c>
      <c r="E41" s="94"/>
    </row>
    <row r="42" spans="1:5" ht="21" x14ac:dyDescent="0.35">
      <c r="A42" s="206"/>
      <c r="B42" s="211" t="s">
        <v>660</v>
      </c>
      <c r="C42" s="94"/>
      <c r="D42" s="6">
        <v>194065</v>
      </c>
      <c r="E42" s="94"/>
    </row>
    <row r="43" spans="1:5" ht="42" x14ac:dyDescent="0.35">
      <c r="A43" s="206"/>
      <c r="B43" s="168" t="s">
        <v>457</v>
      </c>
      <c r="C43" s="94"/>
      <c r="D43" s="6">
        <v>82</v>
      </c>
      <c r="E43" s="94"/>
    </row>
    <row r="44" spans="1:5" ht="21" x14ac:dyDescent="0.35">
      <c r="A44" s="206"/>
      <c r="B44" s="168" t="s">
        <v>558</v>
      </c>
      <c r="C44" s="94"/>
      <c r="D44" s="6">
        <v>30610</v>
      </c>
      <c r="E44" s="94"/>
    </row>
    <row r="45" spans="1:5" ht="21.75" thickBot="1" x14ac:dyDescent="0.4">
      <c r="A45" s="206"/>
      <c r="B45" s="168" t="s">
        <v>559</v>
      </c>
      <c r="C45" s="94"/>
      <c r="D45" s="6">
        <v>78</v>
      </c>
      <c r="E45" s="94"/>
    </row>
    <row r="46" spans="1:5" ht="19.5" customHeight="1" thickBot="1" x14ac:dyDescent="0.4">
      <c r="A46" s="948" t="s">
        <v>367</v>
      </c>
      <c r="B46" s="956"/>
      <c r="C46" s="96">
        <f>SUM(C6:C45)</f>
        <v>0</v>
      </c>
      <c r="D46" s="96">
        <f t="shared" ref="D46:E46" si="0">SUM(D6:D45)</f>
        <v>9977175</v>
      </c>
      <c r="E46" s="96">
        <f t="shared" si="0"/>
        <v>1000</v>
      </c>
    </row>
  </sheetData>
  <mergeCells count="4">
    <mergeCell ref="A1:B1"/>
    <mergeCell ref="A2:E2"/>
    <mergeCell ref="A4:B4"/>
    <mergeCell ref="A46:B46"/>
  </mergeCells>
  <printOptions horizontalCentered="1" verticalCentered="1"/>
  <pageMargins left="0" right="0" top="0.78740157480314965" bottom="0" header="0.51181102362204722" footer="0.51181102362204722"/>
  <pageSetup paperSize="9" scale="50" fitToHeight="0" orientation="portrait" r:id="rId1"/>
  <headerFooter alignWithMargins="0">
    <oddHeader>&amp;R&amp;"-,Félkövér"&amp;20 21. melléklet a 3/2026. (II.27.)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abSelected="1" view="pageLayout" zoomScale="55" zoomScaleNormal="136" zoomScalePageLayoutView="55" workbookViewId="0">
      <selection activeCell="Y9" sqref="Y9"/>
    </sheetView>
  </sheetViews>
  <sheetFormatPr defaultColWidth="10.6640625" defaultRowHeight="15" customHeight="1" x14ac:dyDescent="0.25"/>
  <cols>
    <col min="1" max="1" width="75.6640625" style="93" customWidth="1"/>
    <col min="2" max="2" width="28.6640625" style="93" bestFit="1" customWidth="1"/>
    <col min="3" max="16384" width="10.6640625" style="93"/>
  </cols>
  <sheetData>
    <row r="1" spans="1:2" ht="15" customHeight="1" x14ac:dyDescent="0.25">
      <c r="A1" s="103"/>
      <c r="B1" s="103"/>
    </row>
    <row r="2" spans="1:2" ht="23.25" customHeight="1" x14ac:dyDescent="0.25">
      <c r="A2" s="957" t="s">
        <v>588</v>
      </c>
      <c r="B2" s="957"/>
    </row>
    <row r="3" spans="1:2" ht="23.25" customHeight="1" x14ac:dyDescent="0.25">
      <c r="A3" s="103"/>
      <c r="B3" s="103"/>
    </row>
    <row r="4" spans="1:2" ht="15" customHeight="1" thickBot="1" x14ac:dyDescent="0.3">
      <c r="B4" s="627" t="s">
        <v>204</v>
      </c>
    </row>
    <row r="5" spans="1:2" ht="15" customHeight="1" x14ac:dyDescent="0.25">
      <c r="A5" s="628" t="s">
        <v>157</v>
      </c>
      <c r="B5" s="3" t="s">
        <v>709</v>
      </c>
    </row>
    <row r="6" spans="1:2" ht="15" customHeight="1" thickBot="1" x14ac:dyDescent="0.3">
      <c r="A6" s="629"/>
      <c r="B6" s="22"/>
    </row>
    <row r="7" spans="1:2" ht="31.5" x14ac:dyDescent="0.25">
      <c r="A7" s="635" t="s">
        <v>705</v>
      </c>
      <c r="B7" s="630">
        <v>100000</v>
      </c>
    </row>
    <row r="8" spans="1:2" ht="31.5" x14ac:dyDescent="0.25">
      <c r="A8" s="636" t="s">
        <v>706</v>
      </c>
      <c r="B8" s="631">
        <v>78650</v>
      </c>
    </row>
    <row r="9" spans="1:2" ht="47.25" x14ac:dyDescent="0.25">
      <c r="A9" s="636" t="s">
        <v>707</v>
      </c>
      <c r="B9" s="631">
        <v>67000</v>
      </c>
    </row>
    <row r="10" spans="1:2" ht="16.5" thickBot="1" x14ac:dyDescent="0.3">
      <c r="A10" s="637" t="s">
        <v>708</v>
      </c>
      <c r="B10" s="631">
        <v>5000</v>
      </c>
    </row>
    <row r="11" spans="1:2" ht="19.5" customHeight="1" thickBot="1" x14ac:dyDescent="0.3">
      <c r="A11" s="198" t="s">
        <v>478</v>
      </c>
      <c r="B11" s="632">
        <f>SUM(B7:B10)</f>
        <v>250650</v>
      </c>
    </row>
    <row r="12" spans="1:2" ht="19.5" customHeight="1" x14ac:dyDescent="0.25">
      <c r="A12" s="99"/>
      <c r="B12" s="633"/>
    </row>
  </sheetData>
  <mergeCells count="1">
    <mergeCell ref="A2:B2"/>
  </mergeCells>
  <printOptions horizontalCentered="1" verticalCentered="1"/>
  <pageMargins left="0" right="0" top="0.78740157480314965" bottom="0" header="0.51181102362204722" footer="0.51181102362204722"/>
  <pageSetup paperSize="9" fitToHeight="0" orientation="portrait" r:id="rId1"/>
  <headerFooter alignWithMargins="0">
    <oddHeader>&amp;R&amp;"-,Félkövér"&amp;20 &amp;12 22. melléklet a 3/2026. (II.27.)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31"/>
  <dimension ref="A1:L276"/>
  <sheetViews>
    <sheetView topLeftCell="A127" zoomScale="80" zoomScaleNormal="80" workbookViewId="0">
      <selection activeCell="F57" sqref="F57"/>
    </sheetView>
  </sheetViews>
  <sheetFormatPr defaultColWidth="9.33203125" defaultRowHeight="21" customHeight="1" x14ac:dyDescent="0.35"/>
  <cols>
    <col min="1" max="1" width="5" style="2" customWidth="1"/>
    <col min="2" max="4" width="2.33203125" style="2" customWidth="1"/>
    <col min="5" max="5" width="174.33203125" style="2" customWidth="1"/>
    <col min="6" max="6" width="32.5" style="2" customWidth="1"/>
    <col min="7" max="7" width="39.1640625" style="2" customWidth="1"/>
    <col min="8" max="8" width="38.33203125" style="4" bestFit="1" customWidth="1"/>
    <col min="9" max="9" width="9.33203125" style="2"/>
    <col min="10" max="10" width="20.1640625" style="2" bestFit="1" customWidth="1"/>
    <col min="11" max="11" width="9.33203125" style="2"/>
    <col min="12" max="12" width="17" style="2" bestFit="1" customWidth="1"/>
    <col min="13" max="16384" width="9.33203125" style="2"/>
  </cols>
  <sheetData>
    <row r="1" spans="1:8" ht="21" customHeight="1" x14ac:dyDescent="0.35">
      <c r="A1" s="928"/>
      <c r="B1" s="928"/>
      <c r="C1" s="928"/>
      <c r="D1" s="928"/>
      <c r="E1" s="928"/>
      <c r="F1" s="195"/>
      <c r="G1" s="195"/>
      <c r="H1" s="194"/>
    </row>
    <row r="2" spans="1:8" ht="21" customHeight="1" x14ac:dyDescent="0.35">
      <c r="A2" s="928" t="s">
        <v>105</v>
      </c>
      <c r="B2" s="928"/>
      <c r="C2" s="928"/>
      <c r="D2" s="928"/>
      <c r="E2" s="928"/>
      <c r="F2" s="928"/>
      <c r="G2" s="928"/>
      <c r="H2" s="928"/>
    </row>
    <row r="3" spans="1:8" ht="21" customHeight="1" x14ac:dyDescent="0.35">
      <c r="A3" s="195"/>
      <c r="B3" s="195"/>
      <c r="C3" s="195"/>
      <c r="D3" s="195"/>
      <c r="E3" s="195"/>
      <c r="F3" s="195"/>
      <c r="G3" s="195"/>
      <c r="H3" s="194"/>
    </row>
    <row r="4" spans="1:8" ht="21" customHeight="1" thickBot="1" x14ac:dyDescent="0.4">
      <c r="B4" s="329"/>
      <c r="C4" s="329"/>
      <c r="D4" s="329"/>
      <c r="E4" s="330"/>
      <c r="F4" s="52"/>
      <c r="H4" s="331" t="s">
        <v>204</v>
      </c>
    </row>
    <row r="5" spans="1:8" ht="43.5" customHeight="1" x14ac:dyDescent="0.35">
      <c r="A5" s="126"/>
      <c r="B5" s="332"/>
      <c r="C5" s="332"/>
      <c r="D5" s="332"/>
      <c r="E5" s="166" t="s">
        <v>157</v>
      </c>
      <c r="F5" s="202" t="s">
        <v>445</v>
      </c>
      <c r="G5" s="202" t="s">
        <v>612</v>
      </c>
      <c r="H5" s="202" t="s">
        <v>467</v>
      </c>
    </row>
    <row r="6" spans="1:8" ht="21" customHeight="1" thickBot="1" x14ac:dyDescent="0.4">
      <c r="A6" s="333"/>
      <c r="B6" s="334"/>
      <c r="C6" s="334"/>
      <c r="D6" s="334"/>
      <c r="E6" s="335"/>
      <c r="F6" s="205" t="s">
        <v>336</v>
      </c>
      <c r="G6" s="205" t="s">
        <v>350</v>
      </c>
      <c r="H6" s="205" t="s">
        <v>336</v>
      </c>
    </row>
    <row r="7" spans="1:8" ht="21" customHeight="1" x14ac:dyDescent="0.35">
      <c r="A7" s="336" t="s">
        <v>99</v>
      </c>
      <c r="B7" s="337"/>
      <c r="C7" s="337"/>
      <c r="D7" s="337"/>
      <c r="E7" s="337"/>
      <c r="F7" s="23"/>
      <c r="G7" s="23"/>
      <c r="H7" s="23"/>
    </row>
    <row r="8" spans="1:8" s="339" customFormat="1" ht="21" customHeight="1" x14ac:dyDescent="0.35">
      <c r="A8" s="338"/>
      <c r="B8" s="339" t="s">
        <v>271</v>
      </c>
      <c r="E8" s="340"/>
      <c r="F8" s="24">
        <v>1706599</v>
      </c>
      <c r="G8" s="24">
        <v>1759844</v>
      </c>
      <c r="H8" s="24">
        <f>1706599+64813+76691</f>
        <v>1848103</v>
      </c>
    </row>
    <row r="9" spans="1:8" s="339" customFormat="1" ht="21" customHeight="1" x14ac:dyDescent="0.35">
      <c r="A9" s="338"/>
      <c r="E9" s="341"/>
      <c r="F9" s="25"/>
      <c r="G9" s="25"/>
      <c r="H9" s="25"/>
    </row>
    <row r="10" spans="1:8" s="339" customFormat="1" ht="24.75" customHeight="1" x14ac:dyDescent="0.35">
      <c r="A10" s="338"/>
      <c r="B10" s="342" t="s">
        <v>273</v>
      </c>
      <c r="C10" s="342"/>
      <c r="D10" s="342"/>
      <c r="E10" s="343"/>
      <c r="F10" s="26">
        <v>3333839</v>
      </c>
      <c r="G10" s="26">
        <v>3354379</v>
      </c>
      <c r="H10" s="26">
        <f>3333839+220531+61686+41561</f>
        <v>3657617</v>
      </c>
    </row>
    <row r="11" spans="1:8" s="339" customFormat="1" ht="24.75" customHeight="1" x14ac:dyDescent="0.35">
      <c r="A11" s="338"/>
      <c r="B11" s="344"/>
      <c r="C11" s="344"/>
      <c r="D11" s="344"/>
      <c r="E11" s="345"/>
      <c r="F11" s="24"/>
      <c r="G11" s="24"/>
      <c r="H11" s="24"/>
    </row>
    <row r="12" spans="1:8" s="339" customFormat="1" ht="21" customHeight="1" x14ac:dyDescent="0.35">
      <c r="A12" s="338"/>
      <c r="B12" s="339" t="s">
        <v>412</v>
      </c>
      <c r="E12" s="346" t="s">
        <v>423</v>
      </c>
      <c r="F12" s="26">
        <v>2145681</v>
      </c>
      <c r="G12" s="26">
        <v>2130512</v>
      </c>
      <c r="H12" s="26">
        <f>2145681+31918+144277</f>
        <v>2321876</v>
      </c>
    </row>
    <row r="13" spans="1:8" s="339" customFormat="1" x14ac:dyDescent="0.35">
      <c r="A13" s="338"/>
      <c r="F13" s="24"/>
      <c r="G13" s="24"/>
      <c r="H13" s="24"/>
    </row>
    <row r="14" spans="1:8" s="339" customFormat="1" ht="21" customHeight="1" x14ac:dyDescent="0.35">
      <c r="A14" s="338"/>
      <c r="B14" s="347" t="s">
        <v>413</v>
      </c>
      <c r="C14" s="347"/>
      <c r="D14" s="347"/>
      <c r="E14" s="348" t="s">
        <v>414</v>
      </c>
      <c r="F14" s="27">
        <v>878065</v>
      </c>
      <c r="G14" s="27">
        <v>946949</v>
      </c>
      <c r="H14" s="27">
        <f>878065+92235+45120</f>
        <v>1015420</v>
      </c>
    </row>
    <row r="15" spans="1:8" s="339" customFormat="1" ht="21" customHeight="1" x14ac:dyDescent="0.35">
      <c r="A15" s="338"/>
      <c r="B15" s="342" t="s">
        <v>415</v>
      </c>
      <c r="C15" s="342"/>
      <c r="D15" s="342"/>
      <c r="E15" s="349"/>
      <c r="F15" s="26">
        <f>SUM(F16:F17)</f>
        <v>214192</v>
      </c>
      <c r="G15" s="26">
        <f>SUM(G16:G17)</f>
        <v>214194</v>
      </c>
      <c r="H15" s="26">
        <f>SUM(H16:H17)</f>
        <v>213472</v>
      </c>
    </row>
    <row r="16" spans="1:8" s="339" customFormat="1" ht="21" customHeight="1" x14ac:dyDescent="0.35">
      <c r="A16" s="338"/>
      <c r="B16" s="2"/>
      <c r="C16" s="150" t="s">
        <v>579</v>
      </c>
      <c r="D16" s="150"/>
      <c r="E16" s="350"/>
      <c r="F16" s="28">
        <v>71479</v>
      </c>
      <c r="G16" s="28">
        <v>71480</v>
      </c>
      <c r="H16" s="28">
        <f>71479-328</f>
        <v>71151</v>
      </c>
    </row>
    <row r="17" spans="1:10" s="339" customFormat="1" ht="21" customHeight="1" x14ac:dyDescent="0.35">
      <c r="A17" s="338"/>
      <c r="B17" s="351"/>
      <c r="C17" s="352" t="s">
        <v>580</v>
      </c>
      <c r="D17" s="352"/>
      <c r="E17" s="353"/>
      <c r="F17" s="28">
        <v>142713</v>
      </c>
      <c r="G17" s="28">
        <v>142714</v>
      </c>
      <c r="H17" s="28">
        <f>142713-392</f>
        <v>142321</v>
      </c>
    </row>
    <row r="18" spans="1:10" s="339" customFormat="1" ht="21" customHeight="1" x14ac:dyDescent="0.35">
      <c r="A18" s="338"/>
      <c r="B18" s="347" t="s">
        <v>416</v>
      </c>
      <c r="C18" s="347"/>
      <c r="D18" s="347"/>
      <c r="E18" s="348"/>
      <c r="F18" s="27">
        <f>F8+F10+F12+F14+F15</f>
        <v>8278376</v>
      </c>
      <c r="G18" s="27">
        <f>G8+G10+G12+G14+G15</f>
        <v>8405878</v>
      </c>
      <c r="H18" s="27">
        <f>H8+H10+H12+H14+H15</f>
        <v>9056488</v>
      </c>
      <c r="J18" s="21"/>
    </row>
    <row r="19" spans="1:10" s="339" customFormat="1" ht="21" customHeight="1" x14ac:dyDescent="0.35">
      <c r="A19" s="338"/>
      <c r="B19" s="339" t="s">
        <v>420</v>
      </c>
      <c r="C19" s="341"/>
      <c r="F19" s="26"/>
      <c r="G19" s="26"/>
      <c r="H19" s="26"/>
    </row>
    <row r="20" spans="1:10" s="339" customFormat="1" ht="21" customHeight="1" x14ac:dyDescent="0.35">
      <c r="A20" s="162"/>
      <c r="B20" s="2"/>
      <c r="C20" s="161" t="s">
        <v>424</v>
      </c>
      <c r="D20" s="161"/>
      <c r="E20" s="354"/>
      <c r="F20" s="28"/>
      <c r="G20" s="28">
        <v>5539</v>
      </c>
      <c r="H20" s="28"/>
    </row>
    <row r="21" spans="1:10" s="339" customFormat="1" ht="21" customHeight="1" x14ac:dyDescent="0.35">
      <c r="A21" s="162"/>
      <c r="B21" s="2"/>
      <c r="C21" s="161" t="s">
        <v>425</v>
      </c>
      <c r="D21" s="161"/>
      <c r="E21" s="354"/>
      <c r="F21" s="28"/>
      <c r="G21" s="28">
        <v>251154</v>
      </c>
      <c r="H21" s="28"/>
    </row>
    <row r="22" spans="1:10" s="339" customFormat="1" ht="21" customHeight="1" x14ac:dyDescent="0.35">
      <c r="A22" s="338"/>
      <c r="B22" s="347"/>
      <c r="C22" s="347" t="s">
        <v>418</v>
      </c>
      <c r="D22" s="347"/>
      <c r="E22" s="355"/>
      <c r="F22" s="32">
        <f>SUM(F20:F21)</f>
        <v>0</v>
      </c>
      <c r="G22" s="32">
        <f>SUM(G20:G21)</f>
        <v>256693</v>
      </c>
      <c r="H22" s="32">
        <f>SUM(H20:H21)</f>
        <v>0</v>
      </c>
    </row>
    <row r="23" spans="1:10" s="339" customFormat="1" ht="21" customHeight="1" x14ac:dyDescent="0.35">
      <c r="A23" s="338"/>
      <c r="B23" s="342" t="s">
        <v>422</v>
      </c>
      <c r="C23" s="342"/>
      <c r="D23" s="342"/>
      <c r="E23" s="356"/>
      <c r="F23" s="30"/>
      <c r="G23" s="30"/>
      <c r="H23" s="30"/>
    </row>
    <row r="24" spans="1:10" s="339" customFormat="1" ht="21" customHeight="1" x14ac:dyDescent="0.35">
      <c r="A24" s="338"/>
      <c r="B24" s="2"/>
      <c r="C24" s="150" t="s">
        <v>576</v>
      </c>
      <c r="D24" s="150"/>
      <c r="E24" s="350"/>
      <c r="F24" s="28">
        <v>230670</v>
      </c>
      <c r="G24" s="28">
        <v>230670</v>
      </c>
      <c r="H24" s="28">
        <v>230670</v>
      </c>
    </row>
    <row r="25" spans="1:10" s="339" customFormat="1" ht="45.75" customHeight="1" x14ac:dyDescent="0.35">
      <c r="A25" s="338"/>
      <c r="B25" s="2"/>
      <c r="C25" s="926" t="s">
        <v>577</v>
      </c>
      <c r="D25" s="926"/>
      <c r="E25" s="927"/>
      <c r="F25" s="29">
        <v>188000</v>
      </c>
      <c r="G25" s="28">
        <v>188000</v>
      </c>
      <c r="H25" s="29">
        <v>188000</v>
      </c>
    </row>
    <row r="26" spans="1:10" ht="21" customHeight="1" x14ac:dyDescent="0.35">
      <c r="A26" s="162"/>
      <c r="C26" s="161" t="s">
        <v>417</v>
      </c>
      <c r="D26" s="161"/>
      <c r="E26" s="354"/>
      <c r="F26" s="28">
        <v>318266</v>
      </c>
      <c r="G26" s="29">
        <v>318266</v>
      </c>
      <c r="H26" s="28">
        <v>318266</v>
      </c>
    </row>
    <row r="27" spans="1:10" ht="40.5" customHeight="1" x14ac:dyDescent="0.35">
      <c r="A27" s="162"/>
      <c r="C27" s="926" t="s">
        <v>605</v>
      </c>
      <c r="D27" s="926"/>
      <c r="E27" s="927"/>
      <c r="F27" s="28">
        <v>157338</v>
      </c>
      <c r="G27" s="28">
        <v>157338</v>
      </c>
      <c r="H27" s="28">
        <v>157338</v>
      </c>
    </row>
    <row r="28" spans="1:10" ht="21" customHeight="1" x14ac:dyDescent="0.35">
      <c r="A28" s="162"/>
      <c r="C28" s="161" t="s">
        <v>714</v>
      </c>
      <c r="D28" s="161"/>
      <c r="E28" s="354"/>
      <c r="F28" s="28"/>
      <c r="G28" s="28"/>
      <c r="H28" s="28">
        <v>236016</v>
      </c>
    </row>
    <row r="29" spans="1:10" x14ac:dyDescent="0.35">
      <c r="A29" s="162"/>
      <c r="C29" s="161" t="s">
        <v>715</v>
      </c>
      <c r="F29" s="31"/>
      <c r="G29" s="31"/>
      <c r="H29" s="31">
        <v>139829</v>
      </c>
    </row>
    <row r="30" spans="1:10" s="339" customFormat="1" ht="21" customHeight="1" x14ac:dyDescent="0.35">
      <c r="A30" s="338"/>
      <c r="B30" s="347" t="s">
        <v>421</v>
      </c>
      <c r="C30" s="347"/>
      <c r="D30" s="347"/>
      <c r="E30" s="355"/>
      <c r="F30" s="32">
        <f>SUM(F23:F29)</f>
        <v>894274</v>
      </c>
      <c r="G30" s="32">
        <f>SUM(G23:G29)</f>
        <v>894274</v>
      </c>
      <c r="H30" s="32">
        <f>SUM(H23:H29)</f>
        <v>1270119</v>
      </c>
    </row>
    <row r="31" spans="1:10" s="339" customFormat="1" ht="21" customHeight="1" x14ac:dyDescent="0.35">
      <c r="A31" s="338"/>
      <c r="B31" s="342" t="s">
        <v>48</v>
      </c>
      <c r="C31" s="342"/>
      <c r="D31" s="342"/>
      <c r="E31" s="343"/>
      <c r="F31" s="30"/>
      <c r="G31" s="30"/>
      <c r="H31" s="30"/>
    </row>
    <row r="32" spans="1:10" s="339" customFormat="1" ht="42" customHeight="1" x14ac:dyDescent="0.35">
      <c r="A32" s="357"/>
      <c r="B32" s="62"/>
      <c r="C32" s="358"/>
      <c r="D32" s="358"/>
      <c r="E32" s="359" t="s">
        <v>448</v>
      </c>
      <c r="F32" s="5"/>
      <c r="G32" s="5">
        <v>7300</v>
      </c>
      <c r="H32" s="5"/>
    </row>
    <row r="33" spans="1:10" s="339" customFormat="1" ht="21" customHeight="1" x14ac:dyDescent="0.35">
      <c r="A33" s="338"/>
      <c r="B33" s="344"/>
      <c r="E33" s="62" t="s">
        <v>372</v>
      </c>
      <c r="F33" s="9"/>
      <c r="G33" s="9">
        <v>3137</v>
      </c>
      <c r="H33" s="9"/>
    </row>
    <row r="34" spans="1:10" s="339" customFormat="1" ht="21" customHeight="1" x14ac:dyDescent="0.35">
      <c r="A34" s="338"/>
      <c r="B34" s="360" t="s">
        <v>262</v>
      </c>
      <c r="C34" s="347"/>
      <c r="D34" s="347"/>
      <c r="E34" s="361"/>
      <c r="F34" s="32">
        <f>SUM(F32:F33)</f>
        <v>0</v>
      </c>
      <c r="G34" s="32">
        <f>SUM(G32:G33)</f>
        <v>10437</v>
      </c>
      <c r="H34" s="32">
        <f>SUM(H32:H33)</f>
        <v>0</v>
      </c>
    </row>
    <row r="35" spans="1:10" s="339" customFormat="1" ht="21" customHeight="1" x14ac:dyDescent="0.35">
      <c r="A35" s="362" t="s">
        <v>347</v>
      </c>
      <c r="C35" s="342"/>
      <c r="D35" s="342"/>
      <c r="E35" s="343"/>
      <c r="F35" s="30">
        <f>F18+F22+F30+F34</f>
        <v>9172650</v>
      </c>
      <c r="G35" s="30">
        <f>G18+G22+G30+G34</f>
        <v>9567282</v>
      </c>
      <c r="H35" s="30">
        <f>H18+H22+H30+H34</f>
        <v>10326607</v>
      </c>
      <c r="J35" s="21"/>
    </row>
    <row r="36" spans="1:10" ht="21" customHeight="1" x14ac:dyDescent="0.35">
      <c r="A36" s="338"/>
      <c r="B36" s="342" t="s">
        <v>264</v>
      </c>
      <c r="C36" s="342"/>
      <c r="D36" s="342"/>
      <c r="E36" s="343"/>
      <c r="F36" s="33"/>
      <c r="G36" s="33"/>
      <c r="H36" s="33"/>
    </row>
    <row r="37" spans="1:10" ht="21" customHeight="1" x14ac:dyDescent="0.35">
      <c r="A37" s="162"/>
      <c r="C37" s="4"/>
      <c r="D37" s="4"/>
      <c r="E37" s="363"/>
      <c r="F37" s="9"/>
      <c r="G37" s="9"/>
      <c r="H37" s="28"/>
    </row>
    <row r="38" spans="1:10" ht="21" customHeight="1" thickBot="1" x14ac:dyDescent="0.4">
      <c r="A38" s="338"/>
      <c r="B38" s="364" t="s">
        <v>263</v>
      </c>
      <c r="C38" s="364"/>
      <c r="D38" s="364"/>
      <c r="E38" s="365"/>
      <c r="F38" s="34">
        <f>SUM(F37)</f>
        <v>0</v>
      </c>
      <c r="G38" s="34">
        <f>SUM(G37)</f>
        <v>0</v>
      </c>
      <c r="H38" s="34">
        <f>SUM(H37)</f>
        <v>0</v>
      </c>
    </row>
    <row r="39" spans="1:10" ht="21" customHeight="1" thickBot="1" x14ac:dyDescent="0.4">
      <c r="A39" s="336" t="s">
        <v>265</v>
      </c>
      <c r="B39" s="366" t="s">
        <v>25</v>
      </c>
      <c r="C39" s="334"/>
      <c r="D39" s="334"/>
      <c r="E39" s="334"/>
      <c r="F39" s="35">
        <f>F35+F38</f>
        <v>9172650</v>
      </c>
      <c r="G39" s="35">
        <f>G35+G38</f>
        <v>9567282</v>
      </c>
      <c r="H39" s="35">
        <f>H35+H38</f>
        <v>10326607</v>
      </c>
    </row>
    <row r="40" spans="1:10" ht="21" customHeight="1" thickBot="1" x14ac:dyDescent="0.4">
      <c r="A40" s="336"/>
      <c r="B40" s="366"/>
      <c r="C40" s="367" t="s">
        <v>261</v>
      </c>
      <c r="D40" s="334"/>
      <c r="E40" s="334"/>
      <c r="F40" s="35"/>
      <c r="G40" s="35"/>
      <c r="H40" s="35"/>
    </row>
    <row r="41" spans="1:10" ht="21.75" thickBot="1" x14ac:dyDescent="0.4">
      <c r="A41" s="336" t="s">
        <v>266</v>
      </c>
      <c r="B41" s="167" t="s">
        <v>45</v>
      </c>
      <c r="C41" s="368"/>
      <c r="D41" s="368"/>
      <c r="E41" s="368"/>
      <c r="F41" s="13">
        <f>F40</f>
        <v>0</v>
      </c>
      <c r="G41" s="13">
        <f>G40</f>
        <v>0</v>
      </c>
      <c r="H41" s="13">
        <v>0</v>
      </c>
    </row>
    <row r="42" spans="1:10" x14ac:dyDescent="0.35">
      <c r="A42" s="162"/>
      <c r="C42" s="150" t="s">
        <v>391</v>
      </c>
      <c r="D42" s="161"/>
      <c r="E42" s="354"/>
      <c r="F42" s="5">
        <v>302075</v>
      </c>
      <c r="G42" s="5">
        <v>75519</v>
      </c>
      <c r="H42" s="5">
        <f>302075+55733</f>
        <v>357808</v>
      </c>
    </row>
    <row r="43" spans="1:10" x14ac:dyDescent="0.35">
      <c r="A43" s="162"/>
      <c r="C43" s="150" t="s">
        <v>392</v>
      </c>
      <c r="D43" s="161"/>
      <c r="E43" s="354"/>
      <c r="F43" s="7">
        <v>53000</v>
      </c>
      <c r="G43" s="7">
        <v>13250</v>
      </c>
      <c r="H43" s="7">
        <f>53000+30487</f>
        <v>83487</v>
      </c>
    </row>
    <row r="44" spans="1:10" x14ac:dyDescent="0.35">
      <c r="A44" s="338"/>
      <c r="B44" s="150"/>
      <c r="C44" s="161" t="s">
        <v>613</v>
      </c>
      <c r="D44" s="354"/>
      <c r="E44" s="369"/>
      <c r="F44" s="5"/>
      <c r="G44" s="5">
        <v>25</v>
      </c>
      <c r="H44" s="5"/>
      <c r="J44" s="4"/>
    </row>
    <row r="45" spans="1:10" x14ac:dyDescent="0.35">
      <c r="A45" s="162"/>
      <c r="B45" s="339"/>
      <c r="C45" s="150" t="s">
        <v>614</v>
      </c>
      <c r="D45" s="161"/>
      <c r="E45" s="370"/>
      <c r="F45" s="5"/>
      <c r="G45" s="5">
        <v>1000</v>
      </c>
      <c r="H45" s="5"/>
      <c r="J45" s="4"/>
    </row>
    <row r="46" spans="1:10" ht="44.25" customHeight="1" x14ac:dyDescent="0.35">
      <c r="A46" s="162"/>
      <c r="B46" s="339"/>
      <c r="C46" s="926" t="s">
        <v>615</v>
      </c>
      <c r="D46" s="926"/>
      <c r="E46" s="927"/>
      <c r="F46" s="5"/>
      <c r="G46" s="5">
        <v>19144</v>
      </c>
      <c r="H46" s="5"/>
    </row>
    <row r="47" spans="1:10" x14ac:dyDescent="0.35">
      <c r="A47" s="162"/>
      <c r="B47" s="339"/>
      <c r="C47" s="150" t="s">
        <v>401</v>
      </c>
      <c r="D47" s="185"/>
      <c r="E47" s="150"/>
      <c r="F47" s="5"/>
      <c r="G47" s="5">
        <v>13406</v>
      </c>
      <c r="H47" s="5"/>
    </row>
    <row r="48" spans="1:10" x14ac:dyDescent="0.35">
      <c r="A48" s="162"/>
      <c r="B48" s="339"/>
      <c r="C48" s="150" t="s">
        <v>524</v>
      </c>
      <c r="D48" s="185"/>
      <c r="E48" s="150"/>
      <c r="F48" s="5">
        <v>23860</v>
      </c>
      <c r="G48" s="5">
        <v>23860</v>
      </c>
      <c r="H48" s="5">
        <v>23860</v>
      </c>
    </row>
    <row r="49" spans="1:12" x14ac:dyDescent="0.35">
      <c r="A49" s="162"/>
      <c r="B49" s="339"/>
      <c r="C49" s="150" t="s">
        <v>611</v>
      </c>
      <c r="D49" s="185"/>
      <c r="E49" s="150"/>
      <c r="F49" s="5"/>
      <c r="G49" s="5"/>
      <c r="H49" s="5">
        <v>40279</v>
      </c>
      <c r="J49" s="4"/>
      <c r="L49" s="4"/>
    </row>
    <row r="50" spans="1:12" x14ac:dyDescent="0.35">
      <c r="A50" s="162"/>
      <c r="B50" s="339"/>
      <c r="C50" s="150" t="s">
        <v>699</v>
      </c>
      <c r="D50" s="185"/>
      <c r="E50" s="150"/>
      <c r="F50" s="5"/>
      <c r="G50" s="5"/>
      <c r="H50" s="5">
        <v>700000</v>
      </c>
      <c r="J50" s="4"/>
    </row>
    <row r="51" spans="1:12" x14ac:dyDescent="0.35">
      <c r="A51" s="162"/>
      <c r="B51" s="339"/>
      <c r="C51" s="372" t="s">
        <v>607</v>
      </c>
      <c r="D51" s="339"/>
      <c r="E51" s="62"/>
      <c r="F51" s="10"/>
      <c r="G51" s="10"/>
      <c r="H51" s="10">
        <v>250000</v>
      </c>
    </row>
    <row r="52" spans="1:12" x14ac:dyDescent="0.35">
      <c r="A52" s="162"/>
      <c r="B52" s="339"/>
      <c r="C52" s="150"/>
      <c r="D52" s="185" t="s">
        <v>616</v>
      </c>
      <c r="E52" s="358"/>
      <c r="F52" s="5"/>
      <c r="G52" s="5">
        <v>85612</v>
      </c>
      <c r="H52" s="5"/>
    </row>
    <row r="53" spans="1:12" x14ac:dyDescent="0.35">
      <c r="A53" s="162"/>
      <c r="B53" s="339"/>
      <c r="C53" s="150"/>
      <c r="D53" s="185" t="s">
        <v>617</v>
      </c>
      <c r="E53" s="358"/>
      <c r="F53" s="5"/>
      <c r="G53" s="5">
        <v>64388</v>
      </c>
      <c r="H53" s="5"/>
    </row>
    <row r="54" spans="1:12" ht="21.75" thickBot="1" x14ac:dyDescent="0.4">
      <c r="A54" s="162"/>
      <c r="B54" s="339"/>
      <c r="C54" s="150"/>
      <c r="D54" s="185" t="s">
        <v>618</v>
      </c>
      <c r="E54" s="358"/>
      <c r="F54" s="9"/>
      <c r="G54" s="9">
        <v>100000</v>
      </c>
      <c r="H54" s="9"/>
    </row>
    <row r="55" spans="1:12" ht="21" customHeight="1" thickBot="1" x14ac:dyDescent="0.4">
      <c r="A55" s="336" t="s">
        <v>267</v>
      </c>
      <c r="B55" s="373" t="s">
        <v>44</v>
      </c>
      <c r="C55" s="373"/>
      <c r="D55" s="373"/>
      <c r="E55" s="373"/>
      <c r="F55" s="17">
        <f>SUM(F42:F54)</f>
        <v>378935</v>
      </c>
      <c r="G55" s="17">
        <f>SUM(G42:G54)</f>
        <v>396204</v>
      </c>
      <c r="H55" s="17">
        <f>SUM(H42:H54)</f>
        <v>1455434</v>
      </c>
    </row>
    <row r="56" spans="1:12" s="52" customFormat="1" ht="21" customHeight="1" thickBot="1" x14ac:dyDescent="0.4">
      <c r="A56" s="374" t="s">
        <v>268</v>
      </c>
      <c r="B56" s="375"/>
      <c r="C56" s="376"/>
      <c r="D56" s="376"/>
      <c r="E56" s="376"/>
      <c r="F56" s="37">
        <f>F39+F41+F55</f>
        <v>9551585</v>
      </c>
      <c r="G56" s="37">
        <f>G39+G41+G55</f>
        <v>9963486</v>
      </c>
      <c r="H56" s="37">
        <f>H39+H41+H55</f>
        <v>11782041</v>
      </c>
    </row>
    <row r="57" spans="1:12" ht="21" customHeight="1" x14ac:dyDescent="0.35">
      <c r="A57" s="377" t="s">
        <v>101</v>
      </c>
      <c r="B57" s="378"/>
      <c r="C57" s="378"/>
      <c r="D57" s="378"/>
      <c r="E57" s="379"/>
      <c r="F57" s="38"/>
      <c r="G57" s="38"/>
      <c r="H57" s="38"/>
    </row>
    <row r="58" spans="1:12" ht="21" customHeight="1" x14ac:dyDescent="0.35">
      <c r="A58" s="336"/>
      <c r="B58" s="339" t="s">
        <v>22</v>
      </c>
      <c r="C58" s="339"/>
      <c r="D58" s="339"/>
      <c r="E58" s="380"/>
      <c r="F58" s="54"/>
      <c r="G58" s="39"/>
      <c r="H58" s="39"/>
    </row>
    <row r="59" spans="1:12" ht="21" customHeight="1" x14ac:dyDescent="0.35">
      <c r="A59" s="162"/>
      <c r="C59" s="150" t="s">
        <v>185</v>
      </c>
      <c r="D59" s="150"/>
      <c r="E59" s="350"/>
      <c r="F59" s="5"/>
      <c r="G59" s="5">
        <v>1070</v>
      </c>
      <c r="H59" s="5"/>
    </row>
    <row r="60" spans="1:12" ht="21" customHeight="1" x14ac:dyDescent="0.35">
      <c r="A60" s="336"/>
      <c r="B60" s="339" t="s">
        <v>23</v>
      </c>
      <c r="C60" s="339"/>
      <c r="D60" s="339"/>
      <c r="E60" s="380"/>
      <c r="F60" s="10"/>
      <c r="G60" s="10"/>
      <c r="H60" s="10"/>
    </row>
    <row r="61" spans="1:12" ht="21" customHeight="1" x14ac:dyDescent="0.35">
      <c r="A61" s="162"/>
      <c r="C61" s="150" t="s">
        <v>158</v>
      </c>
      <c r="D61" s="150"/>
      <c r="E61" s="185"/>
      <c r="F61" s="5">
        <v>2535000</v>
      </c>
      <c r="G61" s="5">
        <v>2845187</v>
      </c>
      <c r="H61" s="5">
        <f>2535000+200000+50000-50000</f>
        <v>2735000</v>
      </c>
    </row>
    <row r="62" spans="1:12" ht="21" customHeight="1" x14ac:dyDescent="0.35">
      <c r="A62" s="336"/>
      <c r="B62" s="339" t="s">
        <v>21</v>
      </c>
      <c r="C62" s="339"/>
      <c r="D62" s="339"/>
      <c r="E62" s="380"/>
      <c r="F62" s="10"/>
      <c r="G62" s="10"/>
      <c r="H62" s="10"/>
    </row>
    <row r="63" spans="1:12" ht="21" customHeight="1" x14ac:dyDescent="0.35">
      <c r="A63" s="162"/>
      <c r="C63" s="150" t="s">
        <v>186</v>
      </c>
      <c r="D63" s="150"/>
      <c r="E63" s="185"/>
      <c r="F63" s="5">
        <v>11717000</v>
      </c>
      <c r="G63" s="5">
        <v>13287493</v>
      </c>
      <c r="H63" s="5">
        <f>11717000+483000</f>
        <v>12200000</v>
      </c>
    </row>
    <row r="64" spans="1:12" ht="21" customHeight="1" x14ac:dyDescent="0.35">
      <c r="A64" s="162"/>
      <c r="C64" s="161" t="s">
        <v>3</v>
      </c>
      <c r="D64" s="161"/>
      <c r="E64" s="164"/>
      <c r="F64" s="5">
        <v>30000</v>
      </c>
      <c r="G64" s="5">
        <v>32112</v>
      </c>
      <c r="H64" s="5">
        <v>30000</v>
      </c>
    </row>
    <row r="65" spans="1:8" ht="21" customHeight="1" x14ac:dyDescent="0.35">
      <c r="A65" s="336"/>
      <c r="B65" s="339" t="s">
        <v>24</v>
      </c>
      <c r="C65" s="339"/>
      <c r="D65" s="339"/>
      <c r="E65" s="380"/>
      <c r="F65" s="10"/>
      <c r="G65" s="9"/>
      <c r="H65" s="10"/>
    </row>
    <row r="66" spans="1:8" ht="21" customHeight="1" x14ac:dyDescent="0.35">
      <c r="A66" s="162"/>
      <c r="C66" s="150" t="s">
        <v>17</v>
      </c>
      <c r="D66" s="150"/>
      <c r="E66" s="185"/>
      <c r="F66" s="5">
        <v>25000</v>
      </c>
      <c r="G66" s="5">
        <v>28890</v>
      </c>
      <c r="H66" s="5">
        <v>25000</v>
      </c>
    </row>
    <row r="67" spans="1:8" ht="21" customHeight="1" x14ac:dyDescent="0.35">
      <c r="A67" s="162"/>
      <c r="C67" s="161" t="s">
        <v>10</v>
      </c>
      <c r="D67" s="161"/>
      <c r="E67" s="161"/>
      <c r="F67" s="5">
        <v>1000</v>
      </c>
      <c r="G67" s="5">
        <v>1094</v>
      </c>
      <c r="H67" s="5">
        <v>1000</v>
      </c>
    </row>
    <row r="68" spans="1:8" ht="21" customHeight="1" x14ac:dyDescent="0.35">
      <c r="A68" s="162"/>
      <c r="C68" s="161" t="s">
        <v>619</v>
      </c>
      <c r="D68" s="161"/>
      <c r="E68" s="168"/>
      <c r="F68" s="5"/>
      <c r="G68" s="5">
        <v>200</v>
      </c>
      <c r="H68" s="5"/>
    </row>
    <row r="69" spans="1:8" ht="21" customHeight="1" x14ac:dyDescent="0.35">
      <c r="A69" s="162"/>
      <c r="C69" s="2" t="s">
        <v>49</v>
      </c>
      <c r="E69" s="161"/>
      <c r="F69" s="5"/>
      <c r="G69" s="5">
        <v>8219</v>
      </c>
      <c r="H69" s="5"/>
    </row>
    <row r="70" spans="1:8" ht="21" customHeight="1" thickBot="1" x14ac:dyDescent="0.4">
      <c r="A70" s="374" t="s">
        <v>164</v>
      </c>
      <c r="B70" s="375"/>
      <c r="C70" s="376"/>
      <c r="D70" s="376"/>
      <c r="E70" s="376"/>
      <c r="F70" s="37">
        <f>SUM(F57:F69)</f>
        <v>14308000</v>
      </c>
      <c r="G70" s="37">
        <f>SUM(G57:G69)</f>
        <v>16204265</v>
      </c>
      <c r="H70" s="37">
        <f>SUM(H57:H69)</f>
        <v>14991000</v>
      </c>
    </row>
    <row r="71" spans="1:8" ht="21" customHeight="1" x14ac:dyDescent="0.35">
      <c r="A71" s="336" t="s">
        <v>14</v>
      </c>
      <c r="B71" s="380"/>
      <c r="C71" s="380"/>
      <c r="D71" s="380"/>
      <c r="E71" s="381"/>
      <c r="F71" s="54"/>
      <c r="G71" s="39"/>
      <c r="H71" s="39"/>
    </row>
    <row r="72" spans="1:8" ht="21" customHeight="1" x14ac:dyDescent="0.35">
      <c r="A72" s="336"/>
      <c r="B72" s="380" t="s">
        <v>878</v>
      </c>
      <c r="C72" s="380"/>
      <c r="D72" s="380"/>
      <c r="E72" s="380"/>
      <c r="F72" s="54"/>
      <c r="G72" s="39"/>
      <c r="H72" s="39"/>
    </row>
    <row r="73" spans="1:8" ht="21" customHeight="1" x14ac:dyDescent="0.35">
      <c r="A73" s="162"/>
      <c r="E73" s="384" t="s">
        <v>396</v>
      </c>
      <c r="F73" s="922">
        <v>665000</v>
      </c>
      <c r="G73" s="922">
        <v>677325</v>
      </c>
      <c r="H73" s="922">
        <f>665000+12000</f>
        <v>677000</v>
      </c>
    </row>
    <row r="74" spans="1:8" ht="21" customHeight="1" x14ac:dyDescent="0.35">
      <c r="A74" s="162"/>
      <c r="E74" s="383" t="s">
        <v>187</v>
      </c>
      <c r="F74" s="922">
        <v>9000</v>
      </c>
      <c r="G74" s="922">
        <v>25521</v>
      </c>
      <c r="H74" s="922">
        <v>9000</v>
      </c>
    </row>
    <row r="75" spans="1:8" ht="21" customHeight="1" x14ac:dyDescent="0.35">
      <c r="A75" s="162"/>
      <c r="E75" s="383" t="s">
        <v>78</v>
      </c>
      <c r="F75" s="922">
        <v>2700</v>
      </c>
      <c r="G75" s="922">
        <v>2479</v>
      </c>
      <c r="H75" s="922">
        <v>2700</v>
      </c>
    </row>
    <row r="76" spans="1:8" ht="21" customHeight="1" x14ac:dyDescent="0.35">
      <c r="A76" s="162"/>
      <c r="E76" s="383" t="s">
        <v>77</v>
      </c>
      <c r="F76" s="922">
        <v>700000</v>
      </c>
      <c r="G76" s="922">
        <v>700000</v>
      </c>
      <c r="H76" s="922">
        <v>700000</v>
      </c>
    </row>
    <row r="77" spans="1:8" ht="21" customHeight="1" x14ac:dyDescent="0.35">
      <c r="A77" s="162"/>
      <c r="E77" s="383" t="s">
        <v>150</v>
      </c>
      <c r="F77" s="922">
        <v>17000</v>
      </c>
      <c r="G77" s="922">
        <v>33152</v>
      </c>
      <c r="H77" s="922">
        <v>17000</v>
      </c>
    </row>
    <row r="78" spans="1:8" ht="21" customHeight="1" x14ac:dyDescent="0.35">
      <c r="A78" s="162"/>
      <c r="E78" s="383" t="s">
        <v>143</v>
      </c>
      <c r="F78" s="922">
        <v>1700</v>
      </c>
      <c r="G78" s="922">
        <v>3440</v>
      </c>
      <c r="H78" s="922">
        <v>1700</v>
      </c>
    </row>
    <row r="79" spans="1:8" ht="21" customHeight="1" x14ac:dyDescent="0.35">
      <c r="A79" s="162"/>
      <c r="E79" s="384" t="s">
        <v>86</v>
      </c>
      <c r="F79" s="922"/>
      <c r="G79" s="922">
        <v>115354</v>
      </c>
      <c r="H79" s="922"/>
    </row>
    <row r="80" spans="1:8" ht="21" customHeight="1" x14ac:dyDescent="0.35">
      <c r="A80" s="162"/>
      <c r="B80" s="339" t="s">
        <v>879</v>
      </c>
      <c r="E80" s="384"/>
      <c r="F80" s="922"/>
      <c r="G80" s="922"/>
      <c r="H80" s="922"/>
    </row>
    <row r="81" spans="1:8" ht="21.75" customHeight="1" x14ac:dyDescent="0.35">
      <c r="A81" s="162"/>
      <c r="E81" s="150" t="s">
        <v>571</v>
      </c>
      <c r="F81" s="5">
        <v>17950</v>
      </c>
      <c r="G81" s="5">
        <v>17950</v>
      </c>
      <c r="H81" s="5">
        <v>17950</v>
      </c>
    </row>
    <row r="82" spans="1:8" ht="21" customHeight="1" x14ac:dyDescent="0.35">
      <c r="A82" s="162"/>
      <c r="E82" s="382" t="s">
        <v>578</v>
      </c>
      <c r="F82" s="5">
        <v>68400</v>
      </c>
      <c r="G82" s="5">
        <v>68400</v>
      </c>
      <c r="H82" s="5">
        <v>68400</v>
      </c>
    </row>
    <row r="83" spans="1:8" ht="21" customHeight="1" x14ac:dyDescent="0.35">
      <c r="A83" s="162"/>
      <c r="E83" s="161" t="s">
        <v>581</v>
      </c>
      <c r="F83" s="5"/>
      <c r="G83" s="5">
        <v>860</v>
      </c>
      <c r="H83" s="5"/>
    </row>
    <row r="84" spans="1:8" x14ac:dyDescent="0.35">
      <c r="A84" s="162"/>
      <c r="E84" s="161" t="s">
        <v>112</v>
      </c>
      <c r="F84" s="5">
        <v>9000</v>
      </c>
      <c r="G84" s="5">
        <v>11837</v>
      </c>
      <c r="H84" s="5">
        <v>9000</v>
      </c>
    </row>
    <row r="85" spans="1:8" ht="21" customHeight="1" x14ac:dyDescent="0.35">
      <c r="A85" s="162"/>
      <c r="E85" s="150" t="s">
        <v>402</v>
      </c>
      <c r="F85" s="5"/>
      <c r="G85" s="5">
        <v>49563</v>
      </c>
      <c r="H85" s="5"/>
    </row>
    <row r="86" spans="1:8" ht="21" customHeight="1" x14ac:dyDescent="0.35">
      <c r="A86" s="162"/>
      <c r="E86" s="150" t="s">
        <v>426</v>
      </c>
      <c r="F86" s="5"/>
      <c r="G86" s="5">
        <v>1056</v>
      </c>
      <c r="H86" s="5"/>
    </row>
    <row r="87" spans="1:8" ht="21" customHeight="1" x14ac:dyDescent="0.35">
      <c r="A87" s="162"/>
      <c r="E87" s="150" t="s">
        <v>332</v>
      </c>
      <c r="F87" s="5"/>
      <c r="G87" s="5">
        <v>16675</v>
      </c>
      <c r="H87" s="5"/>
    </row>
    <row r="88" spans="1:8" ht="21" customHeight="1" x14ac:dyDescent="0.35">
      <c r="A88" s="162"/>
      <c r="E88" s="150" t="s">
        <v>450</v>
      </c>
      <c r="F88" s="5"/>
      <c r="G88" s="5">
        <v>10377</v>
      </c>
      <c r="H88" s="5"/>
    </row>
    <row r="89" spans="1:8" ht="39.75" customHeight="1" x14ac:dyDescent="0.35">
      <c r="A89" s="162"/>
      <c r="E89" s="358" t="s">
        <v>621</v>
      </c>
      <c r="F89" s="5"/>
      <c r="G89" s="5">
        <v>349075</v>
      </c>
      <c r="H89" s="5"/>
    </row>
    <row r="90" spans="1:8" ht="21" customHeight="1" x14ac:dyDescent="0.35">
      <c r="A90" s="162"/>
      <c r="E90" s="358" t="s">
        <v>620</v>
      </c>
      <c r="F90" s="5"/>
      <c r="G90" s="5">
        <v>37165</v>
      </c>
      <c r="H90" s="5"/>
    </row>
    <row r="91" spans="1:8" ht="21" customHeight="1" x14ac:dyDescent="0.35">
      <c r="A91" s="162"/>
      <c r="E91" s="150" t="s">
        <v>469</v>
      </c>
      <c r="F91" s="5"/>
      <c r="G91" s="5">
        <v>40</v>
      </c>
      <c r="H91" s="5"/>
    </row>
    <row r="92" spans="1:8" ht="42" x14ac:dyDescent="0.35">
      <c r="A92" s="162"/>
      <c r="E92" s="358" t="s">
        <v>449</v>
      </c>
      <c r="F92" s="5"/>
      <c r="G92" s="5">
        <v>412</v>
      </c>
      <c r="H92" s="5"/>
    </row>
    <row r="93" spans="1:8" ht="21" customHeight="1" x14ac:dyDescent="0.35">
      <c r="A93" s="162"/>
      <c r="E93" s="150" t="s">
        <v>582</v>
      </c>
      <c r="F93" s="5"/>
      <c r="G93" s="5">
        <v>26</v>
      </c>
      <c r="H93" s="5"/>
    </row>
    <row r="94" spans="1:8" ht="21" customHeight="1" x14ac:dyDescent="0.35">
      <c r="A94" s="162"/>
      <c r="E94" s="150" t="s">
        <v>432</v>
      </c>
      <c r="F94" s="9"/>
      <c r="G94" s="9">
        <v>906</v>
      </c>
      <c r="H94" s="9"/>
    </row>
    <row r="95" spans="1:8" ht="21" customHeight="1" x14ac:dyDescent="0.35">
      <c r="A95" s="162"/>
      <c r="B95" s="380" t="s">
        <v>26</v>
      </c>
      <c r="C95" s="380"/>
      <c r="D95" s="380"/>
      <c r="E95" s="385"/>
      <c r="F95" s="10"/>
      <c r="G95" s="10"/>
      <c r="H95" s="10"/>
    </row>
    <row r="96" spans="1:8" ht="21" customHeight="1" x14ac:dyDescent="0.35">
      <c r="A96" s="162"/>
      <c r="B96" s="386"/>
      <c r="C96" s="386"/>
      <c r="D96" s="386"/>
      <c r="E96" s="150" t="s">
        <v>397</v>
      </c>
      <c r="F96" s="5">
        <v>117936</v>
      </c>
      <c r="G96" s="5">
        <v>117936</v>
      </c>
      <c r="H96" s="5">
        <v>117936</v>
      </c>
    </row>
    <row r="97" spans="1:8" ht="21" customHeight="1" x14ac:dyDescent="0.35">
      <c r="A97" s="162"/>
      <c r="B97" s="337"/>
      <c r="C97" s="337"/>
      <c r="D97" s="337"/>
      <c r="E97" s="371" t="s">
        <v>178</v>
      </c>
      <c r="F97" s="5">
        <v>400000</v>
      </c>
      <c r="G97" s="28">
        <v>400000</v>
      </c>
      <c r="H97" s="5">
        <v>400000</v>
      </c>
    </row>
    <row r="98" spans="1:8" ht="21" customHeight="1" x14ac:dyDescent="0.35">
      <c r="A98" s="162"/>
      <c r="B98" s="386"/>
      <c r="C98" s="386"/>
      <c r="D98" s="386"/>
      <c r="E98" s="150" t="s">
        <v>82</v>
      </c>
      <c r="F98" s="5">
        <v>20000</v>
      </c>
      <c r="G98" s="28">
        <v>20000</v>
      </c>
      <c r="H98" s="5">
        <v>20000</v>
      </c>
    </row>
    <row r="99" spans="1:8" ht="21" customHeight="1" x14ac:dyDescent="0.35">
      <c r="A99" s="162"/>
      <c r="B99" s="386"/>
      <c r="C99" s="386"/>
      <c r="D99" s="386"/>
      <c r="E99" s="358" t="s">
        <v>623</v>
      </c>
      <c r="F99" s="5"/>
      <c r="G99" s="28">
        <v>1169</v>
      </c>
      <c r="H99" s="5"/>
    </row>
    <row r="100" spans="1:8" ht="21" customHeight="1" x14ac:dyDescent="0.35">
      <c r="A100" s="162"/>
      <c r="B100" s="386"/>
      <c r="C100" s="386"/>
      <c r="D100" s="386"/>
      <c r="E100" s="150" t="s">
        <v>47</v>
      </c>
      <c r="F100" s="29"/>
      <c r="G100" s="29">
        <v>262019</v>
      </c>
      <c r="H100" s="29"/>
    </row>
    <row r="101" spans="1:8" ht="21" customHeight="1" x14ac:dyDescent="0.35">
      <c r="A101" s="162"/>
      <c r="B101" s="386"/>
      <c r="C101" s="386"/>
      <c r="D101" s="386"/>
      <c r="E101" s="150" t="s">
        <v>538</v>
      </c>
      <c r="F101" s="42"/>
      <c r="G101" s="42">
        <v>10035</v>
      </c>
      <c r="H101" s="42"/>
    </row>
    <row r="102" spans="1:8" ht="21" customHeight="1" x14ac:dyDescent="0.35">
      <c r="A102" s="162"/>
      <c r="B102" s="380" t="s">
        <v>27</v>
      </c>
      <c r="C102" s="380"/>
      <c r="D102" s="380"/>
      <c r="E102" s="385"/>
      <c r="F102" s="10"/>
      <c r="G102" s="10"/>
      <c r="H102" s="10"/>
    </row>
    <row r="103" spans="1:8" x14ac:dyDescent="0.35">
      <c r="A103" s="162"/>
      <c r="B103" s="386"/>
      <c r="C103" s="386"/>
      <c r="D103" s="386"/>
      <c r="E103" s="150" t="s">
        <v>147</v>
      </c>
      <c r="F103" s="5">
        <v>120000</v>
      </c>
      <c r="G103" s="5">
        <v>159200</v>
      </c>
      <c r="H103" s="5">
        <f>120000-60000+40000-40000</f>
        <v>60000</v>
      </c>
    </row>
    <row r="104" spans="1:8" x14ac:dyDescent="0.35">
      <c r="A104" s="162"/>
      <c r="B104" s="386"/>
      <c r="C104" s="386"/>
      <c r="D104" s="386"/>
      <c r="E104" s="358" t="s">
        <v>622</v>
      </c>
      <c r="F104" s="5"/>
      <c r="G104" s="5">
        <v>27171</v>
      </c>
      <c r="H104" s="5"/>
    </row>
    <row r="105" spans="1:8" x14ac:dyDescent="0.35">
      <c r="A105" s="162"/>
      <c r="B105" s="386"/>
      <c r="C105" s="386"/>
      <c r="D105" s="386"/>
      <c r="E105" s="150" t="s">
        <v>539</v>
      </c>
      <c r="F105" s="5"/>
      <c r="G105" s="5">
        <v>12821</v>
      </c>
      <c r="H105" s="5"/>
    </row>
    <row r="106" spans="1:8" ht="21" customHeight="1" thickBot="1" x14ac:dyDescent="0.4">
      <c r="A106" s="374" t="s">
        <v>104</v>
      </c>
      <c r="B106" s="376"/>
      <c r="C106" s="376"/>
      <c r="D106" s="376"/>
      <c r="E106" s="376"/>
      <c r="F106" s="16">
        <f>SUM(F71:F105)</f>
        <v>2148686</v>
      </c>
      <c r="G106" s="16">
        <f>SUM(G71:G105)</f>
        <v>3131964</v>
      </c>
      <c r="H106" s="16">
        <f>SUM(H71:H105)</f>
        <v>2100686</v>
      </c>
    </row>
    <row r="107" spans="1:8" ht="21" customHeight="1" x14ac:dyDescent="0.35">
      <c r="A107" s="336" t="s">
        <v>100</v>
      </c>
      <c r="B107" s="337"/>
      <c r="C107" s="337"/>
      <c r="D107" s="337"/>
      <c r="E107" s="337"/>
      <c r="F107" s="23"/>
      <c r="G107" s="23"/>
      <c r="H107" s="23"/>
    </row>
    <row r="108" spans="1:8" ht="21" customHeight="1" x14ac:dyDescent="0.35">
      <c r="A108" s="336"/>
      <c r="B108" s="387" t="s">
        <v>31</v>
      </c>
      <c r="C108" s="337"/>
      <c r="D108" s="337"/>
      <c r="E108" s="337"/>
      <c r="F108" s="41"/>
      <c r="G108" s="41"/>
      <c r="H108" s="41"/>
    </row>
    <row r="109" spans="1:8" ht="21" customHeight="1" x14ac:dyDescent="0.35">
      <c r="A109" s="388"/>
      <c r="B109" s="386"/>
      <c r="C109" s="371" t="s">
        <v>436</v>
      </c>
      <c r="D109" s="371"/>
      <c r="E109" s="150"/>
      <c r="F109" s="28"/>
      <c r="G109" s="28">
        <v>20000</v>
      </c>
      <c r="H109" s="28"/>
    </row>
    <row r="110" spans="1:8" ht="21" customHeight="1" x14ac:dyDescent="0.35">
      <c r="A110" s="162"/>
      <c r="B110" s="380" t="s">
        <v>32</v>
      </c>
      <c r="C110" s="380"/>
      <c r="D110" s="380"/>
      <c r="E110" s="385"/>
      <c r="F110" s="10"/>
      <c r="G110" s="10"/>
      <c r="H110" s="42"/>
    </row>
    <row r="111" spans="1:8" ht="21" customHeight="1" x14ac:dyDescent="0.35">
      <c r="A111" s="388"/>
      <c r="B111" s="386"/>
      <c r="C111" s="371" t="s">
        <v>583</v>
      </c>
      <c r="D111" s="371"/>
      <c r="E111" s="150"/>
      <c r="F111" s="5"/>
      <c r="G111" s="5">
        <v>5161</v>
      </c>
      <c r="H111" s="28"/>
    </row>
    <row r="112" spans="1:8" ht="21" customHeight="1" x14ac:dyDescent="0.35">
      <c r="A112" s="388"/>
      <c r="B112" s="386"/>
      <c r="C112" s="371" t="s">
        <v>427</v>
      </c>
      <c r="D112" s="371"/>
      <c r="E112" s="150"/>
      <c r="F112" s="5"/>
      <c r="G112" s="5">
        <v>432</v>
      </c>
      <c r="H112" s="28"/>
    </row>
    <row r="113" spans="1:8" ht="21" customHeight="1" x14ac:dyDescent="0.35">
      <c r="A113" s="388"/>
      <c r="B113" s="386"/>
      <c r="C113" s="371" t="s">
        <v>624</v>
      </c>
      <c r="D113" s="371"/>
      <c r="E113" s="389"/>
      <c r="F113" s="5"/>
      <c r="G113" s="5">
        <v>161</v>
      </c>
      <c r="H113" s="28"/>
    </row>
    <row r="114" spans="1:8" ht="21" customHeight="1" x14ac:dyDescent="0.35">
      <c r="A114" s="388"/>
      <c r="B114" s="386"/>
      <c r="C114" s="371" t="s">
        <v>625</v>
      </c>
      <c r="D114" s="371"/>
      <c r="E114" s="389"/>
      <c r="F114" s="5"/>
      <c r="G114" s="5">
        <v>3000</v>
      </c>
      <c r="H114" s="28"/>
    </row>
    <row r="115" spans="1:8" ht="21" customHeight="1" x14ac:dyDescent="0.35">
      <c r="A115" s="162"/>
      <c r="B115" s="390"/>
      <c r="C115" s="391" t="s">
        <v>451</v>
      </c>
      <c r="D115" s="5"/>
      <c r="E115" s="5"/>
      <c r="F115" s="5"/>
      <c r="G115" s="5">
        <v>250</v>
      </c>
      <c r="H115" s="28"/>
    </row>
    <row r="116" spans="1:8" ht="21" customHeight="1" x14ac:dyDescent="0.35">
      <c r="A116" s="388"/>
      <c r="B116" s="386"/>
      <c r="C116" s="371" t="s">
        <v>626</v>
      </c>
      <c r="D116" s="371"/>
      <c r="E116" s="389"/>
      <c r="F116" s="5"/>
      <c r="G116" s="5">
        <v>150</v>
      </c>
      <c r="H116" s="28"/>
    </row>
    <row r="117" spans="1:8" ht="21" customHeight="1" x14ac:dyDescent="0.35">
      <c r="A117" s="388"/>
      <c r="B117" s="386"/>
      <c r="C117" s="371" t="s">
        <v>627</v>
      </c>
      <c r="D117" s="371"/>
      <c r="E117" s="389"/>
      <c r="F117" s="5"/>
      <c r="G117" s="5">
        <v>300</v>
      </c>
      <c r="H117" s="28"/>
    </row>
    <row r="118" spans="1:8" ht="21" customHeight="1" x14ac:dyDescent="0.35">
      <c r="A118" s="388"/>
      <c r="B118" s="386"/>
      <c r="C118" s="371" t="s">
        <v>496</v>
      </c>
      <c r="D118" s="371"/>
      <c r="E118" s="389"/>
      <c r="F118" s="5"/>
      <c r="G118" s="5">
        <v>1618</v>
      </c>
      <c r="H118" s="28"/>
    </row>
    <row r="119" spans="1:8" ht="21" customHeight="1" x14ac:dyDescent="0.35">
      <c r="A119" s="388"/>
      <c r="B119" s="386"/>
      <c r="C119" s="371" t="s">
        <v>628</v>
      </c>
      <c r="D119" s="371"/>
      <c r="E119" s="389"/>
      <c r="F119" s="5"/>
      <c r="G119" s="5">
        <v>44415</v>
      </c>
      <c r="H119" s="28"/>
    </row>
    <row r="120" spans="1:8" ht="21" customHeight="1" x14ac:dyDescent="0.35">
      <c r="A120" s="162"/>
      <c r="B120" s="390"/>
      <c r="C120" s="371" t="s">
        <v>540</v>
      </c>
      <c r="D120" s="185"/>
      <c r="E120" s="186"/>
      <c r="F120" s="5"/>
      <c r="G120" s="5">
        <v>5370</v>
      </c>
      <c r="H120" s="28"/>
    </row>
    <row r="121" spans="1:8" ht="21" customHeight="1" x14ac:dyDescent="0.35">
      <c r="A121" s="162"/>
      <c r="B121" s="390"/>
      <c r="C121" s="371" t="s">
        <v>541</v>
      </c>
      <c r="D121" s="185"/>
      <c r="E121" s="186"/>
      <c r="F121" s="5"/>
      <c r="G121" s="5">
        <v>6355</v>
      </c>
      <c r="H121" s="28"/>
    </row>
    <row r="122" spans="1:8" ht="21" customHeight="1" x14ac:dyDescent="0.35">
      <c r="A122" s="162"/>
      <c r="B122" s="390"/>
      <c r="C122" s="371" t="s">
        <v>470</v>
      </c>
      <c r="D122" s="185"/>
      <c r="E122" s="186"/>
      <c r="F122" s="5"/>
      <c r="G122" s="5">
        <v>30917</v>
      </c>
      <c r="H122" s="28"/>
    </row>
    <row r="123" spans="1:8" ht="42.75" customHeight="1" x14ac:dyDescent="0.35">
      <c r="A123" s="162"/>
      <c r="B123" s="390"/>
      <c r="C123" s="926" t="s">
        <v>615</v>
      </c>
      <c r="D123" s="926"/>
      <c r="E123" s="927"/>
      <c r="F123" s="5"/>
      <c r="G123" s="5">
        <v>16591</v>
      </c>
      <c r="H123" s="28"/>
    </row>
    <row r="124" spans="1:8" ht="21" customHeight="1" x14ac:dyDescent="0.35">
      <c r="A124" s="162"/>
      <c r="B124" s="390"/>
      <c r="C124" s="371" t="s">
        <v>629</v>
      </c>
      <c r="D124" s="371"/>
      <c r="E124" s="186"/>
      <c r="F124" s="5"/>
      <c r="G124" s="5">
        <v>1626</v>
      </c>
      <c r="H124" s="28"/>
    </row>
    <row r="125" spans="1:8" ht="21" customHeight="1" x14ac:dyDescent="0.35">
      <c r="A125" s="162"/>
      <c r="B125" s="390"/>
      <c r="C125" s="371" t="s">
        <v>630</v>
      </c>
      <c r="D125" s="371"/>
      <c r="E125" s="186"/>
      <c r="F125" s="5"/>
      <c r="G125" s="5">
        <v>59209</v>
      </c>
      <c r="H125" s="28"/>
    </row>
    <row r="126" spans="1:8" ht="21" customHeight="1" x14ac:dyDescent="0.35">
      <c r="A126" s="162"/>
      <c r="B126" s="390"/>
      <c r="C126" s="371" t="s">
        <v>631</v>
      </c>
      <c r="D126" s="371"/>
      <c r="E126" s="186"/>
      <c r="F126" s="5"/>
      <c r="G126" s="5">
        <v>660352</v>
      </c>
      <c r="H126" s="28"/>
    </row>
    <row r="127" spans="1:8" ht="21" customHeight="1" x14ac:dyDescent="0.35">
      <c r="A127" s="162"/>
      <c r="B127" s="390"/>
      <c r="C127" s="371" t="s">
        <v>632</v>
      </c>
      <c r="D127" s="371"/>
      <c r="E127" s="186"/>
      <c r="F127" s="5"/>
      <c r="G127" s="5">
        <v>638723</v>
      </c>
      <c r="H127" s="28"/>
    </row>
    <row r="128" spans="1:8" ht="21" customHeight="1" x14ac:dyDescent="0.35">
      <c r="A128" s="162"/>
      <c r="B128" s="390"/>
      <c r="C128" s="371" t="s">
        <v>633</v>
      </c>
      <c r="D128" s="371"/>
      <c r="E128" s="186"/>
      <c r="F128" s="5"/>
      <c r="G128" s="5">
        <v>500925</v>
      </c>
      <c r="H128" s="28"/>
    </row>
    <row r="129" spans="1:8" ht="21" customHeight="1" thickBot="1" x14ac:dyDescent="0.4">
      <c r="A129" s="162"/>
      <c r="B129" s="390"/>
      <c r="C129" s="391" t="s">
        <v>650</v>
      </c>
      <c r="D129" s="390"/>
      <c r="F129" s="5"/>
      <c r="G129" s="55">
        <v>300</v>
      </c>
      <c r="H129" s="31"/>
    </row>
    <row r="130" spans="1:8" s="52" customFormat="1" ht="21" customHeight="1" thickBot="1" x14ac:dyDescent="0.4">
      <c r="A130" s="374" t="s">
        <v>163</v>
      </c>
      <c r="B130" s="376"/>
      <c r="C130" s="376"/>
      <c r="D130" s="376"/>
      <c r="E130" s="376"/>
      <c r="F130" s="43">
        <f>SUM(F107:F129)</f>
        <v>0</v>
      </c>
      <c r="G130" s="43">
        <f>SUM(G107:G129)</f>
        <v>1995855</v>
      </c>
      <c r="H130" s="43">
        <f>SUM(H107:H129)</f>
        <v>0</v>
      </c>
    </row>
    <row r="131" spans="1:8" ht="21" customHeight="1" x14ac:dyDescent="0.35">
      <c r="A131" s="377" t="s">
        <v>60</v>
      </c>
      <c r="B131" s="332"/>
      <c r="C131" s="332"/>
      <c r="D131" s="332"/>
      <c r="E131" s="332"/>
      <c r="F131" s="44"/>
      <c r="G131" s="44"/>
      <c r="H131" s="44"/>
    </row>
    <row r="132" spans="1:8" s="52" customFormat="1" ht="21" customHeight="1" x14ac:dyDescent="0.35">
      <c r="A132" s="392"/>
      <c r="B132" s="386" t="s">
        <v>181</v>
      </c>
      <c r="C132" s="380"/>
      <c r="D132" s="380"/>
      <c r="E132" s="19"/>
      <c r="F132" s="5">
        <v>20784</v>
      </c>
      <c r="G132" s="28">
        <v>41924</v>
      </c>
      <c r="H132" s="5">
        <f>20784+3816</f>
        <v>24600</v>
      </c>
    </row>
    <row r="133" spans="1:8" s="52" customFormat="1" ht="21" customHeight="1" x14ac:dyDescent="0.35">
      <c r="A133" s="392"/>
      <c r="B133" s="393" t="s">
        <v>373</v>
      </c>
      <c r="C133" s="394"/>
      <c r="D133" s="394"/>
      <c r="E133" s="163"/>
      <c r="F133" s="5">
        <v>658521</v>
      </c>
      <c r="G133" s="5">
        <v>704665</v>
      </c>
      <c r="H133" s="5">
        <f>658521+35660</f>
        <v>694181</v>
      </c>
    </row>
    <row r="134" spans="1:8" s="52" customFormat="1" ht="21" customHeight="1" x14ac:dyDescent="0.35">
      <c r="A134" s="392"/>
      <c r="B134" s="393" t="s">
        <v>97</v>
      </c>
      <c r="C134" s="394"/>
      <c r="D134" s="394"/>
      <c r="E134" s="163"/>
      <c r="F134" s="5">
        <v>28471</v>
      </c>
      <c r="G134" s="5">
        <v>138481</v>
      </c>
      <c r="H134" s="5">
        <f>28471+10000</f>
        <v>38471</v>
      </c>
    </row>
    <row r="135" spans="1:8" s="52" customFormat="1" ht="21" customHeight="1" x14ac:dyDescent="0.35">
      <c r="A135" s="392"/>
      <c r="B135" s="393" t="s">
        <v>634</v>
      </c>
      <c r="C135" s="394"/>
      <c r="D135" s="394"/>
      <c r="E135" s="163"/>
      <c r="F135" s="5">
        <v>113344</v>
      </c>
      <c r="G135" s="5">
        <v>377871</v>
      </c>
      <c r="H135" s="5">
        <f>113344+20000</f>
        <v>133344</v>
      </c>
    </row>
    <row r="136" spans="1:8" s="52" customFormat="1" ht="21" customHeight="1" x14ac:dyDescent="0.35">
      <c r="A136" s="392"/>
      <c r="B136" s="393" t="s">
        <v>333</v>
      </c>
      <c r="C136" s="394"/>
      <c r="D136" s="394"/>
      <c r="E136" s="163"/>
      <c r="F136" s="5">
        <v>32900</v>
      </c>
      <c r="G136" s="5">
        <v>50672</v>
      </c>
      <c r="H136" s="5">
        <f>32900+1500</f>
        <v>34400</v>
      </c>
    </row>
    <row r="137" spans="1:8" s="52" customFormat="1" ht="21" customHeight="1" x14ac:dyDescent="0.35">
      <c r="A137" s="392"/>
      <c r="B137" s="393" t="s">
        <v>109</v>
      </c>
      <c r="C137" s="394"/>
      <c r="D137" s="394"/>
      <c r="E137" s="163"/>
      <c r="F137" s="5">
        <v>154078</v>
      </c>
      <c r="G137" s="5">
        <v>226561</v>
      </c>
      <c r="H137" s="5">
        <v>154078</v>
      </c>
    </row>
    <row r="138" spans="1:8" s="52" customFormat="1" ht="21" customHeight="1" x14ac:dyDescent="0.35">
      <c r="A138" s="392"/>
      <c r="B138" s="393" t="s">
        <v>71</v>
      </c>
      <c r="C138" s="394"/>
      <c r="D138" s="394"/>
      <c r="E138" s="163"/>
      <c r="F138" s="5">
        <v>197479</v>
      </c>
      <c r="G138" s="5">
        <v>265916</v>
      </c>
      <c r="H138" s="5">
        <f>197479+56706</f>
        <v>254185</v>
      </c>
    </row>
    <row r="139" spans="1:8" s="52" customFormat="1" ht="21" customHeight="1" x14ac:dyDescent="0.35">
      <c r="A139" s="392"/>
      <c r="B139" s="393" t="s">
        <v>190</v>
      </c>
      <c r="C139" s="394"/>
      <c r="D139" s="394"/>
      <c r="E139" s="163"/>
      <c r="F139" s="5">
        <v>488765</v>
      </c>
      <c r="G139" s="5">
        <v>518074</v>
      </c>
      <c r="H139" s="5">
        <f>488765+114115</f>
        <v>602880</v>
      </c>
    </row>
    <row r="140" spans="1:8" s="52" customFormat="1" ht="21" customHeight="1" x14ac:dyDescent="0.35">
      <c r="A140" s="392"/>
      <c r="B140" s="393" t="s">
        <v>13</v>
      </c>
      <c r="C140" s="394"/>
      <c r="D140" s="394"/>
      <c r="E140" s="163"/>
      <c r="F140" s="5">
        <v>97148</v>
      </c>
      <c r="G140" s="5">
        <v>124485</v>
      </c>
      <c r="H140" s="5">
        <f>97148-12116</f>
        <v>85032</v>
      </c>
    </row>
    <row r="141" spans="1:8" s="52" customFormat="1" ht="21" customHeight="1" x14ac:dyDescent="0.35">
      <c r="A141" s="392"/>
      <c r="B141" s="393" t="s">
        <v>142</v>
      </c>
      <c r="C141" s="394"/>
      <c r="D141" s="394"/>
      <c r="E141" s="163"/>
      <c r="F141" s="5">
        <v>188823</v>
      </c>
      <c r="G141" s="5">
        <v>191884</v>
      </c>
      <c r="H141" s="5">
        <f>188823+14477</f>
        <v>203300</v>
      </c>
    </row>
    <row r="142" spans="1:8" s="52" customFormat="1" ht="21" customHeight="1" x14ac:dyDescent="0.35">
      <c r="A142" s="392"/>
      <c r="B142" s="393" t="s">
        <v>610</v>
      </c>
      <c r="C142" s="394"/>
      <c r="D142" s="394"/>
      <c r="E142" s="163"/>
      <c r="F142" s="5"/>
      <c r="G142" s="5"/>
      <c r="H142" s="5">
        <v>21537</v>
      </c>
    </row>
    <row r="143" spans="1:8" s="52" customFormat="1" ht="21" customHeight="1" x14ac:dyDescent="0.35">
      <c r="A143" s="392"/>
      <c r="B143" s="393" t="s">
        <v>4</v>
      </c>
      <c r="C143" s="394"/>
      <c r="D143" s="394"/>
      <c r="E143" s="163"/>
      <c r="F143" s="5">
        <v>19000</v>
      </c>
      <c r="G143" s="5">
        <v>33501</v>
      </c>
      <c r="H143" s="5">
        <f>19000+4005</f>
        <v>23005</v>
      </c>
    </row>
    <row r="144" spans="1:8" ht="21" customHeight="1" thickBot="1" x14ac:dyDescent="0.4">
      <c r="A144" s="374" t="s">
        <v>61</v>
      </c>
      <c r="B144" s="375"/>
      <c r="C144" s="376"/>
      <c r="D144" s="376"/>
      <c r="E144" s="376"/>
      <c r="F144" s="37">
        <f>SUM(F132:F143)</f>
        <v>1999313</v>
      </c>
      <c r="G144" s="37">
        <f>SUM(G132:G143)</f>
        <v>2674034</v>
      </c>
      <c r="H144" s="37">
        <f>SUM(H132:H143)</f>
        <v>2269013</v>
      </c>
    </row>
    <row r="145" spans="1:10" ht="21" customHeight="1" thickBot="1" x14ac:dyDescent="0.4">
      <c r="A145" s="374" t="s">
        <v>300</v>
      </c>
      <c r="B145" s="375"/>
      <c r="C145" s="376"/>
      <c r="D145" s="376"/>
      <c r="E145" s="376"/>
      <c r="F145" s="37">
        <f>F106+F56+F130+F70+F144</f>
        <v>28007584</v>
      </c>
      <c r="G145" s="37">
        <f>G106+G56+G130+G70+G144</f>
        <v>33969604</v>
      </c>
      <c r="H145" s="37">
        <f>H106+H56+H130+H70+H144</f>
        <v>31142740</v>
      </c>
      <c r="J145" s="4"/>
    </row>
    <row r="147" spans="1:10" s="4" customFormat="1" ht="21" customHeight="1" x14ac:dyDescent="0.35"/>
    <row r="148" spans="1:10" s="4" customFormat="1" ht="21" customHeight="1" x14ac:dyDescent="0.35"/>
    <row r="149" spans="1:10" s="4" customFormat="1" ht="21" customHeight="1" x14ac:dyDescent="0.35"/>
    <row r="150" spans="1:10" s="4" customFormat="1" ht="21" customHeight="1" x14ac:dyDescent="0.35"/>
    <row r="151" spans="1:10" s="4" customFormat="1" ht="21" customHeight="1" x14ac:dyDescent="0.35"/>
    <row r="152" spans="1:10" s="4" customFormat="1" ht="21" customHeight="1" x14ac:dyDescent="0.35"/>
    <row r="153" spans="1:10" s="4" customFormat="1" ht="21" customHeight="1" x14ac:dyDescent="0.35"/>
    <row r="154" spans="1:10" s="4" customFormat="1" ht="21" customHeight="1" x14ac:dyDescent="0.35"/>
    <row r="155" spans="1:10" s="4" customFormat="1" ht="21" customHeight="1" x14ac:dyDescent="0.35"/>
    <row r="156" spans="1:10" s="4" customFormat="1" ht="21" customHeight="1" x14ac:dyDescent="0.35"/>
    <row r="157" spans="1:10" s="4" customFormat="1" ht="21" customHeight="1" x14ac:dyDescent="0.35"/>
    <row r="158" spans="1:10" s="4" customFormat="1" ht="21" customHeight="1" x14ac:dyDescent="0.35"/>
    <row r="159" spans="1:10" s="4" customFormat="1" ht="21" customHeight="1" x14ac:dyDescent="0.35"/>
    <row r="160" spans="1:10" s="4" customFormat="1" ht="21" customHeight="1" x14ac:dyDescent="0.35"/>
    <row r="161" s="4" customFormat="1" ht="21" customHeight="1" x14ac:dyDescent="0.35"/>
    <row r="162" s="4" customFormat="1" ht="21" customHeight="1" x14ac:dyDescent="0.35"/>
    <row r="163" s="4" customFormat="1" ht="21" customHeight="1" x14ac:dyDescent="0.35"/>
    <row r="164" s="4" customFormat="1" ht="21" customHeight="1" x14ac:dyDescent="0.35"/>
    <row r="165" s="4" customFormat="1" ht="21" customHeight="1" x14ac:dyDescent="0.35"/>
    <row r="166" s="4" customFormat="1" ht="21" customHeight="1" x14ac:dyDescent="0.35"/>
    <row r="167" s="4" customFormat="1" ht="21" customHeight="1" x14ac:dyDescent="0.35"/>
    <row r="168" s="4" customFormat="1" ht="21" customHeight="1" x14ac:dyDescent="0.35"/>
    <row r="169" s="4" customFormat="1" ht="21" customHeight="1" x14ac:dyDescent="0.35"/>
    <row r="170" s="4" customFormat="1" ht="21" customHeight="1" x14ac:dyDescent="0.35"/>
    <row r="171" s="4" customFormat="1" ht="21" customHeight="1" x14ac:dyDescent="0.35"/>
    <row r="172" s="4" customFormat="1" ht="21" customHeight="1" x14ac:dyDescent="0.35"/>
    <row r="173" s="4" customFormat="1" ht="21" customHeight="1" x14ac:dyDescent="0.35"/>
    <row r="174" s="4" customFormat="1" ht="21" customHeight="1" x14ac:dyDescent="0.35"/>
    <row r="175" s="4" customFormat="1" ht="21" customHeight="1" x14ac:dyDescent="0.35"/>
    <row r="176" s="4" customFormat="1" ht="21" customHeight="1" x14ac:dyDescent="0.35"/>
    <row r="177" s="4" customFormat="1" ht="21" customHeight="1" x14ac:dyDescent="0.35"/>
    <row r="178" s="4" customFormat="1" ht="21" customHeight="1" x14ac:dyDescent="0.35"/>
    <row r="179" s="4" customFormat="1" ht="21" customHeight="1" x14ac:dyDescent="0.35"/>
    <row r="180" s="4" customFormat="1" ht="21" customHeight="1" x14ac:dyDescent="0.35"/>
    <row r="181" s="4" customFormat="1" ht="21" customHeight="1" x14ac:dyDescent="0.35"/>
    <row r="182" s="4" customFormat="1" ht="21" customHeight="1" x14ac:dyDescent="0.35"/>
    <row r="183" s="4" customFormat="1" ht="21" customHeight="1" x14ac:dyDescent="0.35"/>
    <row r="184" s="4" customFormat="1" ht="21" customHeight="1" x14ac:dyDescent="0.35"/>
    <row r="185" s="4" customFormat="1" ht="21" customHeight="1" x14ac:dyDescent="0.35"/>
    <row r="186" s="4" customFormat="1" ht="21" customHeight="1" x14ac:dyDescent="0.35"/>
    <row r="187" s="4" customFormat="1" ht="21" customHeight="1" x14ac:dyDescent="0.35"/>
    <row r="188" s="4" customFormat="1" ht="21" customHeight="1" x14ac:dyDescent="0.35"/>
    <row r="189" s="4" customFormat="1" ht="21" customHeight="1" x14ac:dyDescent="0.35"/>
    <row r="190" s="4" customFormat="1" ht="21" customHeight="1" x14ac:dyDescent="0.35"/>
    <row r="191" s="4" customFormat="1" ht="21" customHeight="1" x14ac:dyDescent="0.35"/>
    <row r="192" s="4" customFormat="1" ht="21" customHeight="1" x14ac:dyDescent="0.35"/>
    <row r="193" s="4" customFormat="1" ht="21" customHeight="1" x14ac:dyDescent="0.35"/>
    <row r="194" s="4" customFormat="1" ht="21" customHeight="1" x14ac:dyDescent="0.35"/>
    <row r="195" s="4" customFormat="1" ht="21" customHeight="1" x14ac:dyDescent="0.35"/>
    <row r="196" s="4" customFormat="1" ht="21" customHeight="1" x14ac:dyDescent="0.35"/>
    <row r="197" s="4" customFormat="1" ht="21" customHeight="1" x14ac:dyDescent="0.35"/>
    <row r="198" s="4" customFormat="1" ht="21" customHeight="1" x14ac:dyDescent="0.35"/>
    <row r="199" s="4" customFormat="1" ht="21" customHeight="1" x14ac:dyDescent="0.35"/>
    <row r="200" s="4" customFormat="1" ht="21" customHeight="1" x14ac:dyDescent="0.35"/>
    <row r="201" s="4" customFormat="1" ht="21" customHeight="1" x14ac:dyDescent="0.35"/>
    <row r="202" s="4" customFormat="1" ht="21" customHeight="1" x14ac:dyDescent="0.35"/>
    <row r="203" s="4" customFormat="1" ht="21" customHeight="1" x14ac:dyDescent="0.35"/>
    <row r="204" s="4" customFormat="1" ht="21" customHeight="1" x14ac:dyDescent="0.35"/>
    <row r="205" s="4" customFormat="1" ht="21" customHeight="1" x14ac:dyDescent="0.35"/>
    <row r="206" s="4" customFormat="1" ht="21" customHeight="1" x14ac:dyDescent="0.35"/>
    <row r="207" s="4" customFormat="1" ht="21" customHeight="1" x14ac:dyDescent="0.35"/>
    <row r="208" s="4" customFormat="1" ht="21" customHeight="1" x14ac:dyDescent="0.35"/>
    <row r="209" s="4" customFormat="1" ht="21" customHeight="1" x14ac:dyDescent="0.35"/>
    <row r="210" s="4" customFormat="1" ht="21" customHeight="1" x14ac:dyDescent="0.35"/>
    <row r="211" s="4" customFormat="1" ht="21" customHeight="1" x14ac:dyDescent="0.35"/>
    <row r="212" s="4" customFormat="1" ht="21" customHeight="1" x14ac:dyDescent="0.35"/>
    <row r="213" s="4" customFormat="1" ht="21" customHeight="1" x14ac:dyDescent="0.35"/>
    <row r="214" s="4" customFormat="1" ht="21" customHeight="1" x14ac:dyDescent="0.35"/>
    <row r="215" s="4" customFormat="1" ht="21" customHeight="1" x14ac:dyDescent="0.35"/>
    <row r="216" s="4" customFormat="1" ht="21" customHeight="1" x14ac:dyDescent="0.35"/>
    <row r="217" s="4" customFormat="1" ht="21" customHeight="1" x14ac:dyDescent="0.35"/>
    <row r="218" s="4" customFormat="1" ht="21" customHeight="1" x14ac:dyDescent="0.35"/>
    <row r="219" s="4" customFormat="1" ht="21" customHeight="1" x14ac:dyDescent="0.35"/>
    <row r="220" s="4" customFormat="1" ht="21" customHeight="1" x14ac:dyDescent="0.35"/>
    <row r="221" s="4" customFormat="1" ht="21" customHeight="1" x14ac:dyDescent="0.35"/>
    <row r="222" s="4" customFormat="1" ht="21" customHeight="1" x14ac:dyDescent="0.35"/>
    <row r="223" s="4" customFormat="1" ht="21" customHeight="1" x14ac:dyDescent="0.35"/>
    <row r="224" s="4" customFormat="1" ht="21" customHeight="1" x14ac:dyDescent="0.35"/>
    <row r="225" s="4" customFormat="1" ht="21" customHeight="1" x14ac:dyDescent="0.35"/>
    <row r="226" s="4" customFormat="1" ht="21" customHeight="1" x14ac:dyDescent="0.35"/>
    <row r="227" s="4" customFormat="1" ht="21" customHeight="1" x14ac:dyDescent="0.35"/>
    <row r="228" s="4" customFormat="1" ht="21" customHeight="1" x14ac:dyDescent="0.35"/>
    <row r="229" s="4" customFormat="1" ht="21" customHeight="1" x14ac:dyDescent="0.35"/>
    <row r="230" s="4" customFormat="1" ht="21" customHeight="1" x14ac:dyDescent="0.35"/>
    <row r="231" s="4" customFormat="1" ht="21" customHeight="1" x14ac:dyDescent="0.35"/>
    <row r="232" s="4" customFormat="1" ht="21" customHeight="1" x14ac:dyDescent="0.35"/>
    <row r="233" s="4" customFormat="1" ht="21" customHeight="1" x14ac:dyDescent="0.35"/>
    <row r="234" s="4" customFormat="1" ht="21" customHeight="1" x14ac:dyDescent="0.35"/>
    <row r="235" s="4" customFormat="1" ht="21" customHeight="1" x14ac:dyDescent="0.35"/>
    <row r="236" s="4" customFormat="1" ht="21" customHeight="1" x14ac:dyDescent="0.35"/>
    <row r="237" s="4" customFormat="1" ht="21" customHeight="1" x14ac:dyDescent="0.35"/>
    <row r="238" s="4" customFormat="1" ht="21" customHeight="1" x14ac:dyDescent="0.35"/>
    <row r="239" s="4" customFormat="1" ht="21" customHeight="1" x14ac:dyDescent="0.35"/>
    <row r="240" s="4" customFormat="1" ht="21" customHeight="1" x14ac:dyDescent="0.35"/>
    <row r="241" s="4" customFormat="1" ht="21" customHeight="1" x14ac:dyDescent="0.35"/>
    <row r="242" s="4" customFormat="1" ht="21" customHeight="1" x14ac:dyDescent="0.35"/>
    <row r="243" s="4" customFormat="1" ht="21" customHeight="1" x14ac:dyDescent="0.35"/>
    <row r="244" s="4" customFormat="1" ht="21" customHeight="1" x14ac:dyDescent="0.35"/>
    <row r="245" s="4" customFormat="1" ht="21" customHeight="1" x14ac:dyDescent="0.35"/>
    <row r="246" s="4" customFormat="1" ht="21" customHeight="1" x14ac:dyDescent="0.35"/>
    <row r="247" s="4" customFormat="1" ht="21" customHeight="1" x14ac:dyDescent="0.35"/>
    <row r="248" s="4" customFormat="1" ht="21" customHeight="1" x14ac:dyDescent="0.35"/>
    <row r="249" s="4" customFormat="1" ht="21" customHeight="1" x14ac:dyDescent="0.35"/>
    <row r="250" s="4" customFormat="1" ht="21" customHeight="1" x14ac:dyDescent="0.35"/>
    <row r="251" s="4" customFormat="1" ht="21" customHeight="1" x14ac:dyDescent="0.35"/>
    <row r="252" s="4" customFormat="1" ht="21" customHeight="1" x14ac:dyDescent="0.35"/>
    <row r="253" s="4" customFormat="1" ht="21" customHeight="1" x14ac:dyDescent="0.35"/>
    <row r="254" s="4" customFormat="1" ht="21" customHeight="1" x14ac:dyDescent="0.35"/>
    <row r="255" s="4" customFormat="1" ht="21" customHeight="1" x14ac:dyDescent="0.35"/>
    <row r="256" s="4" customFormat="1" ht="21" customHeight="1" x14ac:dyDescent="0.35"/>
    <row r="257" s="4" customFormat="1" ht="21" customHeight="1" x14ac:dyDescent="0.35"/>
    <row r="258" s="4" customFormat="1" ht="21" customHeight="1" x14ac:dyDescent="0.35"/>
    <row r="259" s="4" customFormat="1" ht="21" customHeight="1" x14ac:dyDescent="0.35"/>
    <row r="260" s="4" customFormat="1" ht="21" customHeight="1" x14ac:dyDescent="0.35"/>
    <row r="261" s="4" customFormat="1" ht="21" customHeight="1" x14ac:dyDescent="0.35"/>
    <row r="262" s="4" customFormat="1" ht="21" customHeight="1" x14ac:dyDescent="0.35"/>
    <row r="263" s="4" customFormat="1" ht="21" customHeight="1" x14ac:dyDescent="0.35"/>
    <row r="264" s="4" customFormat="1" ht="21" customHeight="1" x14ac:dyDescent="0.35"/>
    <row r="265" s="4" customFormat="1" ht="21" customHeight="1" x14ac:dyDescent="0.35"/>
    <row r="266" s="4" customFormat="1" ht="21" customHeight="1" x14ac:dyDescent="0.35"/>
    <row r="267" s="4" customFormat="1" ht="21" customHeight="1" x14ac:dyDescent="0.35"/>
    <row r="268" s="4" customFormat="1" ht="21" customHeight="1" x14ac:dyDescent="0.35"/>
    <row r="269" s="4" customFormat="1" ht="21" customHeight="1" x14ac:dyDescent="0.35"/>
    <row r="270" s="4" customFormat="1" ht="21" customHeight="1" x14ac:dyDescent="0.35"/>
    <row r="271" s="4" customFormat="1" ht="21" customHeight="1" x14ac:dyDescent="0.35"/>
    <row r="272" s="4" customFormat="1" ht="21" customHeight="1" x14ac:dyDescent="0.35"/>
    <row r="273" s="4" customFormat="1" ht="21" customHeight="1" x14ac:dyDescent="0.35"/>
    <row r="274" s="4" customFormat="1" ht="21" customHeight="1" x14ac:dyDescent="0.35"/>
    <row r="275" s="4" customFormat="1" ht="21" customHeight="1" x14ac:dyDescent="0.35"/>
    <row r="276" s="4" customFormat="1" ht="21" customHeight="1" x14ac:dyDescent="0.35"/>
  </sheetData>
  <mergeCells count="6">
    <mergeCell ref="C46:E46"/>
    <mergeCell ref="C123:E123"/>
    <mergeCell ref="A1:E1"/>
    <mergeCell ref="A2:H2"/>
    <mergeCell ref="C27:E27"/>
    <mergeCell ref="C25:E25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43" orientation="portrait" r:id="rId1"/>
  <headerFooter alignWithMargins="0">
    <oddHeader xml:space="preserve">&amp;R&amp;"Times New Roman CE,Félkövér"&amp;16
&amp;"-,Félkövér"
3. melléklet a 3/2026. (II.27.) önkormányzati rendelethez&amp;"Times New Roman CE,Félkövér"
</oddHeader>
  </headerFooter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A73E-0D54-4EC8-A53E-09FC839CF186}">
  <sheetPr>
    <tabColor theme="0" tint="-4.9989318521683403E-2"/>
  </sheetPr>
  <dimension ref="A1:M53"/>
  <sheetViews>
    <sheetView topLeftCell="F25" zoomScale="60" zoomScaleNormal="60" workbookViewId="0">
      <selection activeCell="Q44" sqref="Q44"/>
    </sheetView>
  </sheetViews>
  <sheetFormatPr defaultRowHeight="26.45" customHeight="1" x14ac:dyDescent="0.3"/>
  <cols>
    <col min="1" max="1" width="144.1640625" style="640" customWidth="1"/>
    <col min="2" max="2" width="45" style="684" customWidth="1"/>
    <col min="3" max="3" width="44.6640625" style="684" customWidth="1"/>
    <col min="4" max="4" width="44.83203125" style="684" customWidth="1"/>
    <col min="5" max="5" width="44.6640625" style="684" customWidth="1"/>
    <col min="6" max="6" width="44.83203125" style="684" customWidth="1"/>
    <col min="7" max="7" width="144.1640625" style="640" customWidth="1"/>
    <col min="8" max="8" width="44.6640625" style="684" customWidth="1"/>
    <col min="9" max="12" width="44.83203125" style="684" customWidth="1"/>
    <col min="13" max="13" width="44.6640625" style="684" customWidth="1"/>
    <col min="14" max="256" width="9.33203125" style="642"/>
    <col min="257" max="257" width="144.1640625" style="642" customWidth="1"/>
    <col min="258" max="258" width="45" style="642" customWidth="1"/>
    <col min="259" max="259" width="44.6640625" style="642" customWidth="1"/>
    <col min="260" max="260" width="44.83203125" style="642" customWidth="1"/>
    <col min="261" max="261" width="44.6640625" style="642" customWidth="1"/>
    <col min="262" max="262" width="44.83203125" style="642" customWidth="1"/>
    <col min="263" max="263" width="144.1640625" style="642" customWidth="1"/>
    <col min="264" max="264" width="44.6640625" style="642" customWidth="1"/>
    <col min="265" max="268" width="44.83203125" style="642" customWidth="1"/>
    <col min="269" max="269" width="44.6640625" style="642" customWidth="1"/>
    <col min="270" max="512" width="9.33203125" style="642"/>
    <col min="513" max="513" width="144.1640625" style="642" customWidth="1"/>
    <col min="514" max="514" width="45" style="642" customWidth="1"/>
    <col min="515" max="515" width="44.6640625" style="642" customWidth="1"/>
    <col min="516" max="516" width="44.83203125" style="642" customWidth="1"/>
    <col min="517" max="517" width="44.6640625" style="642" customWidth="1"/>
    <col min="518" max="518" width="44.83203125" style="642" customWidth="1"/>
    <col min="519" max="519" width="144.1640625" style="642" customWidth="1"/>
    <col min="520" max="520" width="44.6640625" style="642" customWidth="1"/>
    <col min="521" max="524" width="44.83203125" style="642" customWidth="1"/>
    <col min="525" max="525" width="44.6640625" style="642" customWidth="1"/>
    <col min="526" max="768" width="9.33203125" style="642"/>
    <col min="769" max="769" width="144.1640625" style="642" customWidth="1"/>
    <col min="770" max="770" width="45" style="642" customWidth="1"/>
    <col min="771" max="771" width="44.6640625" style="642" customWidth="1"/>
    <col min="772" max="772" width="44.83203125" style="642" customWidth="1"/>
    <col min="773" max="773" width="44.6640625" style="642" customWidth="1"/>
    <col min="774" max="774" width="44.83203125" style="642" customWidth="1"/>
    <col min="775" max="775" width="144.1640625" style="642" customWidth="1"/>
    <col min="776" max="776" width="44.6640625" style="642" customWidth="1"/>
    <col min="777" max="780" width="44.83203125" style="642" customWidth="1"/>
    <col min="781" max="781" width="44.6640625" style="642" customWidth="1"/>
    <col min="782" max="1024" width="9.33203125" style="642"/>
    <col min="1025" max="1025" width="144.1640625" style="642" customWidth="1"/>
    <col min="1026" max="1026" width="45" style="642" customWidth="1"/>
    <col min="1027" max="1027" width="44.6640625" style="642" customWidth="1"/>
    <col min="1028" max="1028" width="44.83203125" style="642" customWidth="1"/>
    <col min="1029" max="1029" width="44.6640625" style="642" customWidth="1"/>
    <col min="1030" max="1030" width="44.83203125" style="642" customWidth="1"/>
    <col min="1031" max="1031" width="144.1640625" style="642" customWidth="1"/>
    <col min="1032" max="1032" width="44.6640625" style="642" customWidth="1"/>
    <col min="1033" max="1036" width="44.83203125" style="642" customWidth="1"/>
    <col min="1037" max="1037" width="44.6640625" style="642" customWidth="1"/>
    <col min="1038" max="1280" width="9.33203125" style="642"/>
    <col min="1281" max="1281" width="144.1640625" style="642" customWidth="1"/>
    <col min="1282" max="1282" width="45" style="642" customWidth="1"/>
    <col min="1283" max="1283" width="44.6640625" style="642" customWidth="1"/>
    <col min="1284" max="1284" width="44.83203125" style="642" customWidth="1"/>
    <col min="1285" max="1285" width="44.6640625" style="642" customWidth="1"/>
    <col min="1286" max="1286" width="44.83203125" style="642" customWidth="1"/>
    <col min="1287" max="1287" width="144.1640625" style="642" customWidth="1"/>
    <col min="1288" max="1288" width="44.6640625" style="642" customWidth="1"/>
    <col min="1289" max="1292" width="44.83203125" style="642" customWidth="1"/>
    <col min="1293" max="1293" width="44.6640625" style="642" customWidth="1"/>
    <col min="1294" max="1536" width="9.33203125" style="642"/>
    <col min="1537" max="1537" width="144.1640625" style="642" customWidth="1"/>
    <col min="1538" max="1538" width="45" style="642" customWidth="1"/>
    <col min="1539" max="1539" width="44.6640625" style="642" customWidth="1"/>
    <col min="1540" max="1540" width="44.83203125" style="642" customWidth="1"/>
    <col min="1541" max="1541" width="44.6640625" style="642" customWidth="1"/>
    <col min="1542" max="1542" width="44.83203125" style="642" customWidth="1"/>
    <col min="1543" max="1543" width="144.1640625" style="642" customWidth="1"/>
    <col min="1544" max="1544" width="44.6640625" style="642" customWidth="1"/>
    <col min="1545" max="1548" width="44.83203125" style="642" customWidth="1"/>
    <col min="1549" max="1549" width="44.6640625" style="642" customWidth="1"/>
    <col min="1550" max="1792" width="9.33203125" style="642"/>
    <col min="1793" max="1793" width="144.1640625" style="642" customWidth="1"/>
    <col min="1794" max="1794" width="45" style="642" customWidth="1"/>
    <col min="1795" max="1795" width="44.6640625" style="642" customWidth="1"/>
    <col min="1796" max="1796" width="44.83203125" style="642" customWidth="1"/>
    <col min="1797" max="1797" width="44.6640625" style="642" customWidth="1"/>
    <col min="1798" max="1798" width="44.83203125" style="642" customWidth="1"/>
    <col min="1799" max="1799" width="144.1640625" style="642" customWidth="1"/>
    <col min="1800" max="1800" width="44.6640625" style="642" customWidth="1"/>
    <col min="1801" max="1804" width="44.83203125" style="642" customWidth="1"/>
    <col min="1805" max="1805" width="44.6640625" style="642" customWidth="1"/>
    <col min="1806" max="2048" width="9.33203125" style="642"/>
    <col min="2049" max="2049" width="144.1640625" style="642" customWidth="1"/>
    <col min="2050" max="2050" width="45" style="642" customWidth="1"/>
    <col min="2051" max="2051" width="44.6640625" style="642" customWidth="1"/>
    <col min="2052" max="2052" width="44.83203125" style="642" customWidth="1"/>
    <col min="2053" max="2053" width="44.6640625" style="642" customWidth="1"/>
    <col min="2054" max="2054" width="44.83203125" style="642" customWidth="1"/>
    <col min="2055" max="2055" width="144.1640625" style="642" customWidth="1"/>
    <col min="2056" max="2056" width="44.6640625" style="642" customWidth="1"/>
    <col min="2057" max="2060" width="44.83203125" style="642" customWidth="1"/>
    <col min="2061" max="2061" width="44.6640625" style="642" customWidth="1"/>
    <col min="2062" max="2304" width="9.33203125" style="642"/>
    <col min="2305" max="2305" width="144.1640625" style="642" customWidth="1"/>
    <col min="2306" max="2306" width="45" style="642" customWidth="1"/>
    <col min="2307" max="2307" width="44.6640625" style="642" customWidth="1"/>
    <col min="2308" max="2308" width="44.83203125" style="642" customWidth="1"/>
    <col min="2309" max="2309" width="44.6640625" style="642" customWidth="1"/>
    <col min="2310" max="2310" width="44.83203125" style="642" customWidth="1"/>
    <col min="2311" max="2311" width="144.1640625" style="642" customWidth="1"/>
    <col min="2312" max="2312" width="44.6640625" style="642" customWidth="1"/>
    <col min="2313" max="2316" width="44.83203125" style="642" customWidth="1"/>
    <col min="2317" max="2317" width="44.6640625" style="642" customWidth="1"/>
    <col min="2318" max="2560" width="9.33203125" style="642"/>
    <col min="2561" max="2561" width="144.1640625" style="642" customWidth="1"/>
    <col min="2562" max="2562" width="45" style="642" customWidth="1"/>
    <col min="2563" max="2563" width="44.6640625" style="642" customWidth="1"/>
    <col min="2564" max="2564" width="44.83203125" style="642" customWidth="1"/>
    <col min="2565" max="2565" width="44.6640625" style="642" customWidth="1"/>
    <col min="2566" max="2566" width="44.83203125" style="642" customWidth="1"/>
    <col min="2567" max="2567" width="144.1640625" style="642" customWidth="1"/>
    <col min="2568" max="2568" width="44.6640625" style="642" customWidth="1"/>
    <col min="2569" max="2572" width="44.83203125" style="642" customWidth="1"/>
    <col min="2573" max="2573" width="44.6640625" style="642" customWidth="1"/>
    <col min="2574" max="2816" width="9.33203125" style="642"/>
    <col min="2817" max="2817" width="144.1640625" style="642" customWidth="1"/>
    <col min="2818" max="2818" width="45" style="642" customWidth="1"/>
    <col min="2819" max="2819" width="44.6640625" style="642" customWidth="1"/>
    <col min="2820" max="2820" width="44.83203125" style="642" customWidth="1"/>
    <col min="2821" max="2821" width="44.6640625" style="642" customWidth="1"/>
    <col min="2822" max="2822" width="44.83203125" style="642" customWidth="1"/>
    <col min="2823" max="2823" width="144.1640625" style="642" customWidth="1"/>
    <col min="2824" max="2824" width="44.6640625" style="642" customWidth="1"/>
    <col min="2825" max="2828" width="44.83203125" style="642" customWidth="1"/>
    <col min="2829" max="2829" width="44.6640625" style="642" customWidth="1"/>
    <col min="2830" max="3072" width="9.33203125" style="642"/>
    <col min="3073" max="3073" width="144.1640625" style="642" customWidth="1"/>
    <col min="3074" max="3074" width="45" style="642" customWidth="1"/>
    <col min="3075" max="3075" width="44.6640625" style="642" customWidth="1"/>
    <col min="3076" max="3076" width="44.83203125" style="642" customWidth="1"/>
    <col min="3077" max="3077" width="44.6640625" style="642" customWidth="1"/>
    <col min="3078" max="3078" width="44.83203125" style="642" customWidth="1"/>
    <col min="3079" max="3079" width="144.1640625" style="642" customWidth="1"/>
    <col min="3080" max="3080" width="44.6640625" style="642" customWidth="1"/>
    <col min="3081" max="3084" width="44.83203125" style="642" customWidth="1"/>
    <col min="3085" max="3085" width="44.6640625" style="642" customWidth="1"/>
    <col min="3086" max="3328" width="9.33203125" style="642"/>
    <col min="3329" max="3329" width="144.1640625" style="642" customWidth="1"/>
    <col min="3330" max="3330" width="45" style="642" customWidth="1"/>
    <col min="3331" max="3331" width="44.6640625" style="642" customWidth="1"/>
    <col min="3332" max="3332" width="44.83203125" style="642" customWidth="1"/>
    <col min="3333" max="3333" width="44.6640625" style="642" customWidth="1"/>
    <col min="3334" max="3334" width="44.83203125" style="642" customWidth="1"/>
    <col min="3335" max="3335" width="144.1640625" style="642" customWidth="1"/>
    <col min="3336" max="3336" width="44.6640625" style="642" customWidth="1"/>
    <col min="3337" max="3340" width="44.83203125" style="642" customWidth="1"/>
    <col min="3341" max="3341" width="44.6640625" style="642" customWidth="1"/>
    <col min="3342" max="3584" width="9.33203125" style="642"/>
    <col min="3585" max="3585" width="144.1640625" style="642" customWidth="1"/>
    <col min="3586" max="3586" width="45" style="642" customWidth="1"/>
    <col min="3587" max="3587" width="44.6640625" style="642" customWidth="1"/>
    <col min="3588" max="3588" width="44.83203125" style="642" customWidth="1"/>
    <col min="3589" max="3589" width="44.6640625" style="642" customWidth="1"/>
    <col min="3590" max="3590" width="44.83203125" style="642" customWidth="1"/>
    <col min="3591" max="3591" width="144.1640625" style="642" customWidth="1"/>
    <col min="3592" max="3592" width="44.6640625" style="642" customWidth="1"/>
    <col min="3593" max="3596" width="44.83203125" style="642" customWidth="1"/>
    <col min="3597" max="3597" width="44.6640625" style="642" customWidth="1"/>
    <col min="3598" max="3840" width="9.33203125" style="642"/>
    <col min="3841" max="3841" width="144.1640625" style="642" customWidth="1"/>
    <col min="3842" max="3842" width="45" style="642" customWidth="1"/>
    <col min="3843" max="3843" width="44.6640625" style="642" customWidth="1"/>
    <col min="3844" max="3844" width="44.83203125" style="642" customWidth="1"/>
    <col min="3845" max="3845" width="44.6640625" style="642" customWidth="1"/>
    <col min="3846" max="3846" width="44.83203125" style="642" customWidth="1"/>
    <col min="3847" max="3847" width="144.1640625" style="642" customWidth="1"/>
    <col min="3848" max="3848" width="44.6640625" style="642" customWidth="1"/>
    <col min="3849" max="3852" width="44.83203125" style="642" customWidth="1"/>
    <col min="3853" max="3853" width="44.6640625" style="642" customWidth="1"/>
    <col min="3854" max="4096" width="9.33203125" style="642"/>
    <col min="4097" max="4097" width="144.1640625" style="642" customWidth="1"/>
    <col min="4098" max="4098" width="45" style="642" customWidth="1"/>
    <col min="4099" max="4099" width="44.6640625" style="642" customWidth="1"/>
    <col min="4100" max="4100" width="44.83203125" style="642" customWidth="1"/>
    <col min="4101" max="4101" width="44.6640625" style="642" customWidth="1"/>
    <col min="4102" max="4102" width="44.83203125" style="642" customWidth="1"/>
    <col min="4103" max="4103" width="144.1640625" style="642" customWidth="1"/>
    <col min="4104" max="4104" width="44.6640625" style="642" customWidth="1"/>
    <col min="4105" max="4108" width="44.83203125" style="642" customWidth="1"/>
    <col min="4109" max="4109" width="44.6640625" style="642" customWidth="1"/>
    <col min="4110" max="4352" width="9.33203125" style="642"/>
    <col min="4353" max="4353" width="144.1640625" style="642" customWidth="1"/>
    <col min="4354" max="4354" width="45" style="642" customWidth="1"/>
    <col min="4355" max="4355" width="44.6640625" style="642" customWidth="1"/>
    <col min="4356" max="4356" width="44.83203125" style="642" customWidth="1"/>
    <col min="4357" max="4357" width="44.6640625" style="642" customWidth="1"/>
    <col min="4358" max="4358" width="44.83203125" style="642" customWidth="1"/>
    <col min="4359" max="4359" width="144.1640625" style="642" customWidth="1"/>
    <col min="4360" max="4360" width="44.6640625" style="642" customWidth="1"/>
    <col min="4361" max="4364" width="44.83203125" style="642" customWidth="1"/>
    <col min="4365" max="4365" width="44.6640625" style="642" customWidth="1"/>
    <col min="4366" max="4608" width="9.33203125" style="642"/>
    <col min="4609" max="4609" width="144.1640625" style="642" customWidth="1"/>
    <col min="4610" max="4610" width="45" style="642" customWidth="1"/>
    <col min="4611" max="4611" width="44.6640625" style="642" customWidth="1"/>
    <col min="4612" max="4612" width="44.83203125" style="642" customWidth="1"/>
    <col min="4613" max="4613" width="44.6640625" style="642" customWidth="1"/>
    <col min="4614" max="4614" width="44.83203125" style="642" customWidth="1"/>
    <col min="4615" max="4615" width="144.1640625" style="642" customWidth="1"/>
    <col min="4616" max="4616" width="44.6640625" style="642" customWidth="1"/>
    <col min="4617" max="4620" width="44.83203125" style="642" customWidth="1"/>
    <col min="4621" max="4621" width="44.6640625" style="642" customWidth="1"/>
    <col min="4622" max="4864" width="9.33203125" style="642"/>
    <col min="4865" max="4865" width="144.1640625" style="642" customWidth="1"/>
    <col min="4866" max="4866" width="45" style="642" customWidth="1"/>
    <col min="4867" max="4867" width="44.6640625" style="642" customWidth="1"/>
    <col min="4868" max="4868" width="44.83203125" style="642" customWidth="1"/>
    <col min="4869" max="4869" width="44.6640625" style="642" customWidth="1"/>
    <col min="4870" max="4870" width="44.83203125" style="642" customWidth="1"/>
    <col min="4871" max="4871" width="144.1640625" style="642" customWidth="1"/>
    <col min="4872" max="4872" width="44.6640625" style="642" customWidth="1"/>
    <col min="4873" max="4876" width="44.83203125" style="642" customWidth="1"/>
    <col min="4877" max="4877" width="44.6640625" style="642" customWidth="1"/>
    <col min="4878" max="5120" width="9.33203125" style="642"/>
    <col min="5121" max="5121" width="144.1640625" style="642" customWidth="1"/>
    <col min="5122" max="5122" width="45" style="642" customWidth="1"/>
    <col min="5123" max="5123" width="44.6640625" style="642" customWidth="1"/>
    <col min="5124" max="5124" width="44.83203125" style="642" customWidth="1"/>
    <col min="5125" max="5125" width="44.6640625" style="642" customWidth="1"/>
    <col min="5126" max="5126" width="44.83203125" style="642" customWidth="1"/>
    <col min="5127" max="5127" width="144.1640625" style="642" customWidth="1"/>
    <col min="5128" max="5128" width="44.6640625" style="642" customWidth="1"/>
    <col min="5129" max="5132" width="44.83203125" style="642" customWidth="1"/>
    <col min="5133" max="5133" width="44.6640625" style="642" customWidth="1"/>
    <col min="5134" max="5376" width="9.33203125" style="642"/>
    <col min="5377" max="5377" width="144.1640625" style="642" customWidth="1"/>
    <col min="5378" max="5378" width="45" style="642" customWidth="1"/>
    <col min="5379" max="5379" width="44.6640625" style="642" customWidth="1"/>
    <col min="5380" max="5380" width="44.83203125" style="642" customWidth="1"/>
    <col min="5381" max="5381" width="44.6640625" style="642" customWidth="1"/>
    <col min="5382" max="5382" width="44.83203125" style="642" customWidth="1"/>
    <col min="5383" max="5383" width="144.1640625" style="642" customWidth="1"/>
    <col min="5384" max="5384" width="44.6640625" style="642" customWidth="1"/>
    <col min="5385" max="5388" width="44.83203125" style="642" customWidth="1"/>
    <col min="5389" max="5389" width="44.6640625" style="642" customWidth="1"/>
    <col min="5390" max="5632" width="9.33203125" style="642"/>
    <col min="5633" max="5633" width="144.1640625" style="642" customWidth="1"/>
    <col min="5634" max="5634" width="45" style="642" customWidth="1"/>
    <col min="5635" max="5635" width="44.6640625" style="642" customWidth="1"/>
    <col min="5636" max="5636" width="44.83203125" style="642" customWidth="1"/>
    <col min="5637" max="5637" width="44.6640625" style="642" customWidth="1"/>
    <col min="5638" max="5638" width="44.83203125" style="642" customWidth="1"/>
    <col min="5639" max="5639" width="144.1640625" style="642" customWidth="1"/>
    <col min="5640" max="5640" width="44.6640625" style="642" customWidth="1"/>
    <col min="5641" max="5644" width="44.83203125" style="642" customWidth="1"/>
    <col min="5645" max="5645" width="44.6640625" style="642" customWidth="1"/>
    <col min="5646" max="5888" width="9.33203125" style="642"/>
    <col min="5889" max="5889" width="144.1640625" style="642" customWidth="1"/>
    <col min="5890" max="5890" width="45" style="642" customWidth="1"/>
    <col min="5891" max="5891" width="44.6640625" style="642" customWidth="1"/>
    <col min="5892" max="5892" width="44.83203125" style="642" customWidth="1"/>
    <col min="5893" max="5893" width="44.6640625" style="642" customWidth="1"/>
    <col min="5894" max="5894" width="44.83203125" style="642" customWidth="1"/>
    <col min="5895" max="5895" width="144.1640625" style="642" customWidth="1"/>
    <col min="5896" max="5896" width="44.6640625" style="642" customWidth="1"/>
    <col min="5897" max="5900" width="44.83203125" style="642" customWidth="1"/>
    <col min="5901" max="5901" width="44.6640625" style="642" customWidth="1"/>
    <col min="5902" max="6144" width="9.33203125" style="642"/>
    <col min="6145" max="6145" width="144.1640625" style="642" customWidth="1"/>
    <col min="6146" max="6146" width="45" style="642" customWidth="1"/>
    <col min="6147" max="6147" width="44.6640625" style="642" customWidth="1"/>
    <col min="6148" max="6148" width="44.83203125" style="642" customWidth="1"/>
    <col min="6149" max="6149" width="44.6640625" style="642" customWidth="1"/>
    <col min="6150" max="6150" width="44.83203125" style="642" customWidth="1"/>
    <col min="6151" max="6151" width="144.1640625" style="642" customWidth="1"/>
    <col min="6152" max="6152" width="44.6640625" style="642" customWidth="1"/>
    <col min="6153" max="6156" width="44.83203125" style="642" customWidth="1"/>
    <col min="6157" max="6157" width="44.6640625" style="642" customWidth="1"/>
    <col min="6158" max="6400" width="9.33203125" style="642"/>
    <col min="6401" max="6401" width="144.1640625" style="642" customWidth="1"/>
    <col min="6402" max="6402" width="45" style="642" customWidth="1"/>
    <col min="6403" max="6403" width="44.6640625" style="642" customWidth="1"/>
    <col min="6404" max="6404" width="44.83203125" style="642" customWidth="1"/>
    <col min="6405" max="6405" width="44.6640625" style="642" customWidth="1"/>
    <col min="6406" max="6406" width="44.83203125" style="642" customWidth="1"/>
    <col min="6407" max="6407" width="144.1640625" style="642" customWidth="1"/>
    <col min="6408" max="6408" width="44.6640625" style="642" customWidth="1"/>
    <col min="6409" max="6412" width="44.83203125" style="642" customWidth="1"/>
    <col min="6413" max="6413" width="44.6640625" style="642" customWidth="1"/>
    <col min="6414" max="6656" width="9.33203125" style="642"/>
    <col min="6657" max="6657" width="144.1640625" style="642" customWidth="1"/>
    <col min="6658" max="6658" width="45" style="642" customWidth="1"/>
    <col min="6659" max="6659" width="44.6640625" style="642" customWidth="1"/>
    <col min="6660" max="6660" width="44.83203125" style="642" customWidth="1"/>
    <col min="6661" max="6661" width="44.6640625" style="642" customWidth="1"/>
    <col min="6662" max="6662" width="44.83203125" style="642" customWidth="1"/>
    <col min="6663" max="6663" width="144.1640625" style="642" customWidth="1"/>
    <col min="6664" max="6664" width="44.6640625" style="642" customWidth="1"/>
    <col min="6665" max="6668" width="44.83203125" style="642" customWidth="1"/>
    <col min="6669" max="6669" width="44.6640625" style="642" customWidth="1"/>
    <col min="6670" max="6912" width="9.33203125" style="642"/>
    <col min="6913" max="6913" width="144.1640625" style="642" customWidth="1"/>
    <col min="6914" max="6914" width="45" style="642" customWidth="1"/>
    <col min="6915" max="6915" width="44.6640625" style="642" customWidth="1"/>
    <col min="6916" max="6916" width="44.83203125" style="642" customWidth="1"/>
    <col min="6917" max="6917" width="44.6640625" style="642" customWidth="1"/>
    <col min="6918" max="6918" width="44.83203125" style="642" customWidth="1"/>
    <col min="6919" max="6919" width="144.1640625" style="642" customWidth="1"/>
    <col min="6920" max="6920" width="44.6640625" style="642" customWidth="1"/>
    <col min="6921" max="6924" width="44.83203125" style="642" customWidth="1"/>
    <col min="6925" max="6925" width="44.6640625" style="642" customWidth="1"/>
    <col min="6926" max="7168" width="9.33203125" style="642"/>
    <col min="7169" max="7169" width="144.1640625" style="642" customWidth="1"/>
    <col min="7170" max="7170" width="45" style="642" customWidth="1"/>
    <col min="7171" max="7171" width="44.6640625" style="642" customWidth="1"/>
    <col min="7172" max="7172" width="44.83203125" style="642" customWidth="1"/>
    <col min="7173" max="7173" width="44.6640625" style="642" customWidth="1"/>
    <col min="7174" max="7174" width="44.83203125" style="642" customWidth="1"/>
    <col min="7175" max="7175" width="144.1640625" style="642" customWidth="1"/>
    <col min="7176" max="7176" width="44.6640625" style="642" customWidth="1"/>
    <col min="7177" max="7180" width="44.83203125" style="642" customWidth="1"/>
    <col min="7181" max="7181" width="44.6640625" style="642" customWidth="1"/>
    <col min="7182" max="7424" width="9.33203125" style="642"/>
    <col min="7425" max="7425" width="144.1640625" style="642" customWidth="1"/>
    <col min="7426" max="7426" width="45" style="642" customWidth="1"/>
    <col min="7427" max="7427" width="44.6640625" style="642" customWidth="1"/>
    <col min="7428" max="7428" width="44.83203125" style="642" customWidth="1"/>
    <col min="7429" max="7429" width="44.6640625" style="642" customWidth="1"/>
    <col min="7430" max="7430" width="44.83203125" style="642" customWidth="1"/>
    <col min="7431" max="7431" width="144.1640625" style="642" customWidth="1"/>
    <col min="7432" max="7432" width="44.6640625" style="642" customWidth="1"/>
    <col min="7433" max="7436" width="44.83203125" style="642" customWidth="1"/>
    <col min="7437" max="7437" width="44.6640625" style="642" customWidth="1"/>
    <col min="7438" max="7680" width="9.33203125" style="642"/>
    <col min="7681" max="7681" width="144.1640625" style="642" customWidth="1"/>
    <col min="7682" max="7682" width="45" style="642" customWidth="1"/>
    <col min="7683" max="7683" width="44.6640625" style="642" customWidth="1"/>
    <col min="7684" max="7684" width="44.83203125" style="642" customWidth="1"/>
    <col min="7685" max="7685" width="44.6640625" style="642" customWidth="1"/>
    <col min="7686" max="7686" width="44.83203125" style="642" customWidth="1"/>
    <col min="7687" max="7687" width="144.1640625" style="642" customWidth="1"/>
    <col min="7688" max="7688" width="44.6640625" style="642" customWidth="1"/>
    <col min="7689" max="7692" width="44.83203125" style="642" customWidth="1"/>
    <col min="7693" max="7693" width="44.6640625" style="642" customWidth="1"/>
    <col min="7694" max="7936" width="9.33203125" style="642"/>
    <col min="7937" max="7937" width="144.1640625" style="642" customWidth="1"/>
    <col min="7938" max="7938" width="45" style="642" customWidth="1"/>
    <col min="7939" max="7939" width="44.6640625" style="642" customWidth="1"/>
    <col min="7940" max="7940" width="44.83203125" style="642" customWidth="1"/>
    <col min="7941" max="7941" width="44.6640625" style="642" customWidth="1"/>
    <col min="7942" max="7942" width="44.83203125" style="642" customWidth="1"/>
    <col min="7943" max="7943" width="144.1640625" style="642" customWidth="1"/>
    <col min="7944" max="7944" width="44.6640625" style="642" customWidth="1"/>
    <col min="7945" max="7948" width="44.83203125" style="642" customWidth="1"/>
    <col min="7949" max="7949" width="44.6640625" style="642" customWidth="1"/>
    <col min="7950" max="8192" width="9.33203125" style="642"/>
    <col min="8193" max="8193" width="144.1640625" style="642" customWidth="1"/>
    <col min="8194" max="8194" width="45" style="642" customWidth="1"/>
    <col min="8195" max="8195" width="44.6640625" style="642" customWidth="1"/>
    <col min="8196" max="8196" width="44.83203125" style="642" customWidth="1"/>
    <col min="8197" max="8197" width="44.6640625" style="642" customWidth="1"/>
    <col min="8198" max="8198" width="44.83203125" style="642" customWidth="1"/>
    <col min="8199" max="8199" width="144.1640625" style="642" customWidth="1"/>
    <col min="8200" max="8200" width="44.6640625" style="642" customWidth="1"/>
    <col min="8201" max="8204" width="44.83203125" style="642" customWidth="1"/>
    <col min="8205" max="8205" width="44.6640625" style="642" customWidth="1"/>
    <col min="8206" max="8448" width="9.33203125" style="642"/>
    <col min="8449" max="8449" width="144.1640625" style="642" customWidth="1"/>
    <col min="8450" max="8450" width="45" style="642" customWidth="1"/>
    <col min="8451" max="8451" width="44.6640625" style="642" customWidth="1"/>
    <col min="8452" max="8452" width="44.83203125" style="642" customWidth="1"/>
    <col min="8453" max="8453" width="44.6640625" style="642" customWidth="1"/>
    <col min="8454" max="8454" width="44.83203125" style="642" customWidth="1"/>
    <col min="8455" max="8455" width="144.1640625" style="642" customWidth="1"/>
    <col min="8456" max="8456" width="44.6640625" style="642" customWidth="1"/>
    <col min="8457" max="8460" width="44.83203125" style="642" customWidth="1"/>
    <col min="8461" max="8461" width="44.6640625" style="642" customWidth="1"/>
    <col min="8462" max="8704" width="9.33203125" style="642"/>
    <col min="8705" max="8705" width="144.1640625" style="642" customWidth="1"/>
    <col min="8706" max="8706" width="45" style="642" customWidth="1"/>
    <col min="8707" max="8707" width="44.6640625" style="642" customWidth="1"/>
    <col min="8708" max="8708" width="44.83203125" style="642" customWidth="1"/>
    <col min="8709" max="8709" width="44.6640625" style="642" customWidth="1"/>
    <col min="8710" max="8710" width="44.83203125" style="642" customWidth="1"/>
    <col min="8711" max="8711" width="144.1640625" style="642" customWidth="1"/>
    <col min="8712" max="8712" width="44.6640625" style="642" customWidth="1"/>
    <col min="8713" max="8716" width="44.83203125" style="642" customWidth="1"/>
    <col min="8717" max="8717" width="44.6640625" style="642" customWidth="1"/>
    <col min="8718" max="8960" width="9.33203125" style="642"/>
    <col min="8961" max="8961" width="144.1640625" style="642" customWidth="1"/>
    <col min="8962" max="8962" width="45" style="642" customWidth="1"/>
    <col min="8963" max="8963" width="44.6640625" style="642" customWidth="1"/>
    <col min="8964" max="8964" width="44.83203125" style="642" customWidth="1"/>
    <col min="8965" max="8965" width="44.6640625" style="642" customWidth="1"/>
    <col min="8966" max="8966" width="44.83203125" style="642" customWidth="1"/>
    <col min="8967" max="8967" width="144.1640625" style="642" customWidth="1"/>
    <col min="8968" max="8968" width="44.6640625" style="642" customWidth="1"/>
    <col min="8969" max="8972" width="44.83203125" style="642" customWidth="1"/>
    <col min="8973" max="8973" width="44.6640625" style="642" customWidth="1"/>
    <col min="8974" max="9216" width="9.33203125" style="642"/>
    <col min="9217" max="9217" width="144.1640625" style="642" customWidth="1"/>
    <col min="9218" max="9218" width="45" style="642" customWidth="1"/>
    <col min="9219" max="9219" width="44.6640625" style="642" customWidth="1"/>
    <col min="9220" max="9220" width="44.83203125" style="642" customWidth="1"/>
    <col min="9221" max="9221" width="44.6640625" style="642" customWidth="1"/>
    <col min="9222" max="9222" width="44.83203125" style="642" customWidth="1"/>
    <col min="9223" max="9223" width="144.1640625" style="642" customWidth="1"/>
    <col min="9224" max="9224" width="44.6640625" style="642" customWidth="1"/>
    <col min="9225" max="9228" width="44.83203125" style="642" customWidth="1"/>
    <col min="9229" max="9229" width="44.6640625" style="642" customWidth="1"/>
    <col min="9230" max="9472" width="9.33203125" style="642"/>
    <col min="9473" max="9473" width="144.1640625" style="642" customWidth="1"/>
    <col min="9474" max="9474" width="45" style="642" customWidth="1"/>
    <col min="9475" max="9475" width="44.6640625" style="642" customWidth="1"/>
    <col min="9476" max="9476" width="44.83203125" style="642" customWidth="1"/>
    <col min="9477" max="9477" width="44.6640625" style="642" customWidth="1"/>
    <col min="9478" max="9478" width="44.83203125" style="642" customWidth="1"/>
    <col min="9479" max="9479" width="144.1640625" style="642" customWidth="1"/>
    <col min="9480" max="9480" width="44.6640625" style="642" customWidth="1"/>
    <col min="9481" max="9484" width="44.83203125" style="642" customWidth="1"/>
    <col min="9485" max="9485" width="44.6640625" style="642" customWidth="1"/>
    <col min="9486" max="9728" width="9.33203125" style="642"/>
    <col min="9729" max="9729" width="144.1640625" style="642" customWidth="1"/>
    <col min="9730" max="9730" width="45" style="642" customWidth="1"/>
    <col min="9731" max="9731" width="44.6640625" style="642" customWidth="1"/>
    <col min="9732" max="9732" width="44.83203125" style="642" customWidth="1"/>
    <col min="9733" max="9733" width="44.6640625" style="642" customWidth="1"/>
    <col min="9734" max="9734" width="44.83203125" style="642" customWidth="1"/>
    <col min="9735" max="9735" width="144.1640625" style="642" customWidth="1"/>
    <col min="9736" max="9736" width="44.6640625" style="642" customWidth="1"/>
    <col min="9737" max="9740" width="44.83203125" style="642" customWidth="1"/>
    <col min="9741" max="9741" width="44.6640625" style="642" customWidth="1"/>
    <col min="9742" max="9984" width="9.33203125" style="642"/>
    <col min="9985" max="9985" width="144.1640625" style="642" customWidth="1"/>
    <col min="9986" max="9986" width="45" style="642" customWidth="1"/>
    <col min="9987" max="9987" width="44.6640625" style="642" customWidth="1"/>
    <col min="9988" max="9988" width="44.83203125" style="642" customWidth="1"/>
    <col min="9989" max="9989" width="44.6640625" style="642" customWidth="1"/>
    <col min="9990" max="9990" width="44.83203125" style="642" customWidth="1"/>
    <col min="9991" max="9991" width="144.1640625" style="642" customWidth="1"/>
    <col min="9992" max="9992" width="44.6640625" style="642" customWidth="1"/>
    <col min="9993" max="9996" width="44.83203125" style="642" customWidth="1"/>
    <col min="9997" max="9997" width="44.6640625" style="642" customWidth="1"/>
    <col min="9998" max="10240" width="9.33203125" style="642"/>
    <col min="10241" max="10241" width="144.1640625" style="642" customWidth="1"/>
    <col min="10242" max="10242" width="45" style="642" customWidth="1"/>
    <col min="10243" max="10243" width="44.6640625" style="642" customWidth="1"/>
    <col min="10244" max="10244" width="44.83203125" style="642" customWidth="1"/>
    <col min="10245" max="10245" width="44.6640625" style="642" customWidth="1"/>
    <col min="10246" max="10246" width="44.83203125" style="642" customWidth="1"/>
    <col min="10247" max="10247" width="144.1640625" style="642" customWidth="1"/>
    <col min="10248" max="10248" width="44.6640625" style="642" customWidth="1"/>
    <col min="10249" max="10252" width="44.83203125" style="642" customWidth="1"/>
    <col min="10253" max="10253" width="44.6640625" style="642" customWidth="1"/>
    <col min="10254" max="10496" width="9.33203125" style="642"/>
    <col min="10497" max="10497" width="144.1640625" style="642" customWidth="1"/>
    <col min="10498" max="10498" width="45" style="642" customWidth="1"/>
    <col min="10499" max="10499" width="44.6640625" style="642" customWidth="1"/>
    <col min="10500" max="10500" width="44.83203125" style="642" customWidth="1"/>
    <col min="10501" max="10501" width="44.6640625" style="642" customWidth="1"/>
    <col min="10502" max="10502" width="44.83203125" style="642" customWidth="1"/>
    <col min="10503" max="10503" width="144.1640625" style="642" customWidth="1"/>
    <col min="10504" max="10504" width="44.6640625" style="642" customWidth="1"/>
    <col min="10505" max="10508" width="44.83203125" style="642" customWidth="1"/>
    <col min="10509" max="10509" width="44.6640625" style="642" customWidth="1"/>
    <col min="10510" max="10752" width="9.33203125" style="642"/>
    <col min="10753" max="10753" width="144.1640625" style="642" customWidth="1"/>
    <col min="10754" max="10754" width="45" style="642" customWidth="1"/>
    <col min="10755" max="10755" width="44.6640625" style="642" customWidth="1"/>
    <col min="10756" max="10756" width="44.83203125" style="642" customWidth="1"/>
    <col min="10757" max="10757" width="44.6640625" style="642" customWidth="1"/>
    <col min="10758" max="10758" width="44.83203125" style="642" customWidth="1"/>
    <col min="10759" max="10759" width="144.1640625" style="642" customWidth="1"/>
    <col min="10760" max="10760" width="44.6640625" style="642" customWidth="1"/>
    <col min="10761" max="10764" width="44.83203125" style="642" customWidth="1"/>
    <col min="10765" max="10765" width="44.6640625" style="642" customWidth="1"/>
    <col min="10766" max="11008" width="9.33203125" style="642"/>
    <col min="11009" max="11009" width="144.1640625" style="642" customWidth="1"/>
    <col min="11010" max="11010" width="45" style="642" customWidth="1"/>
    <col min="11011" max="11011" width="44.6640625" style="642" customWidth="1"/>
    <col min="11012" max="11012" width="44.83203125" style="642" customWidth="1"/>
    <col min="11013" max="11013" width="44.6640625" style="642" customWidth="1"/>
    <col min="11014" max="11014" width="44.83203125" style="642" customWidth="1"/>
    <col min="11015" max="11015" width="144.1640625" style="642" customWidth="1"/>
    <col min="11016" max="11016" width="44.6640625" style="642" customWidth="1"/>
    <col min="11017" max="11020" width="44.83203125" style="642" customWidth="1"/>
    <col min="11021" max="11021" width="44.6640625" style="642" customWidth="1"/>
    <col min="11022" max="11264" width="9.33203125" style="642"/>
    <col min="11265" max="11265" width="144.1640625" style="642" customWidth="1"/>
    <col min="11266" max="11266" width="45" style="642" customWidth="1"/>
    <col min="11267" max="11267" width="44.6640625" style="642" customWidth="1"/>
    <col min="11268" max="11268" width="44.83203125" style="642" customWidth="1"/>
    <col min="11269" max="11269" width="44.6640625" style="642" customWidth="1"/>
    <col min="11270" max="11270" width="44.83203125" style="642" customWidth="1"/>
    <col min="11271" max="11271" width="144.1640625" style="642" customWidth="1"/>
    <col min="11272" max="11272" width="44.6640625" style="642" customWidth="1"/>
    <col min="11273" max="11276" width="44.83203125" style="642" customWidth="1"/>
    <col min="11277" max="11277" width="44.6640625" style="642" customWidth="1"/>
    <col min="11278" max="11520" width="9.33203125" style="642"/>
    <col min="11521" max="11521" width="144.1640625" style="642" customWidth="1"/>
    <col min="11522" max="11522" width="45" style="642" customWidth="1"/>
    <col min="11523" max="11523" width="44.6640625" style="642" customWidth="1"/>
    <col min="11524" max="11524" width="44.83203125" style="642" customWidth="1"/>
    <col min="11525" max="11525" width="44.6640625" style="642" customWidth="1"/>
    <col min="11526" max="11526" width="44.83203125" style="642" customWidth="1"/>
    <col min="11527" max="11527" width="144.1640625" style="642" customWidth="1"/>
    <col min="11528" max="11528" width="44.6640625" style="642" customWidth="1"/>
    <col min="11529" max="11532" width="44.83203125" style="642" customWidth="1"/>
    <col min="11533" max="11533" width="44.6640625" style="642" customWidth="1"/>
    <col min="11534" max="11776" width="9.33203125" style="642"/>
    <col min="11777" max="11777" width="144.1640625" style="642" customWidth="1"/>
    <col min="11778" max="11778" width="45" style="642" customWidth="1"/>
    <col min="11779" max="11779" width="44.6640625" style="642" customWidth="1"/>
    <col min="11780" max="11780" width="44.83203125" style="642" customWidth="1"/>
    <col min="11781" max="11781" width="44.6640625" style="642" customWidth="1"/>
    <col min="11782" max="11782" width="44.83203125" style="642" customWidth="1"/>
    <col min="11783" max="11783" width="144.1640625" style="642" customWidth="1"/>
    <col min="11784" max="11784" width="44.6640625" style="642" customWidth="1"/>
    <col min="11785" max="11788" width="44.83203125" style="642" customWidth="1"/>
    <col min="11789" max="11789" width="44.6640625" style="642" customWidth="1"/>
    <col min="11790" max="12032" width="9.33203125" style="642"/>
    <col min="12033" max="12033" width="144.1640625" style="642" customWidth="1"/>
    <col min="12034" max="12034" width="45" style="642" customWidth="1"/>
    <col min="12035" max="12035" width="44.6640625" style="642" customWidth="1"/>
    <col min="12036" max="12036" width="44.83203125" style="642" customWidth="1"/>
    <col min="12037" max="12037" width="44.6640625" style="642" customWidth="1"/>
    <col min="12038" max="12038" width="44.83203125" style="642" customWidth="1"/>
    <col min="12039" max="12039" width="144.1640625" style="642" customWidth="1"/>
    <col min="12040" max="12040" width="44.6640625" style="642" customWidth="1"/>
    <col min="12041" max="12044" width="44.83203125" style="642" customWidth="1"/>
    <col min="12045" max="12045" width="44.6640625" style="642" customWidth="1"/>
    <col min="12046" max="12288" width="9.33203125" style="642"/>
    <col min="12289" max="12289" width="144.1640625" style="642" customWidth="1"/>
    <col min="12290" max="12290" width="45" style="642" customWidth="1"/>
    <col min="12291" max="12291" width="44.6640625" style="642" customWidth="1"/>
    <col min="12292" max="12292" width="44.83203125" style="642" customWidth="1"/>
    <col min="12293" max="12293" width="44.6640625" style="642" customWidth="1"/>
    <col min="12294" max="12294" width="44.83203125" style="642" customWidth="1"/>
    <col min="12295" max="12295" width="144.1640625" style="642" customWidth="1"/>
    <col min="12296" max="12296" width="44.6640625" style="642" customWidth="1"/>
    <col min="12297" max="12300" width="44.83203125" style="642" customWidth="1"/>
    <col min="12301" max="12301" width="44.6640625" style="642" customWidth="1"/>
    <col min="12302" max="12544" width="9.33203125" style="642"/>
    <col min="12545" max="12545" width="144.1640625" style="642" customWidth="1"/>
    <col min="12546" max="12546" width="45" style="642" customWidth="1"/>
    <col min="12547" max="12547" width="44.6640625" style="642" customWidth="1"/>
    <col min="12548" max="12548" width="44.83203125" style="642" customWidth="1"/>
    <col min="12549" max="12549" width="44.6640625" style="642" customWidth="1"/>
    <col min="12550" max="12550" width="44.83203125" style="642" customWidth="1"/>
    <col min="12551" max="12551" width="144.1640625" style="642" customWidth="1"/>
    <col min="12552" max="12552" width="44.6640625" style="642" customWidth="1"/>
    <col min="12553" max="12556" width="44.83203125" style="642" customWidth="1"/>
    <col min="12557" max="12557" width="44.6640625" style="642" customWidth="1"/>
    <col min="12558" max="12800" width="9.33203125" style="642"/>
    <col min="12801" max="12801" width="144.1640625" style="642" customWidth="1"/>
    <col min="12802" max="12802" width="45" style="642" customWidth="1"/>
    <col min="12803" max="12803" width="44.6640625" style="642" customWidth="1"/>
    <col min="12804" max="12804" width="44.83203125" style="642" customWidth="1"/>
    <col min="12805" max="12805" width="44.6640625" style="642" customWidth="1"/>
    <col min="12806" max="12806" width="44.83203125" style="642" customWidth="1"/>
    <col min="12807" max="12807" width="144.1640625" style="642" customWidth="1"/>
    <col min="12808" max="12808" width="44.6640625" style="642" customWidth="1"/>
    <col min="12809" max="12812" width="44.83203125" style="642" customWidth="1"/>
    <col min="12813" max="12813" width="44.6640625" style="642" customWidth="1"/>
    <col min="12814" max="13056" width="9.33203125" style="642"/>
    <col min="13057" max="13057" width="144.1640625" style="642" customWidth="1"/>
    <col min="13058" max="13058" width="45" style="642" customWidth="1"/>
    <col min="13059" max="13059" width="44.6640625" style="642" customWidth="1"/>
    <col min="13060" max="13060" width="44.83203125" style="642" customWidth="1"/>
    <col min="13061" max="13061" width="44.6640625" style="642" customWidth="1"/>
    <col min="13062" max="13062" width="44.83203125" style="642" customWidth="1"/>
    <col min="13063" max="13063" width="144.1640625" style="642" customWidth="1"/>
    <col min="13064" max="13064" width="44.6640625" style="642" customWidth="1"/>
    <col min="13065" max="13068" width="44.83203125" style="642" customWidth="1"/>
    <col min="13069" max="13069" width="44.6640625" style="642" customWidth="1"/>
    <col min="13070" max="13312" width="9.33203125" style="642"/>
    <col min="13313" max="13313" width="144.1640625" style="642" customWidth="1"/>
    <col min="13314" max="13314" width="45" style="642" customWidth="1"/>
    <col min="13315" max="13315" width="44.6640625" style="642" customWidth="1"/>
    <col min="13316" max="13316" width="44.83203125" style="642" customWidth="1"/>
    <col min="13317" max="13317" width="44.6640625" style="642" customWidth="1"/>
    <col min="13318" max="13318" width="44.83203125" style="642" customWidth="1"/>
    <col min="13319" max="13319" width="144.1640625" style="642" customWidth="1"/>
    <col min="13320" max="13320" width="44.6640625" style="642" customWidth="1"/>
    <col min="13321" max="13324" width="44.83203125" style="642" customWidth="1"/>
    <col min="13325" max="13325" width="44.6640625" style="642" customWidth="1"/>
    <col min="13326" max="13568" width="9.33203125" style="642"/>
    <col min="13569" max="13569" width="144.1640625" style="642" customWidth="1"/>
    <col min="13570" max="13570" width="45" style="642" customWidth="1"/>
    <col min="13571" max="13571" width="44.6640625" style="642" customWidth="1"/>
    <col min="13572" max="13572" width="44.83203125" style="642" customWidth="1"/>
    <col min="13573" max="13573" width="44.6640625" style="642" customWidth="1"/>
    <col min="13574" max="13574" width="44.83203125" style="642" customWidth="1"/>
    <col min="13575" max="13575" width="144.1640625" style="642" customWidth="1"/>
    <col min="13576" max="13576" width="44.6640625" style="642" customWidth="1"/>
    <col min="13577" max="13580" width="44.83203125" style="642" customWidth="1"/>
    <col min="13581" max="13581" width="44.6640625" style="642" customWidth="1"/>
    <col min="13582" max="13824" width="9.33203125" style="642"/>
    <col min="13825" max="13825" width="144.1640625" style="642" customWidth="1"/>
    <col min="13826" max="13826" width="45" style="642" customWidth="1"/>
    <col min="13827" max="13827" width="44.6640625" style="642" customWidth="1"/>
    <col min="13828" max="13828" width="44.83203125" style="642" customWidth="1"/>
    <col min="13829" max="13829" width="44.6640625" style="642" customWidth="1"/>
    <col min="13830" max="13830" width="44.83203125" style="642" customWidth="1"/>
    <col min="13831" max="13831" width="144.1640625" style="642" customWidth="1"/>
    <col min="13832" max="13832" width="44.6640625" style="642" customWidth="1"/>
    <col min="13833" max="13836" width="44.83203125" style="642" customWidth="1"/>
    <col min="13837" max="13837" width="44.6640625" style="642" customWidth="1"/>
    <col min="13838" max="14080" width="9.33203125" style="642"/>
    <col min="14081" max="14081" width="144.1640625" style="642" customWidth="1"/>
    <col min="14082" max="14082" width="45" style="642" customWidth="1"/>
    <col min="14083" max="14083" width="44.6640625" style="642" customWidth="1"/>
    <col min="14084" max="14084" width="44.83203125" style="642" customWidth="1"/>
    <col min="14085" max="14085" width="44.6640625" style="642" customWidth="1"/>
    <col min="14086" max="14086" width="44.83203125" style="642" customWidth="1"/>
    <col min="14087" max="14087" width="144.1640625" style="642" customWidth="1"/>
    <col min="14088" max="14088" width="44.6640625" style="642" customWidth="1"/>
    <col min="14089" max="14092" width="44.83203125" style="642" customWidth="1"/>
    <col min="14093" max="14093" width="44.6640625" style="642" customWidth="1"/>
    <col min="14094" max="14336" width="9.33203125" style="642"/>
    <col min="14337" max="14337" width="144.1640625" style="642" customWidth="1"/>
    <col min="14338" max="14338" width="45" style="642" customWidth="1"/>
    <col min="14339" max="14339" width="44.6640625" style="642" customWidth="1"/>
    <col min="14340" max="14340" width="44.83203125" style="642" customWidth="1"/>
    <col min="14341" max="14341" width="44.6640625" style="642" customWidth="1"/>
    <col min="14342" max="14342" width="44.83203125" style="642" customWidth="1"/>
    <col min="14343" max="14343" width="144.1640625" style="642" customWidth="1"/>
    <col min="14344" max="14344" width="44.6640625" style="642" customWidth="1"/>
    <col min="14345" max="14348" width="44.83203125" style="642" customWidth="1"/>
    <col min="14349" max="14349" width="44.6640625" style="642" customWidth="1"/>
    <col min="14350" max="14592" width="9.33203125" style="642"/>
    <col min="14593" max="14593" width="144.1640625" style="642" customWidth="1"/>
    <col min="14594" max="14594" width="45" style="642" customWidth="1"/>
    <col min="14595" max="14595" width="44.6640625" style="642" customWidth="1"/>
    <col min="14596" max="14596" width="44.83203125" style="642" customWidth="1"/>
    <col min="14597" max="14597" width="44.6640625" style="642" customWidth="1"/>
    <col min="14598" max="14598" width="44.83203125" style="642" customWidth="1"/>
    <col min="14599" max="14599" width="144.1640625" style="642" customWidth="1"/>
    <col min="14600" max="14600" width="44.6640625" style="642" customWidth="1"/>
    <col min="14601" max="14604" width="44.83203125" style="642" customWidth="1"/>
    <col min="14605" max="14605" width="44.6640625" style="642" customWidth="1"/>
    <col min="14606" max="14848" width="9.33203125" style="642"/>
    <col min="14849" max="14849" width="144.1640625" style="642" customWidth="1"/>
    <col min="14850" max="14850" width="45" style="642" customWidth="1"/>
    <col min="14851" max="14851" width="44.6640625" style="642" customWidth="1"/>
    <col min="14852" max="14852" width="44.83203125" style="642" customWidth="1"/>
    <col min="14853" max="14853" width="44.6640625" style="642" customWidth="1"/>
    <col min="14854" max="14854" width="44.83203125" style="642" customWidth="1"/>
    <col min="14855" max="14855" width="144.1640625" style="642" customWidth="1"/>
    <col min="14856" max="14856" width="44.6640625" style="642" customWidth="1"/>
    <col min="14857" max="14860" width="44.83203125" style="642" customWidth="1"/>
    <col min="14861" max="14861" width="44.6640625" style="642" customWidth="1"/>
    <col min="14862" max="15104" width="9.33203125" style="642"/>
    <col min="15105" max="15105" width="144.1640625" style="642" customWidth="1"/>
    <col min="15106" max="15106" width="45" style="642" customWidth="1"/>
    <col min="15107" max="15107" width="44.6640625" style="642" customWidth="1"/>
    <col min="15108" max="15108" width="44.83203125" style="642" customWidth="1"/>
    <col min="15109" max="15109" width="44.6640625" style="642" customWidth="1"/>
    <col min="15110" max="15110" width="44.83203125" style="642" customWidth="1"/>
    <col min="15111" max="15111" width="144.1640625" style="642" customWidth="1"/>
    <col min="15112" max="15112" width="44.6640625" style="642" customWidth="1"/>
    <col min="15113" max="15116" width="44.83203125" style="642" customWidth="1"/>
    <col min="15117" max="15117" width="44.6640625" style="642" customWidth="1"/>
    <col min="15118" max="15360" width="9.33203125" style="642"/>
    <col min="15361" max="15361" width="144.1640625" style="642" customWidth="1"/>
    <col min="15362" max="15362" width="45" style="642" customWidth="1"/>
    <col min="15363" max="15363" width="44.6640625" style="642" customWidth="1"/>
    <col min="15364" max="15364" width="44.83203125" style="642" customWidth="1"/>
    <col min="15365" max="15365" width="44.6640625" style="642" customWidth="1"/>
    <col min="15366" max="15366" width="44.83203125" style="642" customWidth="1"/>
    <col min="15367" max="15367" width="144.1640625" style="642" customWidth="1"/>
    <col min="15368" max="15368" width="44.6640625" style="642" customWidth="1"/>
    <col min="15369" max="15372" width="44.83203125" style="642" customWidth="1"/>
    <col min="15373" max="15373" width="44.6640625" style="642" customWidth="1"/>
    <col min="15374" max="15616" width="9.33203125" style="642"/>
    <col min="15617" max="15617" width="144.1640625" style="642" customWidth="1"/>
    <col min="15618" max="15618" width="45" style="642" customWidth="1"/>
    <col min="15619" max="15619" width="44.6640625" style="642" customWidth="1"/>
    <col min="15620" max="15620" width="44.83203125" style="642" customWidth="1"/>
    <col min="15621" max="15621" width="44.6640625" style="642" customWidth="1"/>
    <col min="15622" max="15622" width="44.83203125" style="642" customWidth="1"/>
    <col min="15623" max="15623" width="144.1640625" style="642" customWidth="1"/>
    <col min="15624" max="15624" width="44.6640625" style="642" customWidth="1"/>
    <col min="15625" max="15628" width="44.83203125" style="642" customWidth="1"/>
    <col min="15629" max="15629" width="44.6640625" style="642" customWidth="1"/>
    <col min="15630" max="15872" width="9.33203125" style="642"/>
    <col min="15873" max="15873" width="144.1640625" style="642" customWidth="1"/>
    <col min="15874" max="15874" width="45" style="642" customWidth="1"/>
    <col min="15875" max="15875" width="44.6640625" style="642" customWidth="1"/>
    <col min="15876" max="15876" width="44.83203125" style="642" customWidth="1"/>
    <col min="15877" max="15877" width="44.6640625" style="642" customWidth="1"/>
    <col min="15878" max="15878" width="44.83203125" style="642" customWidth="1"/>
    <col min="15879" max="15879" width="144.1640625" style="642" customWidth="1"/>
    <col min="15880" max="15880" width="44.6640625" style="642" customWidth="1"/>
    <col min="15881" max="15884" width="44.83203125" style="642" customWidth="1"/>
    <col min="15885" max="15885" width="44.6640625" style="642" customWidth="1"/>
    <col min="15886" max="16128" width="9.33203125" style="642"/>
    <col min="16129" max="16129" width="144.1640625" style="642" customWidth="1"/>
    <col min="16130" max="16130" width="45" style="642" customWidth="1"/>
    <col min="16131" max="16131" width="44.6640625" style="642" customWidth="1"/>
    <col min="16132" max="16132" width="44.83203125" style="642" customWidth="1"/>
    <col min="16133" max="16133" width="44.6640625" style="642" customWidth="1"/>
    <col min="16134" max="16134" width="44.83203125" style="642" customWidth="1"/>
    <col min="16135" max="16135" width="144.1640625" style="642" customWidth="1"/>
    <col min="16136" max="16136" width="44.6640625" style="642" customWidth="1"/>
    <col min="16137" max="16140" width="44.83203125" style="642" customWidth="1"/>
    <col min="16141" max="16141" width="44.6640625" style="642" customWidth="1"/>
    <col min="16142" max="16384" width="9.33203125" style="642"/>
  </cols>
  <sheetData>
    <row r="1" spans="1:13" ht="26.45" customHeight="1" x14ac:dyDescent="0.3">
      <c r="B1" s="641"/>
      <c r="C1" s="641"/>
      <c r="D1" s="641"/>
      <c r="E1" s="641"/>
      <c r="F1" s="641"/>
      <c r="H1" s="641"/>
      <c r="I1" s="641"/>
      <c r="J1" s="641"/>
      <c r="K1" s="641"/>
      <c r="L1" s="641"/>
      <c r="M1" s="641"/>
    </row>
    <row r="2" spans="1:13" ht="54" customHeight="1" x14ac:dyDescent="0.45">
      <c r="A2" s="929" t="s">
        <v>212</v>
      </c>
      <c r="B2" s="929"/>
      <c r="C2" s="929"/>
      <c r="D2" s="929"/>
      <c r="E2" s="929"/>
      <c r="F2" s="929"/>
      <c r="G2" s="929" t="s">
        <v>212</v>
      </c>
      <c r="H2" s="929"/>
      <c r="I2" s="929"/>
      <c r="J2" s="929"/>
      <c r="K2" s="929"/>
      <c r="L2" s="929"/>
      <c r="M2" s="929"/>
    </row>
    <row r="3" spans="1:13" ht="54" customHeight="1" x14ac:dyDescent="0.45">
      <c r="A3" s="929" t="s">
        <v>722</v>
      </c>
      <c r="B3" s="929"/>
      <c r="C3" s="929"/>
      <c r="D3" s="929"/>
      <c r="E3" s="929"/>
      <c r="F3" s="929"/>
      <c r="G3" s="929" t="s">
        <v>722</v>
      </c>
      <c r="H3" s="929"/>
      <c r="I3" s="929"/>
      <c r="J3" s="929"/>
      <c r="K3" s="929"/>
      <c r="L3" s="929"/>
      <c r="M3" s="929"/>
    </row>
    <row r="4" spans="1:13" ht="42.75" customHeight="1" thickBot="1" x14ac:dyDescent="0.45">
      <c r="A4" s="643"/>
      <c r="B4" s="644"/>
      <c r="C4" s="644"/>
      <c r="D4" s="644"/>
      <c r="E4" s="644"/>
      <c r="F4" s="907" t="s">
        <v>204</v>
      </c>
      <c r="G4" s="643"/>
      <c r="H4" s="644"/>
      <c r="I4" s="644"/>
      <c r="J4" s="644"/>
      <c r="K4" s="644"/>
      <c r="L4" s="644"/>
      <c r="M4" s="907" t="s">
        <v>204</v>
      </c>
    </row>
    <row r="5" spans="1:13" s="648" customFormat="1" ht="41.25" customHeight="1" x14ac:dyDescent="0.35">
      <c r="A5" s="645"/>
      <c r="B5" s="646"/>
      <c r="C5" s="647"/>
      <c r="D5" s="647"/>
      <c r="E5" s="647"/>
      <c r="F5" s="646"/>
      <c r="G5" s="645"/>
      <c r="H5" s="647"/>
      <c r="I5" s="647"/>
      <c r="J5" s="647"/>
      <c r="K5" s="647"/>
      <c r="L5" s="647"/>
      <c r="M5" s="646"/>
    </row>
    <row r="6" spans="1:13" s="652" customFormat="1" ht="143.25" customHeight="1" x14ac:dyDescent="0.4">
      <c r="A6" s="649" t="s">
        <v>723</v>
      </c>
      <c r="B6" s="650" t="s">
        <v>50</v>
      </c>
      <c r="C6" s="650" t="s">
        <v>245</v>
      </c>
      <c r="D6" s="650" t="s">
        <v>107</v>
      </c>
      <c r="E6" s="650" t="s">
        <v>182</v>
      </c>
      <c r="F6" s="650" t="s">
        <v>222</v>
      </c>
      <c r="G6" s="649" t="s">
        <v>723</v>
      </c>
      <c r="H6" s="651" t="s">
        <v>66</v>
      </c>
      <c r="I6" s="650" t="s">
        <v>67</v>
      </c>
      <c r="J6" s="650" t="s">
        <v>251</v>
      </c>
      <c r="K6" s="650" t="s">
        <v>223</v>
      </c>
      <c r="L6" s="650" t="s">
        <v>724</v>
      </c>
      <c r="M6" s="651" t="s">
        <v>224</v>
      </c>
    </row>
    <row r="7" spans="1:13" s="648" customFormat="1" ht="51.75" customHeight="1" thickBot="1" x14ac:dyDescent="0.4">
      <c r="A7" s="653" t="s">
        <v>725</v>
      </c>
      <c r="B7" s="654"/>
      <c r="C7" s="654"/>
      <c r="D7" s="654"/>
      <c r="E7" s="654"/>
      <c r="F7" s="654"/>
      <c r="G7" s="653" t="s">
        <v>725</v>
      </c>
      <c r="H7" s="654"/>
      <c r="I7" s="654"/>
      <c r="J7" s="654"/>
      <c r="K7" s="654"/>
      <c r="L7" s="654"/>
      <c r="M7" s="654"/>
    </row>
    <row r="8" spans="1:13" ht="26.45" customHeight="1" x14ac:dyDescent="0.35">
      <c r="A8" s="655" t="s">
        <v>726</v>
      </c>
      <c r="B8" s="656"/>
      <c r="C8" s="656"/>
      <c r="D8" s="656"/>
      <c r="E8" s="656"/>
      <c r="F8" s="656"/>
      <c r="G8" s="655" t="s">
        <v>726</v>
      </c>
      <c r="H8" s="656"/>
      <c r="I8" s="656"/>
      <c r="J8" s="656"/>
      <c r="K8" s="656"/>
      <c r="L8" s="656"/>
      <c r="M8" s="656"/>
    </row>
    <row r="9" spans="1:13" ht="26.45" customHeight="1" x14ac:dyDescent="0.4">
      <c r="A9" s="657" t="s">
        <v>727</v>
      </c>
      <c r="B9" s="658">
        <v>2568</v>
      </c>
      <c r="C9" s="658"/>
      <c r="D9" s="658"/>
      <c r="E9" s="658"/>
      <c r="F9" s="659">
        <f t="shared" ref="F9:F26" si="0">SUM(B9:E9)</f>
        <v>2568</v>
      </c>
      <c r="G9" s="657" t="s">
        <v>727</v>
      </c>
      <c r="H9" s="658"/>
      <c r="I9" s="658"/>
      <c r="J9" s="658"/>
      <c r="K9" s="659">
        <f t="shared" ref="K9:K26" si="1">SUM(H9:J9)</f>
        <v>0</v>
      </c>
      <c r="L9" s="659">
        <v>306829</v>
      </c>
      <c r="M9" s="659">
        <f t="shared" ref="M9:M26" si="2">F9+K9+L9</f>
        <v>309397</v>
      </c>
    </row>
    <row r="10" spans="1:13" ht="26.45" customHeight="1" x14ac:dyDescent="0.4">
      <c r="A10" s="660" t="s">
        <v>728</v>
      </c>
      <c r="B10" s="661">
        <v>1000</v>
      </c>
      <c r="C10" s="661"/>
      <c r="D10" s="661"/>
      <c r="E10" s="661"/>
      <c r="F10" s="659">
        <f t="shared" si="0"/>
        <v>1000</v>
      </c>
      <c r="G10" s="660" t="s">
        <v>728</v>
      </c>
      <c r="H10" s="661"/>
      <c r="I10" s="661"/>
      <c r="J10" s="661"/>
      <c r="K10" s="659">
        <f t="shared" si="1"/>
        <v>0</v>
      </c>
      <c r="L10" s="659">
        <v>210791</v>
      </c>
      <c r="M10" s="659">
        <f t="shared" si="2"/>
        <v>211791</v>
      </c>
    </row>
    <row r="11" spans="1:13" ht="26.45" customHeight="1" x14ac:dyDescent="0.4">
      <c r="A11" s="660" t="s">
        <v>729</v>
      </c>
      <c r="B11" s="661">
        <v>960</v>
      </c>
      <c r="C11" s="661"/>
      <c r="D11" s="661"/>
      <c r="E11" s="661"/>
      <c r="F11" s="659">
        <f t="shared" si="0"/>
        <v>960</v>
      </c>
      <c r="G11" s="660" t="s">
        <v>729</v>
      </c>
      <c r="H11" s="661"/>
      <c r="I11" s="661"/>
      <c r="J11" s="661"/>
      <c r="K11" s="659">
        <f t="shared" si="1"/>
        <v>0</v>
      </c>
      <c r="L11" s="659">
        <v>216073</v>
      </c>
      <c r="M11" s="659">
        <f t="shared" si="2"/>
        <v>217033</v>
      </c>
    </row>
    <row r="12" spans="1:13" ht="26.45" customHeight="1" x14ac:dyDescent="0.4">
      <c r="A12" s="660" t="s">
        <v>730</v>
      </c>
      <c r="B12" s="661">
        <v>1256</v>
      </c>
      <c r="C12" s="661"/>
      <c r="D12" s="661"/>
      <c r="E12" s="661"/>
      <c r="F12" s="659">
        <f t="shared" si="0"/>
        <v>1256</v>
      </c>
      <c r="G12" s="660" t="s">
        <v>730</v>
      </c>
      <c r="H12" s="661"/>
      <c r="I12" s="661"/>
      <c r="J12" s="661"/>
      <c r="K12" s="659">
        <f t="shared" si="1"/>
        <v>0</v>
      </c>
      <c r="L12" s="659">
        <v>260628</v>
      </c>
      <c r="M12" s="659">
        <f t="shared" si="2"/>
        <v>261884</v>
      </c>
    </row>
    <row r="13" spans="1:13" ht="26.45" customHeight="1" x14ac:dyDescent="0.4">
      <c r="A13" s="660" t="s">
        <v>731</v>
      </c>
      <c r="B13" s="661">
        <v>1328</v>
      </c>
      <c r="C13" s="661"/>
      <c r="D13" s="661"/>
      <c r="E13" s="661"/>
      <c r="F13" s="659">
        <f t="shared" si="0"/>
        <v>1328</v>
      </c>
      <c r="G13" s="660" t="s">
        <v>731</v>
      </c>
      <c r="H13" s="661"/>
      <c r="I13" s="661"/>
      <c r="J13" s="661"/>
      <c r="K13" s="659">
        <f t="shared" si="1"/>
        <v>0</v>
      </c>
      <c r="L13" s="659">
        <v>255416</v>
      </c>
      <c r="M13" s="659">
        <f t="shared" si="2"/>
        <v>256744</v>
      </c>
    </row>
    <row r="14" spans="1:13" ht="26.45" customHeight="1" x14ac:dyDescent="0.4">
      <c r="A14" s="660" t="s">
        <v>732</v>
      </c>
      <c r="B14" s="661">
        <v>1600</v>
      </c>
      <c r="C14" s="661"/>
      <c r="D14" s="661"/>
      <c r="E14" s="661"/>
      <c r="F14" s="659">
        <f t="shared" si="0"/>
        <v>1600</v>
      </c>
      <c r="G14" s="660" t="s">
        <v>732</v>
      </c>
      <c r="H14" s="661"/>
      <c r="I14" s="661"/>
      <c r="J14" s="661"/>
      <c r="K14" s="659">
        <f t="shared" si="1"/>
        <v>0</v>
      </c>
      <c r="L14" s="659">
        <v>238167</v>
      </c>
      <c r="M14" s="659">
        <f t="shared" si="2"/>
        <v>239767</v>
      </c>
    </row>
    <row r="15" spans="1:13" ht="26.45" customHeight="1" x14ac:dyDescent="0.4">
      <c r="A15" s="660" t="s">
        <v>733</v>
      </c>
      <c r="B15" s="661">
        <v>1400</v>
      </c>
      <c r="C15" s="661"/>
      <c r="D15" s="661"/>
      <c r="E15" s="661"/>
      <c r="F15" s="659">
        <f t="shared" si="0"/>
        <v>1400</v>
      </c>
      <c r="G15" s="660" t="s">
        <v>733</v>
      </c>
      <c r="H15" s="661"/>
      <c r="I15" s="661"/>
      <c r="J15" s="661"/>
      <c r="K15" s="659">
        <f t="shared" si="1"/>
        <v>0</v>
      </c>
      <c r="L15" s="659">
        <v>171210</v>
      </c>
      <c r="M15" s="659">
        <f t="shared" si="2"/>
        <v>172610</v>
      </c>
    </row>
    <row r="16" spans="1:13" ht="26.45" customHeight="1" x14ac:dyDescent="0.4">
      <c r="A16" s="660" t="s">
        <v>734</v>
      </c>
      <c r="B16" s="661">
        <v>1568</v>
      </c>
      <c r="C16" s="661"/>
      <c r="D16" s="661"/>
      <c r="E16" s="661"/>
      <c r="F16" s="659">
        <f t="shared" si="0"/>
        <v>1568</v>
      </c>
      <c r="G16" s="660" t="s">
        <v>734</v>
      </c>
      <c r="H16" s="661"/>
      <c r="I16" s="661"/>
      <c r="J16" s="661"/>
      <c r="K16" s="659">
        <f t="shared" si="1"/>
        <v>0</v>
      </c>
      <c r="L16" s="659">
        <v>184002</v>
      </c>
      <c r="M16" s="659">
        <f t="shared" si="2"/>
        <v>185570</v>
      </c>
    </row>
    <row r="17" spans="1:13" ht="26.45" customHeight="1" x14ac:dyDescent="0.4">
      <c r="A17" s="660" t="s">
        <v>735</v>
      </c>
      <c r="B17" s="661">
        <v>880</v>
      </c>
      <c r="C17" s="661"/>
      <c r="D17" s="661"/>
      <c r="E17" s="661"/>
      <c r="F17" s="659">
        <f t="shared" si="0"/>
        <v>880</v>
      </c>
      <c r="G17" s="660" t="s">
        <v>735</v>
      </c>
      <c r="H17" s="661"/>
      <c r="I17" s="661"/>
      <c r="J17" s="661"/>
      <c r="K17" s="659">
        <f t="shared" si="1"/>
        <v>0</v>
      </c>
      <c r="L17" s="659">
        <v>257950</v>
      </c>
      <c r="M17" s="659">
        <f t="shared" si="2"/>
        <v>258830</v>
      </c>
    </row>
    <row r="18" spans="1:13" ht="26.45" customHeight="1" x14ac:dyDescent="0.4">
      <c r="A18" s="660" t="s">
        <v>736</v>
      </c>
      <c r="B18" s="661">
        <v>3384</v>
      </c>
      <c r="C18" s="661"/>
      <c r="D18" s="661"/>
      <c r="E18" s="661"/>
      <c r="F18" s="659">
        <f t="shared" si="0"/>
        <v>3384</v>
      </c>
      <c r="G18" s="660" t="s">
        <v>736</v>
      </c>
      <c r="H18" s="661"/>
      <c r="I18" s="661"/>
      <c r="J18" s="661"/>
      <c r="K18" s="659">
        <f t="shared" si="1"/>
        <v>0</v>
      </c>
      <c r="L18" s="659">
        <v>302427</v>
      </c>
      <c r="M18" s="659">
        <f t="shared" si="2"/>
        <v>305811</v>
      </c>
    </row>
    <row r="19" spans="1:13" ht="27" customHeight="1" x14ac:dyDescent="0.4">
      <c r="A19" s="660" t="s">
        <v>737</v>
      </c>
      <c r="B19" s="661">
        <v>0</v>
      </c>
      <c r="C19" s="661"/>
      <c r="D19" s="661"/>
      <c r="E19" s="661"/>
      <c r="F19" s="659">
        <f t="shared" si="0"/>
        <v>0</v>
      </c>
      <c r="G19" s="660" t="s">
        <v>737</v>
      </c>
      <c r="H19" s="661"/>
      <c r="I19" s="661"/>
      <c r="J19" s="661"/>
      <c r="K19" s="659">
        <f t="shared" si="1"/>
        <v>0</v>
      </c>
      <c r="L19" s="659">
        <v>138671</v>
      </c>
      <c r="M19" s="659">
        <f t="shared" si="2"/>
        <v>138671</v>
      </c>
    </row>
    <row r="20" spans="1:13" ht="25.5" customHeight="1" x14ac:dyDescent="0.4">
      <c r="A20" s="660" t="s">
        <v>738</v>
      </c>
      <c r="B20" s="661">
        <v>1160</v>
      </c>
      <c r="C20" s="661"/>
      <c r="D20" s="661"/>
      <c r="E20" s="661"/>
      <c r="F20" s="659">
        <f t="shared" si="0"/>
        <v>1160</v>
      </c>
      <c r="G20" s="660" t="s">
        <v>738</v>
      </c>
      <c r="H20" s="661"/>
      <c r="I20" s="661"/>
      <c r="J20" s="661"/>
      <c r="K20" s="659">
        <f t="shared" si="1"/>
        <v>0</v>
      </c>
      <c r="L20" s="659">
        <v>139749</v>
      </c>
      <c r="M20" s="659">
        <f t="shared" si="2"/>
        <v>140909</v>
      </c>
    </row>
    <row r="21" spans="1:13" ht="26.45" customHeight="1" x14ac:dyDescent="0.4">
      <c r="A21" s="660" t="s">
        <v>739</v>
      </c>
      <c r="B21" s="661">
        <v>2552</v>
      </c>
      <c r="C21" s="661"/>
      <c r="D21" s="661"/>
      <c r="E21" s="661"/>
      <c r="F21" s="659">
        <f t="shared" si="0"/>
        <v>2552</v>
      </c>
      <c r="G21" s="660" t="s">
        <v>739</v>
      </c>
      <c r="H21" s="661"/>
      <c r="I21" s="661"/>
      <c r="J21" s="661"/>
      <c r="K21" s="659">
        <f t="shared" si="1"/>
        <v>0</v>
      </c>
      <c r="L21" s="659">
        <v>171255</v>
      </c>
      <c r="M21" s="659">
        <f t="shared" si="2"/>
        <v>173807</v>
      </c>
    </row>
    <row r="22" spans="1:13" ht="26.45" customHeight="1" x14ac:dyDescent="0.4">
      <c r="A22" s="660" t="s">
        <v>740</v>
      </c>
      <c r="B22" s="661">
        <v>280</v>
      </c>
      <c r="C22" s="661"/>
      <c r="D22" s="661"/>
      <c r="E22" s="661"/>
      <c r="F22" s="659">
        <f t="shared" si="0"/>
        <v>280</v>
      </c>
      <c r="G22" s="660" t="s">
        <v>740</v>
      </c>
      <c r="H22" s="661"/>
      <c r="I22" s="661"/>
      <c r="J22" s="661"/>
      <c r="K22" s="659">
        <f t="shared" si="1"/>
        <v>0</v>
      </c>
      <c r="L22" s="659">
        <v>205296</v>
      </c>
      <c r="M22" s="659">
        <f t="shared" si="2"/>
        <v>205576</v>
      </c>
    </row>
    <row r="23" spans="1:13" ht="26.45" customHeight="1" x14ac:dyDescent="0.4">
      <c r="A23" s="660" t="s">
        <v>741</v>
      </c>
      <c r="B23" s="661">
        <v>1640</v>
      </c>
      <c r="C23" s="661"/>
      <c r="D23" s="661"/>
      <c r="E23" s="661"/>
      <c r="F23" s="659">
        <f t="shared" si="0"/>
        <v>1640</v>
      </c>
      <c r="G23" s="660" t="s">
        <v>741</v>
      </c>
      <c r="H23" s="661"/>
      <c r="I23" s="661"/>
      <c r="J23" s="661"/>
      <c r="K23" s="659">
        <f t="shared" si="1"/>
        <v>0</v>
      </c>
      <c r="L23" s="659">
        <v>289324</v>
      </c>
      <c r="M23" s="659">
        <f t="shared" si="2"/>
        <v>290964</v>
      </c>
    </row>
    <row r="24" spans="1:13" ht="26.45" customHeight="1" x14ac:dyDescent="0.4">
      <c r="A24" s="660" t="s">
        <v>742</v>
      </c>
      <c r="B24" s="661">
        <v>320</v>
      </c>
      <c r="C24" s="661"/>
      <c r="D24" s="661"/>
      <c r="E24" s="661"/>
      <c r="F24" s="659">
        <f t="shared" si="0"/>
        <v>320</v>
      </c>
      <c r="G24" s="660" t="s">
        <v>742</v>
      </c>
      <c r="H24" s="661"/>
      <c r="I24" s="661"/>
      <c r="J24" s="661"/>
      <c r="K24" s="659">
        <f t="shared" si="1"/>
        <v>0</v>
      </c>
      <c r="L24" s="659">
        <v>207353</v>
      </c>
      <c r="M24" s="659">
        <f t="shared" si="2"/>
        <v>207673</v>
      </c>
    </row>
    <row r="25" spans="1:13" ht="26.45" customHeight="1" x14ac:dyDescent="0.4">
      <c r="A25" s="657" t="s">
        <v>743</v>
      </c>
      <c r="B25" s="658">
        <v>1104</v>
      </c>
      <c r="C25" s="658"/>
      <c r="D25" s="658"/>
      <c r="E25" s="658"/>
      <c r="F25" s="659">
        <f t="shared" si="0"/>
        <v>1104</v>
      </c>
      <c r="G25" s="657" t="s">
        <v>743</v>
      </c>
      <c r="H25" s="658"/>
      <c r="I25" s="658"/>
      <c r="J25" s="658"/>
      <c r="K25" s="659">
        <f t="shared" si="1"/>
        <v>0</v>
      </c>
      <c r="L25" s="659">
        <v>170456</v>
      </c>
      <c r="M25" s="659">
        <f t="shared" si="2"/>
        <v>171560</v>
      </c>
    </row>
    <row r="26" spans="1:13" ht="26.45" customHeight="1" thickBot="1" x14ac:dyDescent="0.45">
      <c r="A26" s="662" t="s">
        <v>744</v>
      </c>
      <c r="B26" s="663">
        <v>1600</v>
      </c>
      <c r="C26" s="663"/>
      <c r="D26" s="663"/>
      <c r="E26" s="663"/>
      <c r="F26" s="659">
        <f t="shared" si="0"/>
        <v>1600</v>
      </c>
      <c r="G26" s="662" t="s">
        <v>744</v>
      </c>
      <c r="H26" s="663"/>
      <c r="I26" s="663"/>
      <c r="J26" s="663"/>
      <c r="K26" s="659">
        <f t="shared" si="1"/>
        <v>0</v>
      </c>
      <c r="L26" s="659">
        <v>115314</v>
      </c>
      <c r="M26" s="659">
        <f t="shared" si="2"/>
        <v>116914</v>
      </c>
    </row>
    <row r="27" spans="1:13" s="666" customFormat="1" ht="26.45" customHeight="1" thickBot="1" x14ac:dyDescent="0.45">
      <c r="A27" s="664" t="s">
        <v>745</v>
      </c>
      <c r="B27" s="665">
        <f>SUM(B9:B26)</f>
        <v>24600</v>
      </c>
      <c r="C27" s="665">
        <f>SUM(C9:C26)</f>
        <v>0</v>
      </c>
      <c r="D27" s="665">
        <f>SUM(D9:D26)</f>
        <v>0</v>
      </c>
      <c r="E27" s="665">
        <f>SUM(E9:E26)</f>
        <v>0</v>
      </c>
      <c r="F27" s="665">
        <f>SUM(F9:F26)</f>
        <v>24600</v>
      </c>
      <c r="G27" s="664" t="s">
        <v>745</v>
      </c>
      <c r="H27" s="665">
        <f t="shared" ref="H27:M27" si="3">SUM(H9:H26)</f>
        <v>0</v>
      </c>
      <c r="I27" s="665">
        <f t="shared" si="3"/>
        <v>0</v>
      </c>
      <c r="J27" s="665">
        <f t="shared" si="3"/>
        <v>0</v>
      </c>
      <c r="K27" s="665">
        <f t="shared" si="3"/>
        <v>0</v>
      </c>
      <c r="L27" s="665">
        <f t="shared" si="3"/>
        <v>3840911</v>
      </c>
      <c r="M27" s="665">
        <f t="shared" si="3"/>
        <v>3865511</v>
      </c>
    </row>
    <row r="28" spans="1:13" ht="26.45" customHeight="1" thickBot="1" x14ac:dyDescent="0.45">
      <c r="A28" s="667" t="s">
        <v>746</v>
      </c>
      <c r="B28" s="668">
        <v>694181</v>
      </c>
      <c r="C28" s="668"/>
      <c r="D28" s="668"/>
      <c r="E28" s="668"/>
      <c r="F28" s="665">
        <f>SUM(B28:E28)</f>
        <v>694181</v>
      </c>
      <c r="G28" s="667" t="s">
        <v>746</v>
      </c>
      <c r="H28" s="668"/>
      <c r="I28" s="668"/>
      <c r="J28" s="668"/>
      <c r="K28" s="665">
        <f>SUM(H28:J28)</f>
        <v>0</v>
      </c>
      <c r="L28" s="665">
        <v>2003033</v>
      </c>
      <c r="M28" s="665">
        <f>F28+K28+L28</f>
        <v>2697214</v>
      </c>
    </row>
    <row r="29" spans="1:13" s="671" customFormat="1" ht="26.45" customHeight="1" thickBot="1" x14ac:dyDescent="0.45">
      <c r="A29" s="669" t="s">
        <v>747</v>
      </c>
      <c r="B29" s="670">
        <f>SUM(B27:B28)</f>
        <v>718781</v>
      </c>
      <c r="C29" s="670">
        <f>SUM(C27:C28)</f>
        <v>0</v>
      </c>
      <c r="D29" s="670">
        <f>SUM(D27:D28)</f>
        <v>0</v>
      </c>
      <c r="E29" s="670">
        <f>SUM(E27:E28)</f>
        <v>0</v>
      </c>
      <c r="F29" s="670">
        <f>SUM(F27:F28)</f>
        <v>718781</v>
      </c>
      <c r="G29" s="669" t="s">
        <v>747</v>
      </c>
      <c r="H29" s="670">
        <f t="shared" ref="H29:M29" si="4">SUM(H27:H28)</f>
        <v>0</v>
      </c>
      <c r="I29" s="670">
        <f t="shared" si="4"/>
        <v>0</v>
      </c>
      <c r="J29" s="670">
        <f t="shared" si="4"/>
        <v>0</v>
      </c>
      <c r="K29" s="670">
        <f t="shared" si="4"/>
        <v>0</v>
      </c>
      <c r="L29" s="670">
        <f t="shared" si="4"/>
        <v>5843944</v>
      </c>
      <c r="M29" s="670">
        <f t="shared" si="4"/>
        <v>6562725</v>
      </c>
    </row>
    <row r="30" spans="1:13" ht="26.45" customHeight="1" x14ac:dyDescent="0.4">
      <c r="A30" s="655" t="s">
        <v>748</v>
      </c>
      <c r="B30" s="672"/>
      <c r="C30" s="672"/>
      <c r="D30" s="672"/>
      <c r="E30" s="672"/>
      <c r="F30" s="672"/>
      <c r="G30" s="655" t="s">
        <v>748</v>
      </c>
      <c r="H30" s="672"/>
      <c r="I30" s="672"/>
      <c r="J30" s="672"/>
      <c r="K30" s="672"/>
      <c r="L30" s="672"/>
      <c r="M30" s="672"/>
    </row>
    <row r="31" spans="1:13" ht="26.45" customHeight="1" x14ac:dyDescent="0.4">
      <c r="A31" s="655" t="s">
        <v>749</v>
      </c>
      <c r="B31" s="672"/>
      <c r="C31" s="672"/>
      <c r="D31" s="672"/>
      <c r="E31" s="672"/>
      <c r="F31" s="672"/>
      <c r="G31" s="655" t="s">
        <v>749</v>
      </c>
      <c r="H31" s="672"/>
      <c r="I31" s="672"/>
      <c r="J31" s="672"/>
      <c r="K31" s="672"/>
      <c r="L31" s="672"/>
      <c r="M31" s="672"/>
    </row>
    <row r="32" spans="1:13" ht="26.45" customHeight="1" x14ac:dyDescent="0.4">
      <c r="A32" s="673" t="s">
        <v>97</v>
      </c>
      <c r="B32" s="663">
        <v>38471</v>
      </c>
      <c r="C32" s="663"/>
      <c r="D32" s="663"/>
      <c r="E32" s="663"/>
      <c r="F32" s="659">
        <f>SUM(B32:E32)</f>
        <v>38471</v>
      </c>
      <c r="G32" s="673" t="s">
        <v>97</v>
      </c>
      <c r="H32" s="658"/>
      <c r="I32" s="658"/>
      <c r="J32" s="658"/>
      <c r="K32" s="659">
        <f>SUM(H32:J32)</f>
        <v>0</v>
      </c>
      <c r="L32" s="659">
        <v>204103</v>
      </c>
      <c r="M32" s="659">
        <f>F32+K32+L32</f>
        <v>242574</v>
      </c>
    </row>
    <row r="33" spans="1:13" ht="26.45" customHeight="1" x14ac:dyDescent="0.4">
      <c r="A33" s="660" t="s">
        <v>750</v>
      </c>
      <c r="B33" s="661">
        <v>133344</v>
      </c>
      <c r="C33" s="661"/>
      <c r="D33" s="661"/>
      <c r="E33" s="661"/>
      <c r="F33" s="659">
        <f>SUM(B33:E33)</f>
        <v>133344</v>
      </c>
      <c r="G33" s="660" t="s">
        <v>750</v>
      </c>
      <c r="H33" s="661"/>
      <c r="I33" s="661"/>
      <c r="J33" s="661"/>
      <c r="K33" s="659">
        <f>SUM(H33:J33)</f>
        <v>0</v>
      </c>
      <c r="L33" s="659">
        <v>623956</v>
      </c>
      <c r="M33" s="659">
        <f>F33+K33+L33</f>
        <v>757300</v>
      </c>
    </row>
    <row r="34" spans="1:13" ht="26.45" customHeight="1" x14ac:dyDescent="0.4">
      <c r="A34" s="660" t="s">
        <v>751</v>
      </c>
      <c r="B34" s="661">
        <v>34400</v>
      </c>
      <c r="C34" s="661"/>
      <c r="D34" s="661"/>
      <c r="E34" s="661"/>
      <c r="F34" s="659">
        <f>SUM(B34:E34)</f>
        <v>34400</v>
      </c>
      <c r="G34" s="660" t="s">
        <v>751</v>
      </c>
      <c r="H34" s="661"/>
      <c r="I34" s="661"/>
      <c r="J34" s="661"/>
      <c r="K34" s="659">
        <f>SUM(H34:J34)</f>
        <v>0</v>
      </c>
      <c r="L34" s="659">
        <v>384957</v>
      </c>
      <c r="M34" s="659">
        <f>F34+K34+L34</f>
        <v>419357</v>
      </c>
    </row>
    <row r="35" spans="1:13" ht="26.45" customHeight="1" thickBot="1" x14ac:dyDescent="0.45">
      <c r="A35" s="674" t="s">
        <v>483</v>
      </c>
      <c r="B35" s="675">
        <v>154078</v>
      </c>
      <c r="C35" s="675"/>
      <c r="D35" s="675"/>
      <c r="E35" s="675"/>
      <c r="F35" s="676">
        <f>SUM(B35:E35)</f>
        <v>154078</v>
      </c>
      <c r="G35" s="674" t="s">
        <v>483</v>
      </c>
      <c r="H35" s="675"/>
      <c r="I35" s="675"/>
      <c r="J35" s="675"/>
      <c r="K35" s="676">
        <f>SUM(H35:J35)</f>
        <v>0</v>
      </c>
      <c r="L35" s="676">
        <v>785529</v>
      </c>
      <c r="M35" s="676">
        <f>F35+K35+L35</f>
        <v>939607</v>
      </c>
    </row>
    <row r="36" spans="1:13" ht="26.45" customHeight="1" thickBot="1" x14ac:dyDescent="0.45">
      <c r="A36" s="669" t="s">
        <v>752</v>
      </c>
      <c r="B36" s="670">
        <f>SUM(B32:B35)</f>
        <v>360293</v>
      </c>
      <c r="C36" s="670">
        <f>SUM(C32:C35)</f>
        <v>0</v>
      </c>
      <c r="D36" s="670">
        <f>SUM(D32:D35)</f>
        <v>0</v>
      </c>
      <c r="E36" s="670">
        <f>SUM(E32:E35)</f>
        <v>0</v>
      </c>
      <c r="F36" s="670">
        <f>SUM(F32:F35)</f>
        <v>360293</v>
      </c>
      <c r="G36" s="669" t="s">
        <v>752</v>
      </c>
      <c r="H36" s="670">
        <f t="shared" ref="H36:M36" si="5">SUM(H32:H35)</f>
        <v>0</v>
      </c>
      <c r="I36" s="670">
        <f t="shared" si="5"/>
        <v>0</v>
      </c>
      <c r="J36" s="670">
        <f t="shared" si="5"/>
        <v>0</v>
      </c>
      <c r="K36" s="670">
        <f t="shared" si="5"/>
        <v>0</v>
      </c>
      <c r="L36" s="670">
        <f t="shared" si="5"/>
        <v>1998545</v>
      </c>
      <c r="M36" s="670">
        <f t="shared" si="5"/>
        <v>2358838</v>
      </c>
    </row>
    <row r="37" spans="1:13" ht="26.45" customHeight="1" x14ac:dyDescent="0.4">
      <c r="A37" s="646" t="s">
        <v>753</v>
      </c>
      <c r="B37" s="672"/>
      <c r="C37" s="672"/>
      <c r="D37" s="672"/>
      <c r="E37" s="672"/>
      <c r="F37" s="672"/>
      <c r="G37" s="646" t="s">
        <v>754</v>
      </c>
      <c r="H37" s="677"/>
      <c r="I37" s="677"/>
      <c r="J37" s="677"/>
      <c r="K37" s="677"/>
      <c r="L37" s="677"/>
      <c r="M37" s="677"/>
    </row>
    <row r="38" spans="1:13" ht="26.45" customHeight="1" thickBot="1" x14ac:dyDescent="0.45">
      <c r="A38" s="673" t="s">
        <v>501</v>
      </c>
      <c r="B38" s="663">
        <v>254185</v>
      </c>
      <c r="C38" s="663"/>
      <c r="D38" s="663"/>
      <c r="E38" s="663"/>
      <c r="F38" s="659">
        <f>SUM(B38:E38)</f>
        <v>254185</v>
      </c>
      <c r="G38" s="673" t="s">
        <v>501</v>
      </c>
      <c r="H38" s="678"/>
      <c r="I38" s="678"/>
      <c r="J38" s="678"/>
      <c r="K38" s="659">
        <f>SUM(H38:J38)</f>
        <v>0</v>
      </c>
      <c r="L38" s="659">
        <f>1534788+14967</f>
        <v>1549755</v>
      </c>
      <c r="M38" s="659">
        <f>F38+K38+L38</f>
        <v>1803940</v>
      </c>
    </row>
    <row r="39" spans="1:13" ht="26.45" customHeight="1" x14ac:dyDescent="0.4">
      <c r="A39" s="646" t="s">
        <v>755</v>
      </c>
      <c r="B39" s="677"/>
      <c r="C39" s="677"/>
      <c r="D39" s="677"/>
      <c r="E39" s="677"/>
      <c r="F39" s="677"/>
      <c r="G39" s="646" t="s">
        <v>755</v>
      </c>
      <c r="H39" s="679"/>
      <c r="I39" s="679"/>
      <c r="J39" s="679"/>
      <c r="K39" s="677"/>
      <c r="L39" s="677"/>
      <c r="M39" s="677"/>
    </row>
    <row r="40" spans="1:13" ht="26.45" customHeight="1" thickBot="1" x14ac:dyDescent="0.45">
      <c r="A40" s="673" t="s">
        <v>756</v>
      </c>
      <c r="B40" s="678">
        <v>70816</v>
      </c>
      <c r="C40" s="678">
        <v>532064</v>
      </c>
      <c r="D40" s="678"/>
      <c r="E40" s="678"/>
      <c r="F40" s="670">
        <f>SUM(B40:E40)</f>
        <v>602880</v>
      </c>
      <c r="G40" s="680" t="s">
        <v>756</v>
      </c>
      <c r="H40" s="678"/>
      <c r="I40" s="678"/>
      <c r="J40" s="678"/>
      <c r="K40" s="670">
        <f>SUM(H40:J40)</f>
        <v>0</v>
      </c>
      <c r="L40" s="670">
        <v>356299</v>
      </c>
      <c r="M40" s="670">
        <f>F40+K40+L40</f>
        <v>959179</v>
      </c>
    </row>
    <row r="41" spans="1:13" ht="26.45" customHeight="1" x14ac:dyDescent="0.4">
      <c r="A41" s="646" t="s">
        <v>757</v>
      </c>
      <c r="B41" s="672"/>
      <c r="C41" s="672"/>
      <c r="D41" s="672"/>
      <c r="E41" s="672"/>
      <c r="F41" s="672"/>
      <c r="G41" s="655" t="s">
        <v>757</v>
      </c>
      <c r="H41" s="663"/>
      <c r="I41" s="663"/>
      <c r="J41" s="663"/>
      <c r="K41" s="672"/>
      <c r="L41" s="672"/>
      <c r="M41" s="672"/>
    </row>
    <row r="42" spans="1:13" ht="26.45" customHeight="1" thickBot="1" x14ac:dyDescent="0.45">
      <c r="A42" s="681" t="s">
        <v>551</v>
      </c>
      <c r="B42" s="663">
        <v>85032</v>
      </c>
      <c r="C42" s="663"/>
      <c r="D42" s="663"/>
      <c r="E42" s="663"/>
      <c r="F42" s="659">
        <f>SUM(B42:E42)</f>
        <v>85032</v>
      </c>
      <c r="G42" s="681" t="s">
        <v>551</v>
      </c>
      <c r="H42" s="663"/>
      <c r="I42" s="663"/>
      <c r="J42" s="663"/>
      <c r="K42" s="659">
        <f>SUM(H42:J42)</f>
        <v>0</v>
      </c>
      <c r="L42" s="659">
        <f>2055308+51660</f>
        <v>2106968</v>
      </c>
      <c r="M42" s="659">
        <f>F42+K42+L42</f>
        <v>2192000</v>
      </c>
    </row>
    <row r="43" spans="1:13" ht="26.45" customHeight="1" x14ac:dyDescent="0.4">
      <c r="A43" s="646" t="s">
        <v>758</v>
      </c>
      <c r="B43" s="677"/>
      <c r="C43" s="677"/>
      <c r="D43" s="677"/>
      <c r="E43" s="677"/>
      <c r="F43" s="677"/>
      <c r="G43" s="646" t="s">
        <v>758</v>
      </c>
      <c r="H43" s="679"/>
      <c r="I43" s="679"/>
      <c r="J43" s="679"/>
      <c r="K43" s="677"/>
      <c r="L43" s="677"/>
      <c r="M43" s="677"/>
    </row>
    <row r="44" spans="1:13" ht="26.45" customHeight="1" x14ac:dyDescent="0.4">
      <c r="A44" s="657" t="s">
        <v>503</v>
      </c>
      <c r="B44" s="658">
        <v>203300</v>
      </c>
      <c r="C44" s="658"/>
      <c r="D44" s="658"/>
      <c r="E44" s="658"/>
      <c r="F44" s="659">
        <f>SUM(B44:E44)</f>
        <v>203300</v>
      </c>
      <c r="G44" s="657" t="s">
        <v>503</v>
      </c>
      <c r="H44" s="658"/>
      <c r="I44" s="658"/>
      <c r="J44" s="658"/>
      <c r="K44" s="659">
        <f>SUM(H44:J44)</f>
        <v>0</v>
      </c>
      <c r="L44" s="659">
        <v>15274</v>
      </c>
      <c r="M44" s="659">
        <f>F44+K44+L44</f>
        <v>218574</v>
      </c>
    </row>
    <row r="45" spans="1:13" ht="26.45" customHeight="1" x14ac:dyDescent="0.4">
      <c r="A45" s="662" t="s">
        <v>610</v>
      </c>
      <c r="B45" s="658">
        <v>21537</v>
      </c>
      <c r="C45" s="658"/>
      <c r="D45" s="658"/>
      <c r="E45" s="658"/>
      <c r="F45" s="659">
        <f>SUM(B45:E45)</f>
        <v>21537</v>
      </c>
      <c r="G45" s="662" t="s">
        <v>610</v>
      </c>
      <c r="H45" s="658"/>
      <c r="I45" s="658"/>
      <c r="J45" s="658"/>
      <c r="K45" s="659">
        <f>SUM(H45:J45)</f>
        <v>0</v>
      </c>
      <c r="L45" s="659">
        <v>491966</v>
      </c>
      <c r="M45" s="659">
        <f>F45+K45+L45</f>
        <v>513503</v>
      </c>
    </row>
    <row r="46" spans="1:13" s="682" customFormat="1" ht="26.25" customHeight="1" thickBot="1" x14ac:dyDescent="0.45">
      <c r="A46" s="674" t="s">
        <v>4</v>
      </c>
      <c r="B46" s="675">
        <v>21655</v>
      </c>
      <c r="C46" s="675"/>
      <c r="D46" s="675"/>
      <c r="E46" s="675">
        <v>1350</v>
      </c>
      <c r="F46" s="676">
        <f>SUM(B46:E46)</f>
        <v>23005</v>
      </c>
      <c r="G46" s="674" t="s">
        <v>4</v>
      </c>
      <c r="H46" s="675"/>
      <c r="I46" s="675"/>
      <c r="J46" s="675"/>
      <c r="K46" s="676">
        <f>SUM(H46:J46)</f>
        <v>0</v>
      </c>
      <c r="L46" s="676">
        <f>3164766+95155</f>
        <v>3259921</v>
      </c>
      <c r="M46" s="676">
        <f>F46+K46+L46</f>
        <v>3282926</v>
      </c>
    </row>
    <row r="47" spans="1:13" ht="26.45" customHeight="1" thickBot="1" x14ac:dyDescent="0.45">
      <c r="A47" s="669" t="s">
        <v>759</v>
      </c>
      <c r="B47" s="670">
        <f>SUM(B44:B46)</f>
        <v>246492</v>
      </c>
      <c r="C47" s="670">
        <f>SUM(C44:C46)</f>
        <v>0</v>
      </c>
      <c r="D47" s="670">
        <f>SUM(D44:D46)</f>
        <v>0</v>
      </c>
      <c r="E47" s="670">
        <f>SUM(E44:E46)</f>
        <v>1350</v>
      </c>
      <c r="F47" s="670">
        <f>SUM(F44:F46)</f>
        <v>247842</v>
      </c>
      <c r="G47" s="669" t="s">
        <v>759</v>
      </c>
      <c r="H47" s="670">
        <f t="shared" ref="H47:M47" si="6">SUM(H44:H46)</f>
        <v>0</v>
      </c>
      <c r="I47" s="670">
        <f t="shared" si="6"/>
        <v>0</v>
      </c>
      <c r="J47" s="670">
        <f t="shared" si="6"/>
        <v>0</v>
      </c>
      <c r="K47" s="670">
        <f t="shared" si="6"/>
        <v>0</v>
      </c>
      <c r="L47" s="670">
        <f t="shared" si="6"/>
        <v>3767161</v>
      </c>
      <c r="M47" s="670">
        <f t="shared" si="6"/>
        <v>4015003</v>
      </c>
    </row>
    <row r="48" spans="1:13" ht="26.45" customHeight="1" thickBot="1" x14ac:dyDescent="0.45">
      <c r="A48" s="669" t="s">
        <v>760</v>
      </c>
      <c r="B48" s="670">
        <f>B36+B38+B40+B42+B47</f>
        <v>1016818</v>
      </c>
      <c r="C48" s="670">
        <f>C36+C38+C40+C42+C47</f>
        <v>532064</v>
      </c>
      <c r="D48" s="670">
        <f>D36+D38+D40+D42+D47</f>
        <v>0</v>
      </c>
      <c r="E48" s="670">
        <f>E36+E38+E40+E42+E47</f>
        <v>1350</v>
      </c>
      <c r="F48" s="670">
        <f>F36+F38+F40+F42+F47</f>
        <v>1550232</v>
      </c>
      <c r="G48" s="669" t="s">
        <v>760</v>
      </c>
      <c r="H48" s="670">
        <f t="shared" ref="H48:M48" si="7">H36+H38+H40+H42+H47</f>
        <v>0</v>
      </c>
      <c r="I48" s="670">
        <f t="shared" si="7"/>
        <v>0</v>
      </c>
      <c r="J48" s="670">
        <f t="shared" si="7"/>
        <v>0</v>
      </c>
      <c r="K48" s="670">
        <f t="shared" si="7"/>
        <v>0</v>
      </c>
      <c r="L48" s="670">
        <f t="shared" si="7"/>
        <v>9778728</v>
      </c>
      <c r="M48" s="670">
        <f t="shared" si="7"/>
        <v>11328960</v>
      </c>
    </row>
    <row r="49" spans="1:13" ht="39.75" customHeight="1" thickBot="1" x14ac:dyDescent="0.45">
      <c r="A49" s="664" t="s">
        <v>761</v>
      </c>
      <c r="B49" s="665">
        <f>B29+B48</f>
        <v>1735599</v>
      </c>
      <c r="C49" s="665">
        <f>C29+C48</f>
        <v>532064</v>
      </c>
      <c r="D49" s="665">
        <f>D29+D48</f>
        <v>0</v>
      </c>
      <c r="E49" s="665">
        <f>E29+E48</f>
        <v>1350</v>
      </c>
      <c r="F49" s="665">
        <f>F29+F48</f>
        <v>2269013</v>
      </c>
      <c r="G49" s="664" t="s">
        <v>761</v>
      </c>
      <c r="H49" s="665">
        <f t="shared" ref="H49:M49" si="8">H29+H48</f>
        <v>0</v>
      </c>
      <c r="I49" s="665">
        <f t="shared" si="8"/>
        <v>0</v>
      </c>
      <c r="J49" s="665">
        <f t="shared" si="8"/>
        <v>0</v>
      </c>
      <c r="K49" s="665">
        <f t="shared" si="8"/>
        <v>0</v>
      </c>
      <c r="L49" s="665">
        <f t="shared" si="8"/>
        <v>15622672</v>
      </c>
      <c r="M49" s="665">
        <f t="shared" si="8"/>
        <v>17891685</v>
      </c>
    </row>
    <row r="50" spans="1:13" ht="26.45" customHeight="1" x14ac:dyDescent="0.4">
      <c r="A50" s="683"/>
      <c r="G50" s="683"/>
    </row>
    <row r="51" spans="1:13" ht="26.45" customHeight="1" x14ac:dyDescent="0.4">
      <c r="A51" s="683"/>
      <c r="G51" s="683"/>
    </row>
    <row r="52" spans="1:13" ht="26.45" customHeight="1" x14ac:dyDescent="0.4">
      <c r="A52" s="683"/>
      <c r="G52" s="683"/>
    </row>
    <row r="53" spans="1:13" ht="26.45" customHeight="1" x14ac:dyDescent="0.4">
      <c r="A53" s="683"/>
      <c r="G53" s="683"/>
    </row>
  </sheetData>
  <mergeCells count="4">
    <mergeCell ref="A2:F2"/>
    <mergeCell ref="G2:M2"/>
    <mergeCell ref="A3:F3"/>
    <mergeCell ref="G3:M3"/>
  </mergeCells>
  <printOptions horizontalCentered="1" verticalCentered="1"/>
  <pageMargins left="0" right="0" top="0" bottom="0" header="0" footer="0"/>
  <pageSetup paperSize="9" scale="34" orientation="landscape" r:id="rId1"/>
  <headerFooter alignWithMargins="0">
    <oddHeader xml:space="preserve">&amp;R&amp;"-,Félkövér"&amp;20
4. melléklet a  3/2026.(II.27.) önkormányzati rendelethez&amp;12
</oddHeader>
    <oddFooter xml:space="preserve">&amp;C &amp;R
&amp;36 &amp;10
</oddFooter>
  </headerFooter>
  <colBreaks count="1" manualBreakCount="1">
    <brk id="6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7A0B-0701-4049-A102-E7D77C7344AA}">
  <dimension ref="A1:D88"/>
  <sheetViews>
    <sheetView zoomScaleNormal="100" zoomScaleSheetLayoutView="44" workbookViewId="0">
      <selection activeCell="U16" sqref="U16"/>
    </sheetView>
  </sheetViews>
  <sheetFormatPr defaultColWidth="10.33203125" defaultRowHeight="72" customHeight="1" x14ac:dyDescent="0.3"/>
  <cols>
    <col min="1" max="1" width="162.6640625" style="822" bestFit="1" customWidth="1"/>
    <col min="2" max="4" width="39.33203125" style="905" bestFit="1" customWidth="1"/>
    <col min="5" max="16384" width="10.33203125" style="821"/>
  </cols>
  <sheetData>
    <row r="1" spans="1:4" s="820" customFormat="1" ht="43.5" customHeight="1" x14ac:dyDescent="0.4">
      <c r="A1" s="930" t="s">
        <v>789</v>
      </c>
      <c r="B1" s="930"/>
      <c r="C1" s="930"/>
      <c r="D1" s="930"/>
    </row>
    <row r="2" spans="1:4" ht="33" customHeight="1" x14ac:dyDescent="0.4">
      <c r="A2" s="931" t="s">
        <v>790</v>
      </c>
      <c r="B2" s="931"/>
      <c r="C2" s="931"/>
      <c r="D2" s="931"/>
    </row>
    <row r="3" spans="1:4" ht="42" customHeight="1" thickBot="1" x14ac:dyDescent="0.4">
      <c r="B3" s="823"/>
      <c r="C3" s="823"/>
      <c r="D3" s="908" t="s">
        <v>204</v>
      </c>
    </row>
    <row r="4" spans="1:4" s="826" customFormat="1" ht="123.75" customHeight="1" x14ac:dyDescent="0.4">
      <c r="A4" s="824" t="s">
        <v>791</v>
      </c>
      <c r="B4" s="825" t="s">
        <v>792</v>
      </c>
      <c r="C4" s="825" t="s">
        <v>793</v>
      </c>
      <c r="D4" s="825" t="s">
        <v>794</v>
      </c>
    </row>
    <row r="5" spans="1:4" s="829" customFormat="1" ht="77.25" customHeight="1" x14ac:dyDescent="0.4">
      <c r="A5" s="827" t="s">
        <v>795</v>
      </c>
      <c r="B5" s="828"/>
      <c r="C5" s="828"/>
      <c r="D5" s="828"/>
    </row>
    <row r="6" spans="1:4" s="829" customFormat="1" ht="51" customHeight="1" x14ac:dyDescent="0.5">
      <c r="A6" s="830" t="s">
        <v>796</v>
      </c>
      <c r="B6" s="831">
        <v>1066402</v>
      </c>
      <c r="C6" s="831">
        <v>1191814</v>
      </c>
      <c r="D6" s="831">
        <f>C6-B6</f>
        <v>125412</v>
      </c>
    </row>
    <row r="7" spans="1:4" s="829" customFormat="1" ht="54.75" customHeight="1" x14ac:dyDescent="0.5">
      <c r="A7" s="832" t="s">
        <v>797</v>
      </c>
      <c r="B7" s="833">
        <v>83153</v>
      </c>
      <c r="C7" s="833">
        <v>83156</v>
      </c>
      <c r="D7" s="833">
        <f t="shared" ref="D7:D13" si="0">C7-B7</f>
        <v>3</v>
      </c>
    </row>
    <row r="8" spans="1:4" s="829" customFormat="1" ht="54.75" customHeight="1" x14ac:dyDescent="0.5">
      <c r="A8" s="832" t="s">
        <v>798</v>
      </c>
      <c r="B8" s="833">
        <v>218067</v>
      </c>
      <c r="C8" s="833">
        <v>203786</v>
      </c>
      <c r="D8" s="833">
        <f t="shared" si="0"/>
        <v>-14281</v>
      </c>
    </row>
    <row r="9" spans="1:4" s="829" customFormat="1" ht="77.25" customHeight="1" x14ac:dyDescent="0.5">
      <c r="A9" s="832" t="s">
        <v>799</v>
      </c>
      <c r="B9" s="834">
        <v>100</v>
      </c>
      <c r="C9" s="834">
        <v>30744</v>
      </c>
      <c r="D9" s="834">
        <f t="shared" si="0"/>
        <v>30644</v>
      </c>
    </row>
    <row r="10" spans="1:4" s="829" customFormat="1" ht="77.25" customHeight="1" x14ac:dyDescent="0.5">
      <c r="A10" s="832" t="s">
        <v>800</v>
      </c>
      <c r="B10" s="833">
        <v>131036</v>
      </c>
      <c r="C10" s="833">
        <v>131036</v>
      </c>
      <c r="D10" s="833">
        <f t="shared" si="0"/>
        <v>0</v>
      </c>
    </row>
    <row r="11" spans="1:4" s="829" customFormat="1" ht="77.25" customHeight="1" x14ac:dyDescent="0.5">
      <c r="A11" s="832" t="s">
        <v>801</v>
      </c>
      <c r="B11" s="833">
        <v>207617</v>
      </c>
      <c r="C11" s="833">
        <v>206662</v>
      </c>
      <c r="D11" s="833">
        <f t="shared" si="0"/>
        <v>-955</v>
      </c>
    </row>
    <row r="12" spans="1:4" s="829" customFormat="1" ht="77.25" customHeight="1" x14ac:dyDescent="0.5">
      <c r="A12" s="832" t="s">
        <v>802</v>
      </c>
      <c r="B12" s="833">
        <v>224</v>
      </c>
      <c r="C12" s="833">
        <v>230</v>
      </c>
      <c r="D12" s="833">
        <f t="shared" si="0"/>
        <v>6</v>
      </c>
    </row>
    <row r="13" spans="1:4" s="829" customFormat="1" ht="77.25" customHeight="1" thickBot="1" x14ac:dyDescent="0.55000000000000004">
      <c r="A13" s="835" t="s">
        <v>803</v>
      </c>
      <c r="B13" s="833"/>
      <c r="C13" s="833">
        <v>675</v>
      </c>
      <c r="D13" s="833">
        <f t="shared" si="0"/>
        <v>675</v>
      </c>
    </row>
    <row r="14" spans="1:4" s="838" customFormat="1" ht="77.25" customHeight="1" thickTop="1" thickBot="1" x14ac:dyDescent="0.55000000000000004">
      <c r="A14" s="836" t="s">
        <v>804</v>
      </c>
      <c r="B14" s="837">
        <f>SUM(B5:B13)</f>
        <v>1706599</v>
      </c>
      <c r="C14" s="837">
        <f>SUM(C5:C13)</f>
        <v>1848103</v>
      </c>
      <c r="D14" s="837">
        <f>SUM(D5:D13)</f>
        <v>141504</v>
      </c>
    </row>
    <row r="15" spans="1:4" s="838" customFormat="1" ht="77.25" customHeight="1" thickTop="1" x14ac:dyDescent="0.5">
      <c r="A15" s="839" t="s">
        <v>805</v>
      </c>
      <c r="B15" s="840"/>
      <c r="C15" s="840"/>
      <c r="D15" s="840"/>
    </row>
    <row r="16" spans="1:4" s="829" customFormat="1" ht="77.25" customHeight="1" x14ac:dyDescent="0.5">
      <c r="A16" s="841" t="s">
        <v>806</v>
      </c>
      <c r="B16" s="842"/>
      <c r="C16" s="842"/>
      <c r="D16" s="842"/>
    </row>
    <row r="17" spans="1:4" s="829" customFormat="1" ht="77.25" customHeight="1" x14ac:dyDescent="0.5">
      <c r="A17" s="843" t="s">
        <v>807</v>
      </c>
      <c r="B17" s="831">
        <v>373655</v>
      </c>
      <c r="C17" s="831">
        <v>370380</v>
      </c>
      <c r="D17" s="831">
        <f t="shared" ref="D17:D23" si="1">C17-B17</f>
        <v>-3275</v>
      </c>
    </row>
    <row r="18" spans="1:4" s="829" customFormat="1" ht="77.25" customHeight="1" x14ac:dyDescent="0.5">
      <c r="A18" s="844" t="s">
        <v>808</v>
      </c>
      <c r="B18" s="845"/>
      <c r="C18" s="845"/>
      <c r="D18" s="845">
        <f t="shared" si="1"/>
        <v>0</v>
      </c>
    </row>
    <row r="19" spans="1:4" s="829" customFormat="1" ht="77.25" customHeight="1" x14ac:dyDescent="0.5">
      <c r="A19" s="846" t="s">
        <v>809</v>
      </c>
      <c r="B19" s="831">
        <v>2033459</v>
      </c>
      <c r="C19" s="831">
        <v>2292000</v>
      </c>
      <c r="D19" s="831">
        <f t="shared" si="1"/>
        <v>258541</v>
      </c>
    </row>
    <row r="20" spans="1:4" s="829" customFormat="1" ht="96" customHeight="1" x14ac:dyDescent="0.5">
      <c r="A20" s="847" t="s">
        <v>810</v>
      </c>
      <c r="B20" s="842"/>
      <c r="C20" s="842"/>
      <c r="D20" s="842">
        <f t="shared" si="1"/>
        <v>0</v>
      </c>
    </row>
    <row r="21" spans="1:4" s="829" customFormat="1" ht="61.5" x14ac:dyDescent="0.5">
      <c r="A21" s="848" t="s">
        <v>811</v>
      </c>
      <c r="B21" s="842"/>
      <c r="C21" s="842"/>
      <c r="D21" s="842">
        <f t="shared" si="1"/>
        <v>0</v>
      </c>
    </row>
    <row r="22" spans="1:4" s="829" customFormat="1" ht="33.75" x14ac:dyDescent="0.5">
      <c r="A22" s="849" t="s">
        <v>812</v>
      </c>
      <c r="B22" s="842"/>
      <c r="C22" s="842"/>
      <c r="D22" s="842">
        <f t="shared" si="1"/>
        <v>0</v>
      </c>
    </row>
    <row r="23" spans="1:4" s="829" customFormat="1" ht="96" customHeight="1" x14ac:dyDescent="0.5">
      <c r="A23" s="850" t="s">
        <v>813</v>
      </c>
      <c r="B23" s="831">
        <v>49793</v>
      </c>
      <c r="C23" s="831">
        <v>55448</v>
      </c>
      <c r="D23" s="831">
        <f t="shared" si="1"/>
        <v>5655</v>
      </c>
    </row>
    <row r="24" spans="1:4" s="829" customFormat="1" ht="47.25" customHeight="1" x14ac:dyDescent="0.5">
      <c r="A24" s="851" t="s">
        <v>814</v>
      </c>
      <c r="B24" s="831">
        <v>48055</v>
      </c>
      <c r="C24" s="831">
        <f>C23-C25</f>
        <v>52580</v>
      </c>
      <c r="D24" s="831">
        <f>D23-D25</f>
        <v>2787</v>
      </c>
    </row>
    <row r="25" spans="1:4" s="829" customFormat="1" ht="47.25" customHeight="1" x14ac:dyDescent="0.5">
      <c r="A25" s="830" t="s">
        <v>815</v>
      </c>
      <c r="B25" s="831">
        <v>1738</v>
      </c>
      <c r="C25" s="831">
        <v>2868</v>
      </c>
      <c r="D25" s="831">
        <v>2868</v>
      </c>
    </row>
    <row r="26" spans="1:4" s="829" customFormat="1" ht="77.25" customHeight="1" x14ac:dyDescent="0.5">
      <c r="A26" s="830" t="s">
        <v>816</v>
      </c>
      <c r="B26" s="833">
        <v>51208</v>
      </c>
      <c r="C26" s="833">
        <v>57040</v>
      </c>
      <c r="D26" s="833">
        <f t="shared" ref="D26:D39" si="2">C26-B26</f>
        <v>5832</v>
      </c>
    </row>
    <row r="27" spans="1:4" s="829" customFormat="1" ht="77.25" customHeight="1" x14ac:dyDescent="0.5">
      <c r="A27" s="847" t="s">
        <v>817</v>
      </c>
      <c r="B27" s="845"/>
      <c r="C27" s="845"/>
      <c r="D27" s="845">
        <f t="shared" si="2"/>
        <v>0</v>
      </c>
    </row>
    <row r="28" spans="1:4" s="829" customFormat="1" ht="90.75" customHeight="1" x14ac:dyDescent="0.5">
      <c r="A28" s="852" t="s">
        <v>818</v>
      </c>
      <c r="B28" s="831">
        <v>3141</v>
      </c>
      <c r="C28" s="831">
        <v>3456</v>
      </c>
      <c r="D28" s="831">
        <f t="shared" si="2"/>
        <v>315</v>
      </c>
    </row>
    <row r="29" spans="1:4" s="829" customFormat="1" ht="51.75" customHeight="1" x14ac:dyDescent="0.5">
      <c r="A29" s="830" t="s">
        <v>814</v>
      </c>
      <c r="B29" s="831">
        <v>1047</v>
      </c>
      <c r="C29" s="831">
        <f>C28-C30</f>
        <v>1152</v>
      </c>
      <c r="D29" s="831">
        <f t="shared" si="2"/>
        <v>105</v>
      </c>
    </row>
    <row r="30" spans="1:4" s="829" customFormat="1" ht="58.5" customHeight="1" x14ac:dyDescent="0.5">
      <c r="A30" s="830" t="s">
        <v>815</v>
      </c>
      <c r="B30" s="831">
        <v>2094</v>
      </c>
      <c r="C30" s="831">
        <v>2304</v>
      </c>
      <c r="D30" s="831">
        <f t="shared" si="2"/>
        <v>210</v>
      </c>
    </row>
    <row r="31" spans="1:4" s="829" customFormat="1" ht="77.25" customHeight="1" x14ac:dyDescent="0.5">
      <c r="A31" s="830" t="s">
        <v>819</v>
      </c>
      <c r="B31" s="833">
        <v>3660</v>
      </c>
      <c r="C31" s="833">
        <v>8052</v>
      </c>
      <c r="D31" s="833">
        <f t="shared" si="2"/>
        <v>4392</v>
      </c>
    </row>
    <row r="32" spans="1:4" s="829" customFormat="1" ht="77.25" customHeight="1" x14ac:dyDescent="0.5">
      <c r="A32" s="853" t="s">
        <v>820</v>
      </c>
      <c r="B32" s="845"/>
      <c r="C32" s="845"/>
      <c r="D32" s="845">
        <f t="shared" si="2"/>
        <v>0</v>
      </c>
    </row>
    <row r="33" spans="1:4" s="829" customFormat="1" ht="77.25" customHeight="1" x14ac:dyDescent="0.5">
      <c r="A33" s="848" t="s">
        <v>821</v>
      </c>
      <c r="B33" s="842"/>
      <c r="C33" s="842"/>
      <c r="D33" s="842">
        <f t="shared" si="2"/>
        <v>0</v>
      </c>
    </row>
    <row r="34" spans="1:4" s="829" customFormat="1" ht="87.75" customHeight="1" x14ac:dyDescent="0.5">
      <c r="A34" s="854" t="s">
        <v>822</v>
      </c>
      <c r="B34" s="831">
        <v>13904</v>
      </c>
      <c r="C34" s="831">
        <v>15296</v>
      </c>
      <c r="D34" s="831">
        <f t="shared" si="2"/>
        <v>1392</v>
      </c>
    </row>
    <row r="35" spans="1:4" s="829" customFormat="1" ht="99.75" customHeight="1" x14ac:dyDescent="0.5">
      <c r="A35" s="841" t="s">
        <v>823</v>
      </c>
      <c r="B35" s="842"/>
      <c r="C35" s="842"/>
      <c r="D35" s="842">
        <f t="shared" si="2"/>
        <v>0</v>
      </c>
    </row>
    <row r="36" spans="1:4" s="829" customFormat="1" ht="77.25" customHeight="1" x14ac:dyDescent="0.5">
      <c r="A36" s="848" t="s">
        <v>824</v>
      </c>
      <c r="B36" s="842"/>
      <c r="C36" s="842"/>
      <c r="D36" s="842">
        <f t="shared" si="2"/>
        <v>0</v>
      </c>
    </row>
    <row r="37" spans="1:4" s="829" customFormat="1" ht="77.25" customHeight="1" x14ac:dyDescent="0.5">
      <c r="A37" s="830" t="s">
        <v>825</v>
      </c>
      <c r="B37" s="831">
        <v>732252</v>
      </c>
      <c r="C37" s="831">
        <v>773813</v>
      </c>
      <c r="D37" s="831">
        <f t="shared" si="2"/>
        <v>41561</v>
      </c>
    </row>
    <row r="38" spans="1:4" s="829" customFormat="1" ht="77.25" customHeight="1" thickBot="1" x14ac:dyDescent="0.55000000000000004">
      <c r="A38" s="855" t="s">
        <v>826</v>
      </c>
      <c r="B38" s="856">
        <v>71029</v>
      </c>
      <c r="C38" s="856">
        <v>80220</v>
      </c>
      <c r="D38" s="856">
        <f t="shared" si="2"/>
        <v>9191</v>
      </c>
    </row>
    <row r="39" spans="1:4" s="829" customFormat="1" ht="77.25" customHeight="1" thickTop="1" thickBot="1" x14ac:dyDescent="0.55000000000000004">
      <c r="A39" s="832" t="s">
        <v>827</v>
      </c>
      <c r="B39" s="833">
        <v>1738</v>
      </c>
      <c r="C39" s="833">
        <v>1912</v>
      </c>
      <c r="D39" s="833">
        <f t="shared" si="2"/>
        <v>174</v>
      </c>
    </row>
    <row r="40" spans="1:4" s="829" customFormat="1" ht="62.25" customHeight="1" thickTop="1" thickBot="1" x14ac:dyDescent="0.55000000000000004">
      <c r="A40" s="836" t="s">
        <v>828</v>
      </c>
      <c r="B40" s="857">
        <f t="shared" ref="B40" si="3">SUM(B15:B39)-B24-B25-B29-B30</f>
        <v>3333839</v>
      </c>
      <c r="C40" s="857">
        <f t="shared" ref="C40:D40" si="4">SUM(C15:C39)-C24-C25-C29-C30</f>
        <v>3657617</v>
      </c>
      <c r="D40" s="857">
        <f t="shared" si="4"/>
        <v>323778</v>
      </c>
    </row>
    <row r="41" spans="1:4" s="858" customFormat="1" ht="77.25" customHeight="1" thickTop="1" x14ac:dyDescent="0.5">
      <c r="A41" s="839" t="s">
        <v>829</v>
      </c>
      <c r="B41" s="840"/>
      <c r="C41" s="840"/>
      <c r="D41" s="840"/>
    </row>
    <row r="42" spans="1:4" s="829" customFormat="1" ht="77.25" customHeight="1" x14ac:dyDescent="0.5">
      <c r="A42" s="859" t="s">
        <v>830</v>
      </c>
      <c r="B42" s="831"/>
      <c r="C42" s="831"/>
      <c r="D42" s="831"/>
    </row>
    <row r="43" spans="1:4" s="829" customFormat="1" ht="77.25" customHeight="1" x14ac:dyDescent="0.5">
      <c r="A43" s="832" t="s">
        <v>831</v>
      </c>
      <c r="B43" s="860">
        <v>103632</v>
      </c>
      <c r="C43" s="860">
        <v>120967</v>
      </c>
      <c r="D43" s="860">
        <f t="shared" ref="D43:D50" si="5">C43-B43</f>
        <v>17335</v>
      </c>
    </row>
    <row r="44" spans="1:4" s="829" customFormat="1" ht="77.25" customHeight="1" x14ac:dyDescent="0.5">
      <c r="A44" s="832" t="s">
        <v>832</v>
      </c>
      <c r="B44" s="860">
        <v>142276</v>
      </c>
      <c r="C44" s="860">
        <v>152149</v>
      </c>
      <c r="D44" s="860">
        <f t="shared" si="5"/>
        <v>9873</v>
      </c>
    </row>
    <row r="45" spans="1:4" s="829" customFormat="1" ht="77.25" customHeight="1" x14ac:dyDescent="0.5">
      <c r="A45" s="861" t="s">
        <v>833</v>
      </c>
      <c r="B45" s="860">
        <v>96167</v>
      </c>
      <c r="C45" s="860">
        <v>103212</v>
      </c>
      <c r="D45" s="860">
        <f t="shared" si="5"/>
        <v>7045</v>
      </c>
    </row>
    <row r="46" spans="1:4" s="829" customFormat="1" ht="77.25" customHeight="1" x14ac:dyDescent="0.5">
      <c r="A46" s="832" t="s">
        <v>834</v>
      </c>
      <c r="B46" s="860">
        <v>88874</v>
      </c>
      <c r="C46" s="860">
        <v>93366</v>
      </c>
      <c r="D46" s="860">
        <f t="shared" si="5"/>
        <v>4492</v>
      </c>
    </row>
    <row r="47" spans="1:4" s="829" customFormat="1" ht="77.25" customHeight="1" x14ac:dyDescent="0.5">
      <c r="A47" s="862" t="s">
        <v>835</v>
      </c>
      <c r="B47" s="860">
        <v>100</v>
      </c>
      <c r="C47" s="860">
        <v>75</v>
      </c>
      <c r="D47" s="860">
        <f t="shared" si="5"/>
        <v>-25</v>
      </c>
    </row>
    <row r="48" spans="1:4" s="829" customFormat="1" ht="77.25" customHeight="1" x14ac:dyDescent="0.5">
      <c r="A48" s="832" t="s">
        <v>836</v>
      </c>
      <c r="B48" s="860">
        <v>73235</v>
      </c>
      <c r="C48" s="860">
        <v>77881</v>
      </c>
      <c r="D48" s="860">
        <f t="shared" si="5"/>
        <v>4646</v>
      </c>
    </row>
    <row r="49" spans="1:4" s="858" customFormat="1" ht="77.25" customHeight="1" x14ac:dyDescent="0.5">
      <c r="A49" s="863" t="s">
        <v>837</v>
      </c>
      <c r="B49" s="860">
        <v>59243</v>
      </c>
      <c r="C49" s="860">
        <v>63071</v>
      </c>
      <c r="D49" s="860">
        <f t="shared" si="5"/>
        <v>3828</v>
      </c>
    </row>
    <row r="50" spans="1:4" s="829" customFormat="1" ht="77.25" customHeight="1" thickBot="1" x14ac:dyDescent="0.55000000000000004">
      <c r="A50" s="832" t="s">
        <v>838</v>
      </c>
      <c r="B50" s="834">
        <v>8145</v>
      </c>
      <c r="C50" s="834">
        <v>7560</v>
      </c>
      <c r="D50" s="834">
        <f t="shared" si="5"/>
        <v>-585</v>
      </c>
    </row>
    <row r="51" spans="1:4" s="829" customFormat="1" ht="60" customHeight="1" thickTop="1" thickBot="1" x14ac:dyDescent="0.55000000000000004">
      <c r="A51" s="864" t="s">
        <v>830</v>
      </c>
      <c r="B51" s="865">
        <f>SUM(B43:B50)</f>
        <v>571672</v>
      </c>
      <c r="C51" s="865">
        <f>SUM(C43:C50)</f>
        <v>618281</v>
      </c>
      <c r="D51" s="865">
        <f>SUM(D43:D50)</f>
        <v>46609</v>
      </c>
    </row>
    <row r="52" spans="1:4" s="829" customFormat="1" ht="77.25" customHeight="1" thickTop="1" x14ac:dyDescent="0.5">
      <c r="A52" s="841" t="s">
        <v>839</v>
      </c>
      <c r="B52" s="842"/>
      <c r="C52" s="842"/>
      <c r="D52" s="842"/>
    </row>
    <row r="53" spans="1:4" s="829" customFormat="1" ht="77.25" customHeight="1" x14ac:dyDescent="0.5">
      <c r="A53" s="841" t="s">
        <v>840</v>
      </c>
      <c r="B53" s="842"/>
      <c r="C53" s="842"/>
      <c r="D53" s="842"/>
    </row>
    <row r="54" spans="1:4" s="829" customFormat="1" ht="77.25" customHeight="1" x14ac:dyDescent="0.5">
      <c r="A54" s="830" t="s">
        <v>841</v>
      </c>
      <c r="B54" s="831">
        <v>638414</v>
      </c>
      <c r="C54" s="831">
        <v>712656</v>
      </c>
      <c r="D54" s="831">
        <f t="shared" ref="D54:D56" si="6">C54-B54</f>
        <v>74242</v>
      </c>
    </row>
    <row r="55" spans="1:4" s="829" customFormat="1" ht="77.25" customHeight="1" x14ac:dyDescent="0.5">
      <c r="A55" s="832" t="s">
        <v>842</v>
      </c>
      <c r="B55" s="831">
        <v>596580</v>
      </c>
      <c r="C55" s="831">
        <v>647180</v>
      </c>
      <c r="D55" s="831">
        <f t="shared" si="6"/>
        <v>50600</v>
      </c>
    </row>
    <row r="56" spans="1:4" s="829" customFormat="1" ht="58.5" customHeight="1" thickBot="1" x14ac:dyDescent="0.55000000000000004">
      <c r="A56" s="866" t="s">
        <v>843</v>
      </c>
      <c r="B56" s="831">
        <v>259783</v>
      </c>
      <c r="C56" s="831">
        <v>266816</v>
      </c>
      <c r="D56" s="831">
        <f t="shared" si="6"/>
        <v>7033</v>
      </c>
    </row>
    <row r="57" spans="1:4" s="829" customFormat="1" ht="60.75" customHeight="1" thickTop="1" thickBot="1" x14ac:dyDescent="0.55000000000000004">
      <c r="A57" s="864" t="s">
        <v>844</v>
      </c>
      <c r="B57" s="865">
        <f>SUM(B54:B56)</f>
        <v>1494777</v>
      </c>
      <c r="C57" s="865">
        <f>SUM(C54:C56)</f>
        <v>1626652</v>
      </c>
      <c r="D57" s="865">
        <f>SUM(D54:D56)</f>
        <v>131875</v>
      </c>
    </row>
    <row r="58" spans="1:4" s="829" customFormat="1" ht="92.25" thickTop="1" x14ac:dyDescent="0.5">
      <c r="A58" s="867" t="s">
        <v>845</v>
      </c>
      <c r="B58" s="868"/>
      <c r="C58" s="868"/>
      <c r="D58" s="868"/>
    </row>
    <row r="59" spans="1:4" s="829" customFormat="1" ht="48.75" customHeight="1" x14ac:dyDescent="0.5">
      <c r="A59" s="830" t="s">
        <v>846</v>
      </c>
      <c r="B59" s="831">
        <v>62330</v>
      </c>
      <c r="C59" s="831">
        <v>60725</v>
      </c>
      <c r="D59" s="831">
        <f t="shared" ref="D59:D60" si="7">C59-B59</f>
        <v>-1605</v>
      </c>
    </row>
    <row r="60" spans="1:4" s="829" customFormat="1" ht="77.25" customHeight="1" thickBot="1" x14ac:dyDescent="0.55000000000000004">
      <c r="A60" s="832" t="s">
        <v>847</v>
      </c>
      <c r="B60" s="831">
        <v>16902</v>
      </c>
      <c r="C60" s="831">
        <v>16218</v>
      </c>
      <c r="D60" s="831">
        <f t="shared" si="7"/>
        <v>-684</v>
      </c>
    </row>
    <row r="61" spans="1:4" s="829" customFormat="1" ht="92.25" customHeight="1" thickTop="1" thickBot="1" x14ac:dyDescent="0.55000000000000004">
      <c r="A61" s="867" t="s">
        <v>848</v>
      </c>
      <c r="B61" s="865">
        <f>SUM(B59:B60)</f>
        <v>79232</v>
      </c>
      <c r="C61" s="865">
        <f>SUM(C59:C60)</f>
        <v>76943</v>
      </c>
      <c r="D61" s="865">
        <f>SUM(D59:D60)</f>
        <v>-2289</v>
      </c>
    </row>
    <row r="62" spans="1:4" s="829" customFormat="1" ht="77.25" customHeight="1" thickTop="1" thickBot="1" x14ac:dyDescent="0.55000000000000004">
      <c r="A62" s="836" t="s">
        <v>849</v>
      </c>
      <c r="B62" s="857">
        <f>B51+B57+B61</f>
        <v>2145681</v>
      </c>
      <c r="C62" s="857">
        <f>C51+C57+C61</f>
        <v>2321876</v>
      </c>
      <c r="D62" s="857">
        <f>D51+D57+D61</f>
        <v>176195</v>
      </c>
    </row>
    <row r="63" spans="1:4" s="829" customFormat="1" ht="54.75" customHeight="1" thickTop="1" x14ac:dyDescent="0.5">
      <c r="A63" s="869" t="s">
        <v>850</v>
      </c>
      <c r="B63" s="842"/>
      <c r="C63" s="842"/>
      <c r="D63" s="842"/>
    </row>
    <row r="64" spans="1:4" s="858" customFormat="1" ht="69" customHeight="1" x14ac:dyDescent="0.5">
      <c r="A64" s="870" t="s">
        <v>851</v>
      </c>
      <c r="B64" s="840"/>
      <c r="C64" s="840"/>
      <c r="D64" s="840"/>
    </row>
    <row r="65" spans="1:4" s="829" customFormat="1" ht="42" customHeight="1" x14ac:dyDescent="0.5">
      <c r="A65" s="871" t="s">
        <v>852</v>
      </c>
      <c r="B65" s="831">
        <v>400523</v>
      </c>
      <c r="C65" s="831">
        <v>417076</v>
      </c>
      <c r="D65" s="831">
        <f t="shared" ref="D65:D67" si="8">C65-B65</f>
        <v>16553</v>
      </c>
    </row>
    <row r="66" spans="1:4" s="829" customFormat="1" ht="45" customHeight="1" x14ac:dyDescent="0.5">
      <c r="A66" s="872" t="s">
        <v>853</v>
      </c>
      <c r="B66" s="831">
        <v>476813</v>
      </c>
      <c r="C66" s="831">
        <v>596710</v>
      </c>
      <c r="D66" s="831">
        <f t="shared" si="8"/>
        <v>119897</v>
      </c>
    </row>
    <row r="67" spans="1:4" s="829" customFormat="1" ht="38.25" customHeight="1" thickBot="1" x14ac:dyDescent="0.55000000000000004">
      <c r="A67" s="870" t="s">
        <v>854</v>
      </c>
      <c r="B67" s="831">
        <v>729</v>
      </c>
      <c r="C67" s="831">
        <v>1634</v>
      </c>
      <c r="D67" s="831">
        <f t="shared" si="8"/>
        <v>905</v>
      </c>
    </row>
    <row r="68" spans="1:4" s="829" customFormat="1" ht="60" customHeight="1" thickTop="1" thickBot="1" x14ac:dyDescent="0.55000000000000004">
      <c r="A68" s="873" t="s">
        <v>855</v>
      </c>
      <c r="B68" s="857">
        <f>SUM(B65:B67)</f>
        <v>878065</v>
      </c>
      <c r="C68" s="857">
        <f>SUM(C65:C67)</f>
        <v>1015420</v>
      </c>
      <c r="D68" s="857">
        <f>SUM(D65:D67)</f>
        <v>137355</v>
      </c>
    </row>
    <row r="69" spans="1:4" s="829" customFormat="1" ht="56.25" customHeight="1" thickTop="1" x14ac:dyDescent="0.5">
      <c r="A69" s="874" t="s">
        <v>856</v>
      </c>
      <c r="B69" s="868"/>
      <c r="C69" s="868"/>
      <c r="D69" s="868"/>
    </row>
    <row r="70" spans="1:4" s="829" customFormat="1" ht="64.5" customHeight="1" x14ac:dyDescent="0.5">
      <c r="A70" s="875" t="s">
        <v>857</v>
      </c>
      <c r="B70" s="831">
        <v>71479</v>
      </c>
      <c r="C70" s="831">
        <v>71151</v>
      </c>
      <c r="D70" s="831">
        <f t="shared" ref="D70:D71" si="9">C70-B70</f>
        <v>-328</v>
      </c>
    </row>
    <row r="71" spans="1:4" s="829" customFormat="1" ht="63.75" customHeight="1" thickBot="1" x14ac:dyDescent="0.55000000000000004">
      <c r="A71" s="876" t="s">
        <v>858</v>
      </c>
      <c r="B71" s="831">
        <v>142713</v>
      </c>
      <c r="C71" s="831">
        <v>142321</v>
      </c>
      <c r="D71" s="831">
        <f t="shared" si="9"/>
        <v>-392</v>
      </c>
    </row>
    <row r="72" spans="1:4" s="829" customFormat="1" ht="63.75" customHeight="1" thickTop="1" thickBot="1" x14ac:dyDescent="0.55000000000000004">
      <c r="A72" s="873" t="s">
        <v>859</v>
      </c>
      <c r="B72" s="857">
        <f>SUM(B70:B71)</f>
        <v>214192</v>
      </c>
      <c r="C72" s="857">
        <f>SUM(C70:C71)</f>
        <v>213472</v>
      </c>
      <c r="D72" s="857">
        <f>SUM(D70:D71)</f>
        <v>-720</v>
      </c>
    </row>
    <row r="73" spans="1:4" s="829" customFormat="1" ht="72" customHeight="1" thickTop="1" thickBot="1" x14ac:dyDescent="0.55000000000000004">
      <c r="A73" s="877" t="s">
        <v>860</v>
      </c>
      <c r="B73" s="878">
        <f>B14+B40+B62+B68+B72</f>
        <v>8278376</v>
      </c>
      <c r="C73" s="878">
        <f>C14+C40+C62+C68+C72</f>
        <v>9056488</v>
      </c>
      <c r="D73" s="878">
        <f>D14+D40+D62+D68+D72</f>
        <v>778112</v>
      </c>
    </row>
    <row r="74" spans="1:4" s="826" customFormat="1" ht="77.25" customHeight="1" x14ac:dyDescent="0.5">
      <c r="A74" s="879" t="s">
        <v>861</v>
      </c>
      <c r="B74" s="880"/>
      <c r="C74" s="880"/>
      <c r="D74" s="880"/>
    </row>
    <row r="75" spans="1:4" s="829" customFormat="1" ht="60.75" customHeight="1" x14ac:dyDescent="0.5">
      <c r="A75" s="881" t="s">
        <v>862</v>
      </c>
      <c r="B75" s="882">
        <v>230670</v>
      </c>
      <c r="C75" s="882">
        <v>230670</v>
      </c>
      <c r="D75" s="882">
        <f t="shared" ref="D75:D79" si="10">C75-B75</f>
        <v>0</v>
      </c>
    </row>
    <row r="76" spans="1:4" s="829" customFormat="1" ht="48.75" customHeight="1" x14ac:dyDescent="0.5">
      <c r="A76" s="881" t="s">
        <v>863</v>
      </c>
      <c r="B76" s="883">
        <v>188000</v>
      </c>
      <c r="C76" s="883">
        <v>188000</v>
      </c>
      <c r="D76" s="883">
        <f t="shared" si="10"/>
        <v>0</v>
      </c>
    </row>
    <row r="77" spans="1:4" s="858" customFormat="1" ht="52.5" customHeight="1" x14ac:dyDescent="0.5">
      <c r="A77" s="884" t="s">
        <v>864</v>
      </c>
      <c r="B77" s="883">
        <v>318266</v>
      </c>
      <c r="C77" s="883">
        <v>318266</v>
      </c>
      <c r="D77" s="883">
        <f t="shared" si="10"/>
        <v>0</v>
      </c>
    </row>
    <row r="78" spans="1:4" s="858" customFormat="1" ht="61.5" x14ac:dyDescent="0.5">
      <c r="A78" s="885" t="s">
        <v>865</v>
      </c>
      <c r="B78" s="883">
        <v>157338</v>
      </c>
      <c r="C78" s="883">
        <v>157338</v>
      </c>
      <c r="D78" s="883">
        <f t="shared" si="10"/>
        <v>0</v>
      </c>
    </row>
    <row r="79" spans="1:4" s="858" customFormat="1" ht="61.5" x14ac:dyDescent="0.5">
      <c r="A79" s="886" t="s">
        <v>866</v>
      </c>
      <c r="B79" s="887"/>
      <c r="C79" s="887">
        <v>375845</v>
      </c>
      <c r="D79" s="883">
        <f t="shared" si="10"/>
        <v>375845</v>
      </c>
    </row>
    <row r="80" spans="1:4" s="890" customFormat="1" ht="47.25" customHeight="1" x14ac:dyDescent="0.45">
      <c r="A80" s="888" t="s">
        <v>867</v>
      </c>
      <c r="B80" s="889">
        <f>SUM(B75:B78)</f>
        <v>894274</v>
      </c>
      <c r="C80" s="889">
        <f>SUM(C75:C79)</f>
        <v>1270119</v>
      </c>
      <c r="D80" s="889">
        <f>SUM(D75:D79)</f>
        <v>375845</v>
      </c>
    </row>
    <row r="81" spans="1:4" s="858" customFormat="1" ht="60.75" customHeight="1" x14ac:dyDescent="0.45">
      <c r="A81" s="891" t="s">
        <v>868</v>
      </c>
      <c r="B81" s="892">
        <f t="shared" ref="B81:D82" si="11">B80</f>
        <v>894274</v>
      </c>
      <c r="C81" s="892">
        <f t="shared" si="11"/>
        <v>1270119</v>
      </c>
      <c r="D81" s="892">
        <f t="shared" si="11"/>
        <v>375845</v>
      </c>
    </row>
    <row r="82" spans="1:4" s="838" customFormat="1" ht="57.75" customHeight="1" x14ac:dyDescent="0.5">
      <c r="A82" s="893" t="s">
        <v>869</v>
      </c>
      <c r="B82" s="894">
        <f t="shared" si="11"/>
        <v>894274</v>
      </c>
      <c r="C82" s="894">
        <f t="shared" si="11"/>
        <v>1270119</v>
      </c>
      <c r="D82" s="894">
        <f t="shared" si="11"/>
        <v>375845</v>
      </c>
    </row>
    <row r="83" spans="1:4" s="838" customFormat="1" ht="48.75" customHeight="1" thickBot="1" x14ac:dyDescent="0.55000000000000004">
      <c r="A83" s="895" t="s">
        <v>870</v>
      </c>
      <c r="B83" s="896">
        <f>B73+B82</f>
        <v>9172650</v>
      </c>
      <c r="C83" s="896">
        <f>C73+C82</f>
        <v>10326607</v>
      </c>
      <c r="D83" s="896">
        <f>D73+D82</f>
        <v>1153957</v>
      </c>
    </row>
    <row r="84" spans="1:4" s="838" customFormat="1" ht="30.75" customHeight="1" thickTop="1" x14ac:dyDescent="0.5">
      <c r="A84" s="897" t="s">
        <v>871</v>
      </c>
      <c r="B84" s="906"/>
      <c r="C84" s="898"/>
      <c r="D84" s="898"/>
    </row>
    <row r="85" spans="1:4" s="858" customFormat="1" ht="28.5" customHeight="1" x14ac:dyDescent="0.5">
      <c r="A85" s="899" t="s">
        <v>872</v>
      </c>
      <c r="B85" s="840"/>
      <c r="C85" s="840"/>
      <c r="D85" s="840"/>
    </row>
    <row r="86" spans="1:4" s="858" customFormat="1" ht="29.25" customHeight="1" x14ac:dyDescent="0.5">
      <c r="A86" s="900" t="s">
        <v>873</v>
      </c>
      <c r="B86" s="901">
        <v>81055</v>
      </c>
      <c r="C86" s="901">
        <v>83487</v>
      </c>
      <c r="D86" s="901">
        <f t="shared" ref="D86:D87" si="12">C86-B86</f>
        <v>2432</v>
      </c>
    </row>
    <row r="87" spans="1:4" s="858" customFormat="1" ht="38.25" customHeight="1" thickBot="1" x14ac:dyDescent="0.55000000000000004">
      <c r="A87" s="902" t="s">
        <v>874</v>
      </c>
      <c r="B87" s="883">
        <v>302075</v>
      </c>
      <c r="C87" s="883">
        <v>357808</v>
      </c>
      <c r="D87" s="883">
        <f t="shared" si="12"/>
        <v>55733</v>
      </c>
    </row>
    <row r="88" spans="1:4" s="838" customFormat="1" ht="39.75" customHeight="1" thickTop="1" x14ac:dyDescent="0.5">
      <c r="A88" s="903" t="s">
        <v>875</v>
      </c>
      <c r="B88" s="904">
        <f>B73+B82+B86+B87</f>
        <v>9555780</v>
      </c>
      <c r="C88" s="904">
        <f>C73+C82+C86+C87</f>
        <v>10767902</v>
      </c>
      <c r="D88" s="904">
        <f>D73+D82+D86+D87</f>
        <v>1212122</v>
      </c>
    </row>
  </sheetData>
  <mergeCells count="2">
    <mergeCell ref="A1:D1"/>
    <mergeCell ref="A2:D2"/>
  </mergeCells>
  <printOptions horizontalCentered="1" verticalCentered="1"/>
  <pageMargins left="0" right="0" top="0" bottom="0" header="0.31496062992125984" footer="0.31496062992125984"/>
  <pageSetup paperSize="9" scale="27" orientation="portrait" r:id="rId1"/>
  <headerFooter>
    <oddHeader>&amp;R&amp;18 5. melléklet a &amp;22 3/2026.(II.27.) önkormányzati rendelethez</oddHeader>
  </headerFooter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844D-8366-4153-9BB8-CDFFD77F9A69}">
  <sheetPr>
    <tabColor theme="0" tint="-4.9989318521683403E-2"/>
  </sheetPr>
  <dimension ref="A2:M54"/>
  <sheetViews>
    <sheetView topLeftCell="F21" zoomScale="60" zoomScaleNormal="60" workbookViewId="0">
      <selection activeCell="Q44" sqref="Q44"/>
    </sheetView>
  </sheetViews>
  <sheetFormatPr defaultRowHeight="26.45" customHeight="1" x14ac:dyDescent="0.35"/>
  <cols>
    <col min="1" max="1" width="144.1640625" style="685" customWidth="1"/>
    <col min="2" max="2" width="41.5" style="686" customWidth="1"/>
    <col min="3" max="5" width="41.6640625" style="686" customWidth="1"/>
    <col min="6" max="7" width="41.5" style="640" customWidth="1"/>
    <col min="8" max="8" width="144.1640625" style="685" customWidth="1"/>
    <col min="9" max="9" width="49" style="640" customWidth="1"/>
    <col min="10" max="10" width="48.83203125" style="640" customWidth="1"/>
    <col min="11" max="11" width="49" style="640" customWidth="1"/>
    <col min="12" max="13" width="48.83203125" style="640" customWidth="1"/>
    <col min="14" max="254" width="9.33203125" style="671"/>
    <col min="255" max="255" width="144.1640625" style="671" customWidth="1"/>
    <col min="256" max="256" width="41.5" style="671" customWidth="1"/>
    <col min="257" max="259" width="41.6640625" style="671" customWidth="1"/>
    <col min="260" max="261" width="41.5" style="671" customWidth="1"/>
    <col min="262" max="262" width="144.1640625" style="671" customWidth="1"/>
    <col min="263" max="263" width="49" style="671" customWidth="1"/>
    <col min="264" max="264" width="48.83203125" style="671" customWidth="1"/>
    <col min="265" max="265" width="49" style="671" customWidth="1"/>
    <col min="266" max="267" width="48.83203125" style="671" customWidth="1"/>
    <col min="268" max="268" width="6.6640625" style="671" customWidth="1"/>
    <col min="269" max="269" width="31.83203125" style="671" customWidth="1"/>
    <col min="270" max="510" width="9.33203125" style="671"/>
    <col min="511" max="511" width="144.1640625" style="671" customWidth="1"/>
    <col min="512" max="512" width="41.5" style="671" customWidth="1"/>
    <col min="513" max="515" width="41.6640625" style="671" customWidth="1"/>
    <col min="516" max="517" width="41.5" style="671" customWidth="1"/>
    <col min="518" max="518" width="144.1640625" style="671" customWidth="1"/>
    <col min="519" max="519" width="49" style="671" customWidth="1"/>
    <col min="520" max="520" width="48.83203125" style="671" customWidth="1"/>
    <col min="521" max="521" width="49" style="671" customWidth="1"/>
    <col min="522" max="523" width="48.83203125" style="671" customWidth="1"/>
    <col min="524" max="524" width="6.6640625" style="671" customWidth="1"/>
    <col min="525" max="525" width="31.83203125" style="671" customWidth="1"/>
    <col min="526" max="766" width="9.33203125" style="671"/>
    <col min="767" max="767" width="144.1640625" style="671" customWidth="1"/>
    <col min="768" max="768" width="41.5" style="671" customWidth="1"/>
    <col min="769" max="771" width="41.6640625" style="671" customWidth="1"/>
    <col min="772" max="773" width="41.5" style="671" customWidth="1"/>
    <col min="774" max="774" width="144.1640625" style="671" customWidth="1"/>
    <col min="775" max="775" width="49" style="671" customWidth="1"/>
    <col min="776" max="776" width="48.83203125" style="671" customWidth="1"/>
    <col min="777" max="777" width="49" style="671" customWidth="1"/>
    <col min="778" max="779" width="48.83203125" style="671" customWidth="1"/>
    <col min="780" max="780" width="6.6640625" style="671" customWidth="1"/>
    <col min="781" max="781" width="31.83203125" style="671" customWidth="1"/>
    <col min="782" max="1022" width="9.33203125" style="671"/>
    <col min="1023" max="1023" width="144.1640625" style="671" customWidth="1"/>
    <col min="1024" max="1024" width="41.5" style="671" customWidth="1"/>
    <col min="1025" max="1027" width="41.6640625" style="671" customWidth="1"/>
    <col min="1028" max="1029" width="41.5" style="671" customWidth="1"/>
    <col min="1030" max="1030" width="144.1640625" style="671" customWidth="1"/>
    <col min="1031" max="1031" width="49" style="671" customWidth="1"/>
    <col min="1032" max="1032" width="48.83203125" style="671" customWidth="1"/>
    <col min="1033" max="1033" width="49" style="671" customWidth="1"/>
    <col min="1034" max="1035" width="48.83203125" style="671" customWidth="1"/>
    <col min="1036" max="1036" width="6.6640625" style="671" customWidth="1"/>
    <col min="1037" max="1037" width="31.83203125" style="671" customWidth="1"/>
    <col min="1038" max="1278" width="9.33203125" style="671"/>
    <col min="1279" max="1279" width="144.1640625" style="671" customWidth="1"/>
    <col min="1280" max="1280" width="41.5" style="671" customWidth="1"/>
    <col min="1281" max="1283" width="41.6640625" style="671" customWidth="1"/>
    <col min="1284" max="1285" width="41.5" style="671" customWidth="1"/>
    <col min="1286" max="1286" width="144.1640625" style="671" customWidth="1"/>
    <col min="1287" max="1287" width="49" style="671" customWidth="1"/>
    <col min="1288" max="1288" width="48.83203125" style="671" customWidth="1"/>
    <col min="1289" max="1289" width="49" style="671" customWidth="1"/>
    <col min="1290" max="1291" width="48.83203125" style="671" customWidth="1"/>
    <col min="1292" max="1292" width="6.6640625" style="671" customWidth="1"/>
    <col min="1293" max="1293" width="31.83203125" style="671" customWidth="1"/>
    <col min="1294" max="1534" width="9.33203125" style="671"/>
    <col min="1535" max="1535" width="144.1640625" style="671" customWidth="1"/>
    <col min="1536" max="1536" width="41.5" style="671" customWidth="1"/>
    <col min="1537" max="1539" width="41.6640625" style="671" customWidth="1"/>
    <col min="1540" max="1541" width="41.5" style="671" customWidth="1"/>
    <col min="1542" max="1542" width="144.1640625" style="671" customWidth="1"/>
    <col min="1543" max="1543" width="49" style="671" customWidth="1"/>
    <col min="1544" max="1544" width="48.83203125" style="671" customWidth="1"/>
    <col min="1545" max="1545" width="49" style="671" customWidth="1"/>
    <col min="1546" max="1547" width="48.83203125" style="671" customWidth="1"/>
    <col min="1548" max="1548" width="6.6640625" style="671" customWidth="1"/>
    <col min="1549" max="1549" width="31.83203125" style="671" customWidth="1"/>
    <col min="1550" max="1790" width="9.33203125" style="671"/>
    <col min="1791" max="1791" width="144.1640625" style="671" customWidth="1"/>
    <col min="1792" max="1792" width="41.5" style="671" customWidth="1"/>
    <col min="1793" max="1795" width="41.6640625" style="671" customWidth="1"/>
    <col min="1796" max="1797" width="41.5" style="671" customWidth="1"/>
    <col min="1798" max="1798" width="144.1640625" style="671" customWidth="1"/>
    <col min="1799" max="1799" width="49" style="671" customWidth="1"/>
    <col min="1800" max="1800" width="48.83203125" style="671" customWidth="1"/>
    <col min="1801" max="1801" width="49" style="671" customWidth="1"/>
    <col min="1802" max="1803" width="48.83203125" style="671" customWidth="1"/>
    <col min="1804" max="1804" width="6.6640625" style="671" customWidth="1"/>
    <col min="1805" max="1805" width="31.83203125" style="671" customWidth="1"/>
    <col min="1806" max="2046" width="9.33203125" style="671"/>
    <col min="2047" max="2047" width="144.1640625" style="671" customWidth="1"/>
    <col min="2048" max="2048" width="41.5" style="671" customWidth="1"/>
    <col min="2049" max="2051" width="41.6640625" style="671" customWidth="1"/>
    <col min="2052" max="2053" width="41.5" style="671" customWidth="1"/>
    <col min="2054" max="2054" width="144.1640625" style="671" customWidth="1"/>
    <col min="2055" max="2055" width="49" style="671" customWidth="1"/>
    <col min="2056" max="2056" width="48.83203125" style="671" customWidth="1"/>
    <col min="2057" max="2057" width="49" style="671" customWidth="1"/>
    <col min="2058" max="2059" width="48.83203125" style="671" customWidth="1"/>
    <col min="2060" max="2060" width="6.6640625" style="671" customWidth="1"/>
    <col min="2061" max="2061" width="31.83203125" style="671" customWidth="1"/>
    <col min="2062" max="2302" width="9.33203125" style="671"/>
    <col min="2303" max="2303" width="144.1640625" style="671" customWidth="1"/>
    <col min="2304" max="2304" width="41.5" style="671" customWidth="1"/>
    <col min="2305" max="2307" width="41.6640625" style="671" customWidth="1"/>
    <col min="2308" max="2309" width="41.5" style="671" customWidth="1"/>
    <col min="2310" max="2310" width="144.1640625" style="671" customWidth="1"/>
    <col min="2311" max="2311" width="49" style="671" customWidth="1"/>
    <col min="2312" max="2312" width="48.83203125" style="671" customWidth="1"/>
    <col min="2313" max="2313" width="49" style="671" customWidth="1"/>
    <col min="2314" max="2315" width="48.83203125" style="671" customWidth="1"/>
    <col min="2316" max="2316" width="6.6640625" style="671" customWidth="1"/>
    <col min="2317" max="2317" width="31.83203125" style="671" customWidth="1"/>
    <col min="2318" max="2558" width="9.33203125" style="671"/>
    <col min="2559" max="2559" width="144.1640625" style="671" customWidth="1"/>
    <col min="2560" max="2560" width="41.5" style="671" customWidth="1"/>
    <col min="2561" max="2563" width="41.6640625" style="671" customWidth="1"/>
    <col min="2564" max="2565" width="41.5" style="671" customWidth="1"/>
    <col min="2566" max="2566" width="144.1640625" style="671" customWidth="1"/>
    <col min="2567" max="2567" width="49" style="671" customWidth="1"/>
    <col min="2568" max="2568" width="48.83203125" style="671" customWidth="1"/>
    <col min="2569" max="2569" width="49" style="671" customWidth="1"/>
    <col min="2570" max="2571" width="48.83203125" style="671" customWidth="1"/>
    <col min="2572" max="2572" width="6.6640625" style="671" customWidth="1"/>
    <col min="2573" max="2573" width="31.83203125" style="671" customWidth="1"/>
    <col min="2574" max="2814" width="9.33203125" style="671"/>
    <col min="2815" max="2815" width="144.1640625" style="671" customWidth="1"/>
    <col min="2816" max="2816" width="41.5" style="671" customWidth="1"/>
    <col min="2817" max="2819" width="41.6640625" style="671" customWidth="1"/>
    <col min="2820" max="2821" width="41.5" style="671" customWidth="1"/>
    <col min="2822" max="2822" width="144.1640625" style="671" customWidth="1"/>
    <col min="2823" max="2823" width="49" style="671" customWidth="1"/>
    <col min="2824" max="2824" width="48.83203125" style="671" customWidth="1"/>
    <col min="2825" max="2825" width="49" style="671" customWidth="1"/>
    <col min="2826" max="2827" width="48.83203125" style="671" customWidth="1"/>
    <col min="2828" max="2828" width="6.6640625" style="671" customWidth="1"/>
    <col min="2829" max="2829" width="31.83203125" style="671" customWidth="1"/>
    <col min="2830" max="3070" width="9.33203125" style="671"/>
    <col min="3071" max="3071" width="144.1640625" style="671" customWidth="1"/>
    <col min="3072" max="3072" width="41.5" style="671" customWidth="1"/>
    <col min="3073" max="3075" width="41.6640625" style="671" customWidth="1"/>
    <col min="3076" max="3077" width="41.5" style="671" customWidth="1"/>
    <col min="3078" max="3078" width="144.1640625" style="671" customWidth="1"/>
    <col min="3079" max="3079" width="49" style="671" customWidth="1"/>
    <col min="3080" max="3080" width="48.83203125" style="671" customWidth="1"/>
    <col min="3081" max="3081" width="49" style="671" customWidth="1"/>
    <col min="3082" max="3083" width="48.83203125" style="671" customWidth="1"/>
    <col min="3084" max="3084" width="6.6640625" style="671" customWidth="1"/>
    <col min="3085" max="3085" width="31.83203125" style="671" customWidth="1"/>
    <col min="3086" max="3326" width="9.33203125" style="671"/>
    <col min="3327" max="3327" width="144.1640625" style="671" customWidth="1"/>
    <col min="3328" max="3328" width="41.5" style="671" customWidth="1"/>
    <col min="3329" max="3331" width="41.6640625" style="671" customWidth="1"/>
    <col min="3332" max="3333" width="41.5" style="671" customWidth="1"/>
    <col min="3334" max="3334" width="144.1640625" style="671" customWidth="1"/>
    <col min="3335" max="3335" width="49" style="671" customWidth="1"/>
    <col min="3336" max="3336" width="48.83203125" style="671" customWidth="1"/>
    <col min="3337" max="3337" width="49" style="671" customWidth="1"/>
    <col min="3338" max="3339" width="48.83203125" style="671" customWidth="1"/>
    <col min="3340" max="3340" width="6.6640625" style="671" customWidth="1"/>
    <col min="3341" max="3341" width="31.83203125" style="671" customWidth="1"/>
    <col min="3342" max="3582" width="9.33203125" style="671"/>
    <col min="3583" max="3583" width="144.1640625" style="671" customWidth="1"/>
    <col min="3584" max="3584" width="41.5" style="671" customWidth="1"/>
    <col min="3585" max="3587" width="41.6640625" style="671" customWidth="1"/>
    <col min="3588" max="3589" width="41.5" style="671" customWidth="1"/>
    <col min="3590" max="3590" width="144.1640625" style="671" customWidth="1"/>
    <col min="3591" max="3591" width="49" style="671" customWidth="1"/>
    <col min="3592" max="3592" width="48.83203125" style="671" customWidth="1"/>
    <col min="3593" max="3593" width="49" style="671" customWidth="1"/>
    <col min="3594" max="3595" width="48.83203125" style="671" customWidth="1"/>
    <col min="3596" max="3596" width="6.6640625" style="671" customWidth="1"/>
    <col min="3597" max="3597" width="31.83203125" style="671" customWidth="1"/>
    <col min="3598" max="3838" width="9.33203125" style="671"/>
    <col min="3839" max="3839" width="144.1640625" style="671" customWidth="1"/>
    <col min="3840" max="3840" width="41.5" style="671" customWidth="1"/>
    <col min="3841" max="3843" width="41.6640625" style="671" customWidth="1"/>
    <col min="3844" max="3845" width="41.5" style="671" customWidth="1"/>
    <col min="3846" max="3846" width="144.1640625" style="671" customWidth="1"/>
    <col min="3847" max="3847" width="49" style="671" customWidth="1"/>
    <col min="3848" max="3848" width="48.83203125" style="671" customWidth="1"/>
    <col min="3849" max="3849" width="49" style="671" customWidth="1"/>
    <col min="3850" max="3851" width="48.83203125" style="671" customWidth="1"/>
    <col min="3852" max="3852" width="6.6640625" style="671" customWidth="1"/>
    <col min="3853" max="3853" width="31.83203125" style="671" customWidth="1"/>
    <col min="3854" max="4094" width="9.33203125" style="671"/>
    <col min="4095" max="4095" width="144.1640625" style="671" customWidth="1"/>
    <col min="4096" max="4096" width="41.5" style="671" customWidth="1"/>
    <col min="4097" max="4099" width="41.6640625" style="671" customWidth="1"/>
    <col min="4100" max="4101" width="41.5" style="671" customWidth="1"/>
    <col min="4102" max="4102" width="144.1640625" style="671" customWidth="1"/>
    <col min="4103" max="4103" width="49" style="671" customWidth="1"/>
    <col min="4104" max="4104" width="48.83203125" style="671" customWidth="1"/>
    <col min="4105" max="4105" width="49" style="671" customWidth="1"/>
    <col min="4106" max="4107" width="48.83203125" style="671" customWidth="1"/>
    <col min="4108" max="4108" width="6.6640625" style="671" customWidth="1"/>
    <col min="4109" max="4109" width="31.83203125" style="671" customWidth="1"/>
    <col min="4110" max="4350" width="9.33203125" style="671"/>
    <col min="4351" max="4351" width="144.1640625" style="671" customWidth="1"/>
    <col min="4352" max="4352" width="41.5" style="671" customWidth="1"/>
    <col min="4353" max="4355" width="41.6640625" style="671" customWidth="1"/>
    <col min="4356" max="4357" width="41.5" style="671" customWidth="1"/>
    <col min="4358" max="4358" width="144.1640625" style="671" customWidth="1"/>
    <col min="4359" max="4359" width="49" style="671" customWidth="1"/>
    <col min="4360" max="4360" width="48.83203125" style="671" customWidth="1"/>
    <col min="4361" max="4361" width="49" style="671" customWidth="1"/>
    <col min="4362" max="4363" width="48.83203125" style="671" customWidth="1"/>
    <col min="4364" max="4364" width="6.6640625" style="671" customWidth="1"/>
    <col min="4365" max="4365" width="31.83203125" style="671" customWidth="1"/>
    <col min="4366" max="4606" width="9.33203125" style="671"/>
    <col min="4607" max="4607" width="144.1640625" style="671" customWidth="1"/>
    <col min="4608" max="4608" width="41.5" style="671" customWidth="1"/>
    <col min="4609" max="4611" width="41.6640625" style="671" customWidth="1"/>
    <col min="4612" max="4613" width="41.5" style="671" customWidth="1"/>
    <col min="4614" max="4614" width="144.1640625" style="671" customWidth="1"/>
    <col min="4615" max="4615" width="49" style="671" customWidth="1"/>
    <col min="4616" max="4616" width="48.83203125" style="671" customWidth="1"/>
    <col min="4617" max="4617" width="49" style="671" customWidth="1"/>
    <col min="4618" max="4619" width="48.83203125" style="671" customWidth="1"/>
    <col min="4620" max="4620" width="6.6640625" style="671" customWidth="1"/>
    <col min="4621" max="4621" width="31.83203125" style="671" customWidth="1"/>
    <col min="4622" max="4862" width="9.33203125" style="671"/>
    <col min="4863" max="4863" width="144.1640625" style="671" customWidth="1"/>
    <col min="4864" max="4864" width="41.5" style="671" customWidth="1"/>
    <col min="4865" max="4867" width="41.6640625" style="671" customWidth="1"/>
    <col min="4868" max="4869" width="41.5" style="671" customWidth="1"/>
    <col min="4870" max="4870" width="144.1640625" style="671" customWidth="1"/>
    <col min="4871" max="4871" width="49" style="671" customWidth="1"/>
    <col min="4872" max="4872" width="48.83203125" style="671" customWidth="1"/>
    <col min="4873" max="4873" width="49" style="671" customWidth="1"/>
    <col min="4874" max="4875" width="48.83203125" style="671" customWidth="1"/>
    <col min="4876" max="4876" width="6.6640625" style="671" customWidth="1"/>
    <col min="4877" max="4877" width="31.83203125" style="671" customWidth="1"/>
    <col min="4878" max="5118" width="9.33203125" style="671"/>
    <col min="5119" max="5119" width="144.1640625" style="671" customWidth="1"/>
    <col min="5120" max="5120" width="41.5" style="671" customWidth="1"/>
    <col min="5121" max="5123" width="41.6640625" style="671" customWidth="1"/>
    <col min="5124" max="5125" width="41.5" style="671" customWidth="1"/>
    <col min="5126" max="5126" width="144.1640625" style="671" customWidth="1"/>
    <col min="5127" max="5127" width="49" style="671" customWidth="1"/>
    <col min="5128" max="5128" width="48.83203125" style="671" customWidth="1"/>
    <col min="5129" max="5129" width="49" style="671" customWidth="1"/>
    <col min="5130" max="5131" width="48.83203125" style="671" customWidth="1"/>
    <col min="5132" max="5132" width="6.6640625" style="671" customWidth="1"/>
    <col min="5133" max="5133" width="31.83203125" style="671" customWidth="1"/>
    <col min="5134" max="5374" width="9.33203125" style="671"/>
    <col min="5375" max="5375" width="144.1640625" style="671" customWidth="1"/>
    <col min="5376" max="5376" width="41.5" style="671" customWidth="1"/>
    <col min="5377" max="5379" width="41.6640625" style="671" customWidth="1"/>
    <col min="5380" max="5381" width="41.5" style="671" customWidth="1"/>
    <col min="5382" max="5382" width="144.1640625" style="671" customWidth="1"/>
    <col min="5383" max="5383" width="49" style="671" customWidth="1"/>
    <col min="5384" max="5384" width="48.83203125" style="671" customWidth="1"/>
    <col min="5385" max="5385" width="49" style="671" customWidth="1"/>
    <col min="5386" max="5387" width="48.83203125" style="671" customWidth="1"/>
    <col min="5388" max="5388" width="6.6640625" style="671" customWidth="1"/>
    <col min="5389" max="5389" width="31.83203125" style="671" customWidth="1"/>
    <col min="5390" max="5630" width="9.33203125" style="671"/>
    <col min="5631" max="5631" width="144.1640625" style="671" customWidth="1"/>
    <col min="5632" max="5632" width="41.5" style="671" customWidth="1"/>
    <col min="5633" max="5635" width="41.6640625" style="671" customWidth="1"/>
    <col min="5636" max="5637" width="41.5" style="671" customWidth="1"/>
    <col min="5638" max="5638" width="144.1640625" style="671" customWidth="1"/>
    <col min="5639" max="5639" width="49" style="671" customWidth="1"/>
    <col min="5640" max="5640" width="48.83203125" style="671" customWidth="1"/>
    <col min="5641" max="5641" width="49" style="671" customWidth="1"/>
    <col min="5642" max="5643" width="48.83203125" style="671" customWidth="1"/>
    <col min="5644" max="5644" width="6.6640625" style="671" customWidth="1"/>
    <col min="5645" max="5645" width="31.83203125" style="671" customWidth="1"/>
    <col min="5646" max="5886" width="9.33203125" style="671"/>
    <col min="5887" max="5887" width="144.1640625" style="671" customWidth="1"/>
    <col min="5888" max="5888" width="41.5" style="671" customWidth="1"/>
    <col min="5889" max="5891" width="41.6640625" style="671" customWidth="1"/>
    <col min="5892" max="5893" width="41.5" style="671" customWidth="1"/>
    <col min="5894" max="5894" width="144.1640625" style="671" customWidth="1"/>
    <col min="5895" max="5895" width="49" style="671" customWidth="1"/>
    <col min="5896" max="5896" width="48.83203125" style="671" customWidth="1"/>
    <col min="5897" max="5897" width="49" style="671" customWidth="1"/>
    <col min="5898" max="5899" width="48.83203125" style="671" customWidth="1"/>
    <col min="5900" max="5900" width="6.6640625" style="671" customWidth="1"/>
    <col min="5901" max="5901" width="31.83203125" style="671" customWidth="1"/>
    <col min="5902" max="6142" width="9.33203125" style="671"/>
    <col min="6143" max="6143" width="144.1640625" style="671" customWidth="1"/>
    <col min="6144" max="6144" width="41.5" style="671" customWidth="1"/>
    <col min="6145" max="6147" width="41.6640625" style="671" customWidth="1"/>
    <col min="6148" max="6149" width="41.5" style="671" customWidth="1"/>
    <col min="6150" max="6150" width="144.1640625" style="671" customWidth="1"/>
    <col min="6151" max="6151" width="49" style="671" customWidth="1"/>
    <col min="6152" max="6152" width="48.83203125" style="671" customWidth="1"/>
    <col min="6153" max="6153" width="49" style="671" customWidth="1"/>
    <col min="6154" max="6155" width="48.83203125" style="671" customWidth="1"/>
    <col min="6156" max="6156" width="6.6640625" style="671" customWidth="1"/>
    <col min="6157" max="6157" width="31.83203125" style="671" customWidth="1"/>
    <col min="6158" max="6398" width="9.33203125" style="671"/>
    <col min="6399" max="6399" width="144.1640625" style="671" customWidth="1"/>
    <col min="6400" max="6400" width="41.5" style="671" customWidth="1"/>
    <col min="6401" max="6403" width="41.6640625" style="671" customWidth="1"/>
    <col min="6404" max="6405" width="41.5" style="671" customWidth="1"/>
    <col min="6406" max="6406" width="144.1640625" style="671" customWidth="1"/>
    <col min="6407" max="6407" width="49" style="671" customWidth="1"/>
    <col min="6408" max="6408" width="48.83203125" style="671" customWidth="1"/>
    <col min="6409" max="6409" width="49" style="671" customWidth="1"/>
    <col min="6410" max="6411" width="48.83203125" style="671" customWidth="1"/>
    <col min="6412" max="6412" width="6.6640625" style="671" customWidth="1"/>
    <col min="6413" max="6413" width="31.83203125" style="671" customWidth="1"/>
    <col min="6414" max="6654" width="9.33203125" style="671"/>
    <col min="6655" max="6655" width="144.1640625" style="671" customWidth="1"/>
    <col min="6656" max="6656" width="41.5" style="671" customWidth="1"/>
    <col min="6657" max="6659" width="41.6640625" style="671" customWidth="1"/>
    <col min="6660" max="6661" width="41.5" style="671" customWidth="1"/>
    <col min="6662" max="6662" width="144.1640625" style="671" customWidth="1"/>
    <col min="6663" max="6663" width="49" style="671" customWidth="1"/>
    <col min="6664" max="6664" width="48.83203125" style="671" customWidth="1"/>
    <col min="6665" max="6665" width="49" style="671" customWidth="1"/>
    <col min="6666" max="6667" width="48.83203125" style="671" customWidth="1"/>
    <col min="6668" max="6668" width="6.6640625" style="671" customWidth="1"/>
    <col min="6669" max="6669" width="31.83203125" style="671" customWidth="1"/>
    <col min="6670" max="6910" width="9.33203125" style="671"/>
    <col min="6911" max="6911" width="144.1640625" style="671" customWidth="1"/>
    <col min="6912" max="6912" width="41.5" style="671" customWidth="1"/>
    <col min="6913" max="6915" width="41.6640625" style="671" customWidth="1"/>
    <col min="6916" max="6917" width="41.5" style="671" customWidth="1"/>
    <col min="6918" max="6918" width="144.1640625" style="671" customWidth="1"/>
    <col min="6919" max="6919" width="49" style="671" customWidth="1"/>
    <col min="6920" max="6920" width="48.83203125" style="671" customWidth="1"/>
    <col min="6921" max="6921" width="49" style="671" customWidth="1"/>
    <col min="6922" max="6923" width="48.83203125" style="671" customWidth="1"/>
    <col min="6924" max="6924" width="6.6640625" style="671" customWidth="1"/>
    <col min="6925" max="6925" width="31.83203125" style="671" customWidth="1"/>
    <col min="6926" max="7166" width="9.33203125" style="671"/>
    <col min="7167" max="7167" width="144.1640625" style="671" customWidth="1"/>
    <col min="7168" max="7168" width="41.5" style="671" customWidth="1"/>
    <col min="7169" max="7171" width="41.6640625" style="671" customWidth="1"/>
    <col min="7172" max="7173" width="41.5" style="671" customWidth="1"/>
    <col min="7174" max="7174" width="144.1640625" style="671" customWidth="1"/>
    <col min="7175" max="7175" width="49" style="671" customWidth="1"/>
    <col min="7176" max="7176" width="48.83203125" style="671" customWidth="1"/>
    <col min="7177" max="7177" width="49" style="671" customWidth="1"/>
    <col min="7178" max="7179" width="48.83203125" style="671" customWidth="1"/>
    <col min="7180" max="7180" width="6.6640625" style="671" customWidth="1"/>
    <col min="7181" max="7181" width="31.83203125" style="671" customWidth="1"/>
    <col min="7182" max="7422" width="9.33203125" style="671"/>
    <col min="7423" max="7423" width="144.1640625" style="671" customWidth="1"/>
    <col min="7424" max="7424" width="41.5" style="671" customWidth="1"/>
    <col min="7425" max="7427" width="41.6640625" style="671" customWidth="1"/>
    <col min="7428" max="7429" width="41.5" style="671" customWidth="1"/>
    <col min="7430" max="7430" width="144.1640625" style="671" customWidth="1"/>
    <col min="7431" max="7431" width="49" style="671" customWidth="1"/>
    <col min="7432" max="7432" width="48.83203125" style="671" customWidth="1"/>
    <col min="7433" max="7433" width="49" style="671" customWidth="1"/>
    <col min="7434" max="7435" width="48.83203125" style="671" customWidth="1"/>
    <col min="7436" max="7436" width="6.6640625" style="671" customWidth="1"/>
    <col min="7437" max="7437" width="31.83203125" style="671" customWidth="1"/>
    <col min="7438" max="7678" width="9.33203125" style="671"/>
    <col min="7679" max="7679" width="144.1640625" style="671" customWidth="1"/>
    <col min="7680" max="7680" width="41.5" style="671" customWidth="1"/>
    <col min="7681" max="7683" width="41.6640625" style="671" customWidth="1"/>
    <col min="7684" max="7685" width="41.5" style="671" customWidth="1"/>
    <col min="7686" max="7686" width="144.1640625" style="671" customWidth="1"/>
    <col min="7687" max="7687" width="49" style="671" customWidth="1"/>
    <col min="7688" max="7688" width="48.83203125" style="671" customWidth="1"/>
    <col min="7689" max="7689" width="49" style="671" customWidth="1"/>
    <col min="7690" max="7691" width="48.83203125" style="671" customWidth="1"/>
    <col min="7692" max="7692" width="6.6640625" style="671" customWidth="1"/>
    <col min="7693" max="7693" width="31.83203125" style="671" customWidth="1"/>
    <col min="7694" max="7934" width="9.33203125" style="671"/>
    <col min="7935" max="7935" width="144.1640625" style="671" customWidth="1"/>
    <col min="7936" max="7936" width="41.5" style="671" customWidth="1"/>
    <col min="7937" max="7939" width="41.6640625" style="671" customWidth="1"/>
    <col min="7940" max="7941" width="41.5" style="671" customWidth="1"/>
    <col min="7942" max="7942" width="144.1640625" style="671" customWidth="1"/>
    <col min="7943" max="7943" width="49" style="671" customWidth="1"/>
    <col min="7944" max="7944" width="48.83203125" style="671" customWidth="1"/>
    <col min="7945" max="7945" width="49" style="671" customWidth="1"/>
    <col min="7946" max="7947" width="48.83203125" style="671" customWidth="1"/>
    <col min="7948" max="7948" width="6.6640625" style="671" customWidth="1"/>
    <col min="7949" max="7949" width="31.83203125" style="671" customWidth="1"/>
    <col min="7950" max="8190" width="9.33203125" style="671"/>
    <col min="8191" max="8191" width="144.1640625" style="671" customWidth="1"/>
    <col min="8192" max="8192" width="41.5" style="671" customWidth="1"/>
    <col min="8193" max="8195" width="41.6640625" style="671" customWidth="1"/>
    <col min="8196" max="8197" width="41.5" style="671" customWidth="1"/>
    <col min="8198" max="8198" width="144.1640625" style="671" customWidth="1"/>
    <col min="8199" max="8199" width="49" style="671" customWidth="1"/>
    <col min="8200" max="8200" width="48.83203125" style="671" customWidth="1"/>
    <col min="8201" max="8201" width="49" style="671" customWidth="1"/>
    <col min="8202" max="8203" width="48.83203125" style="671" customWidth="1"/>
    <col min="8204" max="8204" width="6.6640625" style="671" customWidth="1"/>
    <col min="8205" max="8205" width="31.83203125" style="671" customWidth="1"/>
    <col min="8206" max="8446" width="9.33203125" style="671"/>
    <col min="8447" max="8447" width="144.1640625" style="671" customWidth="1"/>
    <col min="8448" max="8448" width="41.5" style="671" customWidth="1"/>
    <col min="8449" max="8451" width="41.6640625" style="671" customWidth="1"/>
    <col min="8452" max="8453" width="41.5" style="671" customWidth="1"/>
    <col min="8454" max="8454" width="144.1640625" style="671" customWidth="1"/>
    <col min="8455" max="8455" width="49" style="671" customWidth="1"/>
    <col min="8456" max="8456" width="48.83203125" style="671" customWidth="1"/>
    <col min="8457" max="8457" width="49" style="671" customWidth="1"/>
    <col min="8458" max="8459" width="48.83203125" style="671" customWidth="1"/>
    <col min="8460" max="8460" width="6.6640625" style="671" customWidth="1"/>
    <col min="8461" max="8461" width="31.83203125" style="671" customWidth="1"/>
    <col min="8462" max="8702" width="9.33203125" style="671"/>
    <col min="8703" max="8703" width="144.1640625" style="671" customWidth="1"/>
    <col min="8704" max="8704" width="41.5" style="671" customWidth="1"/>
    <col min="8705" max="8707" width="41.6640625" style="671" customWidth="1"/>
    <col min="8708" max="8709" width="41.5" style="671" customWidth="1"/>
    <col min="8710" max="8710" width="144.1640625" style="671" customWidth="1"/>
    <col min="8711" max="8711" width="49" style="671" customWidth="1"/>
    <col min="8712" max="8712" width="48.83203125" style="671" customWidth="1"/>
    <col min="8713" max="8713" width="49" style="671" customWidth="1"/>
    <col min="8714" max="8715" width="48.83203125" style="671" customWidth="1"/>
    <col min="8716" max="8716" width="6.6640625" style="671" customWidth="1"/>
    <col min="8717" max="8717" width="31.83203125" style="671" customWidth="1"/>
    <col min="8718" max="8958" width="9.33203125" style="671"/>
    <col min="8959" max="8959" width="144.1640625" style="671" customWidth="1"/>
    <col min="8960" max="8960" width="41.5" style="671" customWidth="1"/>
    <col min="8961" max="8963" width="41.6640625" style="671" customWidth="1"/>
    <col min="8964" max="8965" width="41.5" style="671" customWidth="1"/>
    <col min="8966" max="8966" width="144.1640625" style="671" customWidth="1"/>
    <col min="8967" max="8967" width="49" style="671" customWidth="1"/>
    <col min="8968" max="8968" width="48.83203125" style="671" customWidth="1"/>
    <col min="8969" max="8969" width="49" style="671" customWidth="1"/>
    <col min="8970" max="8971" width="48.83203125" style="671" customWidth="1"/>
    <col min="8972" max="8972" width="6.6640625" style="671" customWidth="1"/>
    <col min="8973" max="8973" width="31.83203125" style="671" customWidth="1"/>
    <col min="8974" max="9214" width="9.33203125" style="671"/>
    <col min="9215" max="9215" width="144.1640625" style="671" customWidth="1"/>
    <col min="9216" max="9216" width="41.5" style="671" customWidth="1"/>
    <col min="9217" max="9219" width="41.6640625" style="671" customWidth="1"/>
    <col min="9220" max="9221" width="41.5" style="671" customWidth="1"/>
    <col min="9222" max="9222" width="144.1640625" style="671" customWidth="1"/>
    <col min="9223" max="9223" width="49" style="671" customWidth="1"/>
    <col min="9224" max="9224" width="48.83203125" style="671" customWidth="1"/>
    <col min="9225" max="9225" width="49" style="671" customWidth="1"/>
    <col min="9226" max="9227" width="48.83203125" style="671" customWidth="1"/>
    <col min="9228" max="9228" width="6.6640625" style="671" customWidth="1"/>
    <col min="9229" max="9229" width="31.83203125" style="671" customWidth="1"/>
    <col min="9230" max="9470" width="9.33203125" style="671"/>
    <col min="9471" max="9471" width="144.1640625" style="671" customWidth="1"/>
    <col min="9472" max="9472" width="41.5" style="671" customWidth="1"/>
    <col min="9473" max="9475" width="41.6640625" style="671" customWidth="1"/>
    <col min="9476" max="9477" width="41.5" style="671" customWidth="1"/>
    <col min="9478" max="9478" width="144.1640625" style="671" customWidth="1"/>
    <col min="9479" max="9479" width="49" style="671" customWidth="1"/>
    <col min="9480" max="9480" width="48.83203125" style="671" customWidth="1"/>
    <col min="9481" max="9481" width="49" style="671" customWidth="1"/>
    <col min="9482" max="9483" width="48.83203125" style="671" customWidth="1"/>
    <col min="9484" max="9484" width="6.6640625" style="671" customWidth="1"/>
    <col min="9485" max="9485" width="31.83203125" style="671" customWidth="1"/>
    <col min="9486" max="9726" width="9.33203125" style="671"/>
    <col min="9727" max="9727" width="144.1640625" style="671" customWidth="1"/>
    <col min="9728" max="9728" width="41.5" style="671" customWidth="1"/>
    <col min="9729" max="9731" width="41.6640625" style="671" customWidth="1"/>
    <col min="9732" max="9733" width="41.5" style="671" customWidth="1"/>
    <col min="9734" max="9734" width="144.1640625" style="671" customWidth="1"/>
    <col min="9735" max="9735" width="49" style="671" customWidth="1"/>
    <col min="9736" max="9736" width="48.83203125" style="671" customWidth="1"/>
    <col min="9737" max="9737" width="49" style="671" customWidth="1"/>
    <col min="9738" max="9739" width="48.83203125" style="671" customWidth="1"/>
    <col min="9740" max="9740" width="6.6640625" style="671" customWidth="1"/>
    <col min="9741" max="9741" width="31.83203125" style="671" customWidth="1"/>
    <col min="9742" max="9982" width="9.33203125" style="671"/>
    <col min="9983" max="9983" width="144.1640625" style="671" customWidth="1"/>
    <col min="9984" max="9984" width="41.5" style="671" customWidth="1"/>
    <col min="9985" max="9987" width="41.6640625" style="671" customWidth="1"/>
    <col min="9988" max="9989" width="41.5" style="671" customWidth="1"/>
    <col min="9990" max="9990" width="144.1640625" style="671" customWidth="1"/>
    <col min="9991" max="9991" width="49" style="671" customWidth="1"/>
    <col min="9992" max="9992" width="48.83203125" style="671" customWidth="1"/>
    <col min="9993" max="9993" width="49" style="671" customWidth="1"/>
    <col min="9994" max="9995" width="48.83203125" style="671" customWidth="1"/>
    <col min="9996" max="9996" width="6.6640625" style="671" customWidth="1"/>
    <col min="9997" max="9997" width="31.83203125" style="671" customWidth="1"/>
    <col min="9998" max="10238" width="9.33203125" style="671"/>
    <col min="10239" max="10239" width="144.1640625" style="671" customWidth="1"/>
    <col min="10240" max="10240" width="41.5" style="671" customWidth="1"/>
    <col min="10241" max="10243" width="41.6640625" style="671" customWidth="1"/>
    <col min="10244" max="10245" width="41.5" style="671" customWidth="1"/>
    <col min="10246" max="10246" width="144.1640625" style="671" customWidth="1"/>
    <col min="10247" max="10247" width="49" style="671" customWidth="1"/>
    <col min="10248" max="10248" width="48.83203125" style="671" customWidth="1"/>
    <col min="10249" max="10249" width="49" style="671" customWidth="1"/>
    <col min="10250" max="10251" width="48.83203125" style="671" customWidth="1"/>
    <col min="10252" max="10252" width="6.6640625" style="671" customWidth="1"/>
    <col min="10253" max="10253" width="31.83203125" style="671" customWidth="1"/>
    <col min="10254" max="10494" width="9.33203125" style="671"/>
    <col min="10495" max="10495" width="144.1640625" style="671" customWidth="1"/>
    <col min="10496" max="10496" width="41.5" style="671" customWidth="1"/>
    <col min="10497" max="10499" width="41.6640625" style="671" customWidth="1"/>
    <col min="10500" max="10501" width="41.5" style="671" customWidth="1"/>
    <col min="10502" max="10502" width="144.1640625" style="671" customWidth="1"/>
    <col min="10503" max="10503" width="49" style="671" customWidth="1"/>
    <col min="10504" max="10504" width="48.83203125" style="671" customWidth="1"/>
    <col min="10505" max="10505" width="49" style="671" customWidth="1"/>
    <col min="10506" max="10507" width="48.83203125" style="671" customWidth="1"/>
    <col min="10508" max="10508" width="6.6640625" style="671" customWidth="1"/>
    <col min="10509" max="10509" width="31.83203125" style="671" customWidth="1"/>
    <col min="10510" max="10750" width="9.33203125" style="671"/>
    <col min="10751" max="10751" width="144.1640625" style="671" customWidth="1"/>
    <col min="10752" max="10752" width="41.5" style="671" customWidth="1"/>
    <col min="10753" max="10755" width="41.6640625" style="671" customWidth="1"/>
    <col min="10756" max="10757" width="41.5" style="671" customWidth="1"/>
    <col min="10758" max="10758" width="144.1640625" style="671" customWidth="1"/>
    <col min="10759" max="10759" width="49" style="671" customWidth="1"/>
    <col min="10760" max="10760" width="48.83203125" style="671" customWidth="1"/>
    <col min="10761" max="10761" width="49" style="671" customWidth="1"/>
    <col min="10762" max="10763" width="48.83203125" style="671" customWidth="1"/>
    <col min="10764" max="10764" width="6.6640625" style="671" customWidth="1"/>
    <col min="10765" max="10765" width="31.83203125" style="671" customWidth="1"/>
    <col min="10766" max="11006" width="9.33203125" style="671"/>
    <col min="11007" max="11007" width="144.1640625" style="671" customWidth="1"/>
    <col min="11008" max="11008" width="41.5" style="671" customWidth="1"/>
    <col min="11009" max="11011" width="41.6640625" style="671" customWidth="1"/>
    <col min="11012" max="11013" width="41.5" style="671" customWidth="1"/>
    <col min="11014" max="11014" width="144.1640625" style="671" customWidth="1"/>
    <col min="11015" max="11015" width="49" style="671" customWidth="1"/>
    <col min="11016" max="11016" width="48.83203125" style="671" customWidth="1"/>
    <col min="11017" max="11017" width="49" style="671" customWidth="1"/>
    <col min="11018" max="11019" width="48.83203125" style="671" customWidth="1"/>
    <col min="11020" max="11020" width="6.6640625" style="671" customWidth="1"/>
    <col min="11021" max="11021" width="31.83203125" style="671" customWidth="1"/>
    <col min="11022" max="11262" width="9.33203125" style="671"/>
    <col min="11263" max="11263" width="144.1640625" style="671" customWidth="1"/>
    <col min="11264" max="11264" width="41.5" style="671" customWidth="1"/>
    <col min="11265" max="11267" width="41.6640625" style="671" customWidth="1"/>
    <col min="11268" max="11269" width="41.5" style="671" customWidth="1"/>
    <col min="11270" max="11270" width="144.1640625" style="671" customWidth="1"/>
    <col min="11271" max="11271" width="49" style="671" customWidth="1"/>
    <col min="11272" max="11272" width="48.83203125" style="671" customWidth="1"/>
    <col min="11273" max="11273" width="49" style="671" customWidth="1"/>
    <col min="11274" max="11275" width="48.83203125" style="671" customWidth="1"/>
    <col min="11276" max="11276" width="6.6640625" style="671" customWidth="1"/>
    <col min="11277" max="11277" width="31.83203125" style="671" customWidth="1"/>
    <col min="11278" max="11518" width="9.33203125" style="671"/>
    <col min="11519" max="11519" width="144.1640625" style="671" customWidth="1"/>
    <col min="11520" max="11520" width="41.5" style="671" customWidth="1"/>
    <col min="11521" max="11523" width="41.6640625" style="671" customWidth="1"/>
    <col min="11524" max="11525" width="41.5" style="671" customWidth="1"/>
    <col min="11526" max="11526" width="144.1640625" style="671" customWidth="1"/>
    <col min="11527" max="11527" width="49" style="671" customWidth="1"/>
    <col min="11528" max="11528" width="48.83203125" style="671" customWidth="1"/>
    <col min="11529" max="11529" width="49" style="671" customWidth="1"/>
    <col min="11530" max="11531" width="48.83203125" style="671" customWidth="1"/>
    <col min="11532" max="11532" width="6.6640625" style="671" customWidth="1"/>
    <col min="11533" max="11533" width="31.83203125" style="671" customWidth="1"/>
    <col min="11534" max="11774" width="9.33203125" style="671"/>
    <col min="11775" max="11775" width="144.1640625" style="671" customWidth="1"/>
    <col min="11776" max="11776" width="41.5" style="671" customWidth="1"/>
    <col min="11777" max="11779" width="41.6640625" style="671" customWidth="1"/>
    <col min="11780" max="11781" width="41.5" style="671" customWidth="1"/>
    <col min="11782" max="11782" width="144.1640625" style="671" customWidth="1"/>
    <col min="11783" max="11783" width="49" style="671" customWidth="1"/>
    <col min="11784" max="11784" width="48.83203125" style="671" customWidth="1"/>
    <col min="11785" max="11785" width="49" style="671" customWidth="1"/>
    <col min="11786" max="11787" width="48.83203125" style="671" customWidth="1"/>
    <col min="11788" max="11788" width="6.6640625" style="671" customWidth="1"/>
    <col min="11789" max="11789" width="31.83203125" style="671" customWidth="1"/>
    <col min="11790" max="12030" width="9.33203125" style="671"/>
    <col min="12031" max="12031" width="144.1640625" style="671" customWidth="1"/>
    <col min="12032" max="12032" width="41.5" style="671" customWidth="1"/>
    <col min="12033" max="12035" width="41.6640625" style="671" customWidth="1"/>
    <col min="12036" max="12037" width="41.5" style="671" customWidth="1"/>
    <col min="12038" max="12038" width="144.1640625" style="671" customWidth="1"/>
    <col min="12039" max="12039" width="49" style="671" customWidth="1"/>
    <col min="12040" max="12040" width="48.83203125" style="671" customWidth="1"/>
    <col min="12041" max="12041" width="49" style="671" customWidth="1"/>
    <col min="12042" max="12043" width="48.83203125" style="671" customWidth="1"/>
    <col min="12044" max="12044" width="6.6640625" style="671" customWidth="1"/>
    <col min="12045" max="12045" width="31.83203125" style="671" customWidth="1"/>
    <col min="12046" max="12286" width="9.33203125" style="671"/>
    <col min="12287" max="12287" width="144.1640625" style="671" customWidth="1"/>
    <col min="12288" max="12288" width="41.5" style="671" customWidth="1"/>
    <col min="12289" max="12291" width="41.6640625" style="671" customWidth="1"/>
    <col min="12292" max="12293" width="41.5" style="671" customWidth="1"/>
    <col min="12294" max="12294" width="144.1640625" style="671" customWidth="1"/>
    <col min="12295" max="12295" width="49" style="671" customWidth="1"/>
    <col min="12296" max="12296" width="48.83203125" style="671" customWidth="1"/>
    <col min="12297" max="12297" width="49" style="671" customWidth="1"/>
    <col min="12298" max="12299" width="48.83203125" style="671" customWidth="1"/>
    <col min="12300" max="12300" width="6.6640625" style="671" customWidth="1"/>
    <col min="12301" max="12301" width="31.83203125" style="671" customWidth="1"/>
    <col min="12302" max="12542" width="9.33203125" style="671"/>
    <col min="12543" max="12543" width="144.1640625" style="671" customWidth="1"/>
    <col min="12544" max="12544" width="41.5" style="671" customWidth="1"/>
    <col min="12545" max="12547" width="41.6640625" style="671" customWidth="1"/>
    <col min="12548" max="12549" width="41.5" style="671" customWidth="1"/>
    <col min="12550" max="12550" width="144.1640625" style="671" customWidth="1"/>
    <col min="12551" max="12551" width="49" style="671" customWidth="1"/>
    <col min="12552" max="12552" width="48.83203125" style="671" customWidth="1"/>
    <col min="12553" max="12553" width="49" style="671" customWidth="1"/>
    <col min="12554" max="12555" width="48.83203125" style="671" customWidth="1"/>
    <col min="12556" max="12556" width="6.6640625" style="671" customWidth="1"/>
    <col min="12557" max="12557" width="31.83203125" style="671" customWidth="1"/>
    <col min="12558" max="12798" width="9.33203125" style="671"/>
    <col min="12799" max="12799" width="144.1640625" style="671" customWidth="1"/>
    <col min="12800" max="12800" width="41.5" style="671" customWidth="1"/>
    <col min="12801" max="12803" width="41.6640625" style="671" customWidth="1"/>
    <col min="12804" max="12805" width="41.5" style="671" customWidth="1"/>
    <col min="12806" max="12806" width="144.1640625" style="671" customWidth="1"/>
    <col min="12807" max="12807" width="49" style="671" customWidth="1"/>
    <col min="12808" max="12808" width="48.83203125" style="671" customWidth="1"/>
    <col min="12809" max="12809" width="49" style="671" customWidth="1"/>
    <col min="12810" max="12811" width="48.83203125" style="671" customWidth="1"/>
    <col min="12812" max="12812" width="6.6640625" style="671" customWidth="1"/>
    <col min="12813" max="12813" width="31.83203125" style="671" customWidth="1"/>
    <col min="12814" max="13054" width="9.33203125" style="671"/>
    <col min="13055" max="13055" width="144.1640625" style="671" customWidth="1"/>
    <col min="13056" max="13056" width="41.5" style="671" customWidth="1"/>
    <col min="13057" max="13059" width="41.6640625" style="671" customWidth="1"/>
    <col min="13060" max="13061" width="41.5" style="671" customWidth="1"/>
    <col min="13062" max="13062" width="144.1640625" style="671" customWidth="1"/>
    <col min="13063" max="13063" width="49" style="671" customWidth="1"/>
    <col min="13064" max="13064" width="48.83203125" style="671" customWidth="1"/>
    <col min="13065" max="13065" width="49" style="671" customWidth="1"/>
    <col min="13066" max="13067" width="48.83203125" style="671" customWidth="1"/>
    <col min="13068" max="13068" width="6.6640625" style="671" customWidth="1"/>
    <col min="13069" max="13069" width="31.83203125" style="671" customWidth="1"/>
    <col min="13070" max="13310" width="9.33203125" style="671"/>
    <col min="13311" max="13311" width="144.1640625" style="671" customWidth="1"/>
    <col min="13312" max="13312" width="41.5" style="671" customWidth="1"/>
    <col min="13313" max="13315" width="41.6640625" style="671" customWidth="1"/>
    <col min="13316" max="13317" width="41.5" style="671" customWidth="1"/>
    <col min="13318" max="13318" width="144.1640625" style="671" customWidth="1"/>
    <col min="13319" max="13319" width="49" style="671" customWidth="1"/>
    <col min="13320" max="13320" width="48.83203125" style="671" customWidth="1"/>
    <col min="13321" max="13321" width="49" style="671" customWidth="1"/>
    <col min="13322" max="13323" width="48.83203125" style="671" customWidth="1"/>
    <col min="13324" max="13324" width="6.6640625" style="671" customWidth="1"/>
    <col min="13325" max="13325" width="31.83203125" style="671" customWidth="1"/>
    <col min="13326" max="13566" width="9.33203125" style="671"/>
    <col min="13567" max="13567" width="144.1640625" style="671" customWidth="1"/>
    <col min="13568" max="13568" width="41.5" style="671" customWidth="1"/>
    <col min="13569" max="13571" width="41.6640625" style="671" customWidth="1"/>
    <col min="13572" max="13573" width="41.5" style="671" customWidth="1"/>
    <col min="13574" max="13574" width="144.1640625" style="671" customWidth="1"/>
    <col min="13575" max="13575" width="49" style="671" customWidth="1"/>
    <col min="13576" max="13576" width="48.83203125" style="671" customWidth="1"/>
    <col min="13577" max="13577" width="49" style="671" customWidth="1"/>
    <col min="13578" max="13579" width="48.83203125" style="671" customWidth="1"/>
    <col min="13580" max="13580" width="6.6640625" style="671" customWidth="1"/>
    <col min="13581" max="13581" width="31.83203125" style="671" customWidth="1"/>
    <col min="13582" max="13822" width="9.33203125" style="671"/>
    <col min="13823" max="13823" width="144.1640625" style="671" customWidth="1"/>
    <col min="13824" max="13824" width="41.5" style="671" customWidth="1"/>
    <col min="13825" max="13827" width="41.6640625" style="671" customWidth="1"/>
    <col min="13828" max="13829" width="41.5" style="671" customWidth="1"/>
    <col min="13830" max="13830" width="144.1640625" style="671" customWidth="1"/>
    <col min="13831" max="13831" width="49" style="671" customWidth="1"/>
    <col min="13832" max="13832" width="48.83203125" style="671" customWidth="1"/>
    <col min="13833" max="13833" width="49" style="671" customWidth="1"/>
    <col min="13834" max="13835" width="48.83203125" style="671" customWidth="1"/>
    <col min="13836" max="13836" width="6.6640625" style="671" customWidth="1"/>
    <col min="13837" max="13837" width="31.83203125" style="671" customWidth="1"/>
    <col min="13838" max="14078" width="9.33203125" style="671"/>
    <col min="14079" max="14079" width="144.1640625" style="671" customWidth="1"/>
    <col min="14080" max="14080" width="41.5" style="671" customWidth="1"/>
    <col min="14081" max="14083" width="41.6640625" style="671" customWidth="1"/>
    <col min="14084" max="14085" width="41.5" style="671" customWidth="1"/>
    <col min="14086" max="14086" width="144.1640625" style="671" customWidth="1"/>
    <col min="14087" max="14087" width="49" style="671" customWidth="1"/>
    <col min="14088" max="14088" width="48.83203125" style="671" customWidth="1"/>
    <col min="14089" max="14089" width="49" style="671" customWidth="1"/>
    <col min="14090" max="14091" width="48.83203125" style="671" customWidth="1"/>
    <col min="14092" max="14092" width="6.6640625" style="671" customWidth="1"/>
    <col min="14093" max="14093" width="31.83203125" style="671" customWidth="1"/>
    <col min="14094" max="14334" width="9.33203125" style="671"/>
    <col min="14335" max="14335" width="144.1640625" style="671" customWidth="1"/>
    <col min="14336" max="14336" width="41.5" style="671" customWidth="1"/>
    <col min="14337" max="14339" width="41.6640625" style="671" customWidth="1"/>
    <col min="14340" max="14341" width="41.5" style="671" customWidth="1"/>
    <col min="14342" max="14342" width="144.1640625" style="671" customWidth="1"/>
    <col min="14343" max="14343" width="49" style="671" customWidth="1"/>
    <col min="14344" max="14344" width="48.83203125" style="671" customWidth="1"/>
    <col min="14345" max="14345" width="49" style="671" customWidth="1"/>
    <col min="14346" max="14347" width="48.83203125" style="671" customWidth="1"/>
    <col min="14348" max="14348" width="6.6640625" style="671" customWidth="1"/>
    <col min="14349" max="14349" width="31.83203125" style="671" customWidth="1"/>
    <col min="14350" max="14590" width="9.33203125" style="671"/>
    <col min="14591" max="14591" width="144.1640625" style="671" customWidth="1"/>
    <col min="14592" max="14592" width="41.5" style="671" customWidth="1"/>
    <col min="14593" max="14595" width="41.6640625" style="671" customWidth="1"/>
    <col min="14596" max="14597" width="41.5" style="671" customWidth="1"/>
    <col min="14598" max="14598" width="144.1640625" style="671" customWidth="1"/>
    <col min="14599" max="14599" width="49" style="671" customWidth="1"/>
    <col min="14600" max="14600" width="48.83203125" style="671" customWidth="1"/>
    <col min="14601" max="14601" width="49" style="671" customWidth="1"/>
    <col min="14602" max="14603" width="48.83203125" style="671" customWidth="1"/>
    <col min="14604" max="14604" width="6.6640625" style="671" customWidth="1"/>
    <col min="14605" max="14605" width="31.83203125" style="671" customWidth="1"/>
    <col min="14606" max="14846" width="9.33203125" style="671"/>
    <col min="14847" max="14847" width="144.1640625" style="671" customWidth="1"/>
    <col min="14848" max="14848" width="41.5" style="671" customWidth="1"/>
    <col min="14849" max="14851" width="41.6640625" style="671" customWidth="1"/>
    <col min="14852" max="14853" width="41.5" style="671" customWidth="1"/>
    <col min="14854" max="14854" width="144.1640625" style="671" customWidth="1"/>
    <col min="14855" max="14855" width="49" style="671" customWidth="1"/>
    <col min="14856" max="14856" width="48.83203125" style="671" customWidth="1"/>
    <col min="14857" max="14857" width="49" style="671" customWidth="1"/>
    <col min="14858" max="14859" width="48.83203125" style="671" customWidth="1"/>
    <col min="14860" max="14860" width="6.6640625" style="671" customWidth="1"/>
    <col min="14861" max="14861" width="31.83203125" style="671" customWidth="1"/>
    <col min="14862" max="15102" width="9.33203125" style="671"/>
    <col min="15103" max="15103" width="144.1640625" style="671" customWidth="1"/>
    <col min="15104" max="15104" width="41.5" style="671" customWidth="1"/>
    <col min="15105" max="15107" width="41.6640625" style="671" customWidth="1"/>
    <col min="15108" max="15109" width="41.5" style="671" customWidth="1"/>
    <col min="15110" max="15110" width="144.1640625" style="671" customWidth="1"/>
    <col min="15111" max="15111" width="49" style="671" customWidth="1"/>
    <col min="15112" max="15112" width="48.83203125" style="671" customWidth="1"/>
    <col min="15113" max="15113" width="49" style="671" customWidth="1"/>
    <col min="15114" max="15115" width="48.83203125" style="671" customWidth="1"/>
    <col min="15116" max="15116" width="6.6640625" style="671" customWidth="1"/>
    <col min="15117" max="15117" width="31.83203125" style="671" customWidth="1"/>
    <col min="15118" max="15358" width="9.33203125" style="671"/>
    <col min="15359" max="15359" width="144.1640625" style="671" customWidth="1"/>
    <col min="15360" max="15360" width="41.5" style="671" customWidth="1"/>
    <col min="15361" max="15363" width="41.6640625" style="671" customWidth="1"/>
    <col min="15364" max="15365" width="41.5" style="671" customWidth="1"/>
    <col min="15366" max="15366" width="144.1640625" style="671" customWidth="1"/>
    <col min="15367" max="15367" width="49" style="671" customWidth="1"/>
    <col min="15368" max="15368" width="48.83203125" style="671" customWidth="1"/>
    <col min="15369" max="15369" width="49" style="671" customWidth="1"/>
    <col min="15370" max="15371" width="48.83203125" style="671" customWidth="1"/>
    <col min="15372" max="15372" width="6.6640625" style="671" customWidth="1"/>
    <col min="15373" max="15373" width="31.83203125" style="671" customWidth="1"/>
    <col min="15374" max="15614" width="9.33203125" style="671"/>
    <col min="15615" max="15615" width="144.1640625" style="671" customWidth="1"/>
    <col min="15616" max="15616" width="41.5" style="671" customWidth="1"/>
    <col min="15617" max="15619" width="41.6640625" style="671" customWidth="1"/>
    <col min="15620" max="15621" width="41.5" style="671" customWidth="1"/>
    <col min="15622" max="15622" width="144.1640625" style="671" customWidth="1"/>
    <col min="15623" max="15623" width="49" style="671" customWidth="1"/>
    <col min="15624" max="15624" width="48.83203125" style="671" customWidth="1"/>
    <col min="15625" max="15625" width="49" style="671" customWidth="1"/>
    <col min="15626" max="15627" width="48.83203125" style="671" customWidth="1"/>
    <col min="15628" max="15628" width="6.6640625" style="671" customWidth="1"/>
    <col min="15629" max="15629" width="31.83203125" style="671" customWidth="1"/>
    <col min="15630" max="15870" width="9.33203125" style="671"/>
    <col min="15871" max="15871" width="144.1640625" style="671" customWidth="1"/>
    <col min="15872" max="15872" width="41.5" style="671" customWidth="1"/>
    <col min="15873" max="15875" width="41.6640625" style="671" customWidth="1"/>
    <col min="15876" max="15877" width="41.5" style="671" customWidth="1"/>
    <col min="15878" max="15878" width="144.1640625" style="671" customWidth="1"/>
    <col min="15879" max="15879" width="49" style="671" customWidth="1"/>
    <col min="15880" max="15880" width="48.83203125" style="671" customWidth="1"/>
    <col min="15881" max="15881" width="49" style="671" customWidth="1"/>
    <col min="15882" max="15883" width="48.83203125" style="671" customWidth="1"/>
    <col min="15884" max="15884" width="6.6640625" style="671" customWidth="1"/>
    <col min="15885" max="15885" width="31.83203125" style="671" customWidth="1"/>
    <col min="15886" max="16126" width="9.33203125" style="671"/>
    <col min="16127" max="16127" width="144.1640625" style="671" customWidth="1"/>
    <col min="16128" max="16128" width="41.5" style="671" customWidth="1"/>
    <col min="16129" max="16131" width="41.6640625" style="671" customWidth="1"/>
    <col min="16132" max="16133" width="41.5" style="671" customWidth="1"/>
    <col min="16134" max="16134" width="144.1640625" style="671" customWidth="1"/>
    <col min="16135" max="16135" width="49" style="671" customWidth="1"/>
    <col min="16136" max="16136" width="48.83203125" style="671" customWidth="1"/>
    <col min="16137" max="16137" width="49" style="671" customWidth="1"/>
    <col min="16138" max="16139" width="48.83203125" style="671" customWidth="1"/>
    <col min="16140" max="16140" width="6.6640625" style="671" customWidth="1"/>
    <col min="16141" max="16141" width="31.83203125" style="671" customWidth="1"/>
    <col min="16142" max="16384" width="9.33203125" style="671"/>
  </cols>
  <sheetData>
    <row r="2" spans="1:13" ht="54" customHeight="1" x14ac:dyDescent="0.45">
      <c r="A2" s="929" t="s">
        <v>212</v>
      </c>
      <c r="B2" s="929"/>
      <c r="C2" s="929"/>
      <c r="D2" s="929"/>
      <c r="E2" s="929"/>
      <c r="F2" s="929"/>
      <c r="G2" s="929"/>
      <c r="H2" s="929" t="s">
        <v>212</v>
      </c>
      <c r="I2" s="929"/>
      <c r="J2" s="929"/>
      <c r="K2" s="929"/>
      <c r="L2" s="929"/>
      <c r="M2" s="929"/>
    </row>
    <row r="3" spans="1:13" ht="54" customHeight="1" x14ac:dyDescent="0.45">
      <c r="A3" s="929" t="s">
        <v>762</v>
      </c>
      <c r="B3" s="929"/>
      <c r="C3" s="929"/>
      <c r="D3" s="929"/>
      <c r="E3" s="929"/>
      <c r="F3" s="929"/>
      <c r="G3" s="929"/>
      <c r="H3" s="929" t="s">
        <v>762</v>
      </c>
      <c r="I3" s="929"/>
      <c r="J3" s="929"/>
      <c r="K3" s="929"/>
      <c r="L3" s="929"/>
      <c r="M3" s="929"/>
    </row>
    <row r="4" spans="1:13" ht="42.75" customHeight="1" thickBot="1" x14ac:dyDescent="0.45">
      <c r="A4" s="687"/>
      <c r="B4" s="688"/>
      <c r="C4" s="688"/>
      <c r="D4" s="688"/>
      <c r="E4" s="688"/>
      <c r="F4" s="643"/>
      <c r="G4" s="907" t="s">
        <v>204</v>
      </c>
      <c r="H4" s="687"/>
      <c r="I4" s="643"/>
      <c r="J4" s="643"/>
      <c r="K4" s="643"/>
      <c r="L4" s="643"/>
      <c r="M4" s="907" t="s">
        <v>204</v>
      </c>
    </row>
    <row r="5" spans="1:13" s="648" customFormat="1" ht="41.25" customHeight="1" x14ac:dyDescent="0.4">
      <c r="A5" s="647"/>
      <c r="B5" s="647"/>
      <c r="C5" s="646"/>
      <c r="D5" s="646"/>
      <c r="E5" s="646"/>
      <c r="F5" s="645"/>
      <c r="G5" s="645"/>
      <c r="H5" s="647"/>
      <c r="I5" s="689"/>
      <c r="J5" s="689"/>
      <c r="K5" s="689"/>
      <c r="L5" s="690"/>
      <c r="M5" s="645"/>
    </row>
    <row r="6" spans="1:13" s="694" customFormat="1" ht="141" customHeight="1" x14ac:dyDescent="0.25">
      <c r="A6" s="691" t="s">
        <v>723</v>
      </c>
      <c r="B6" s="692" t="s">
        <v>246</v>
      </c>
      <c r="C6" s="650" t="s">
        <v>247</v>
      </c>
      <c r="D6" s="650" t="s">
        <v>248</v>
      </c>
      <c r="E6" s="650" t="s">
        <v>249</v>
      </c>
      <c r="F6" s="650" t="s">
        <v>763</v>
      </c>
      <c r="G6" s="650" t="s">
        <v>229</v>
      </c>
      <c r="H6" s="691" t="s">
        <v>723</v>
      </c>
      <c r="I6" s="649" t="s">
        <v>139</v>
      </c>
      <c r="J6" s="649" t="s">
        <v>250</v>
      </c>
      <c r="K6" s="650" t="s">
        <v>252</v>
      </c>
      <c r="L6" s="693" t="s">
        <v>764</v>
      </c>
      <c r="M6" s="650" t="s">
        <v>231</v>
      </c>
    </row>
    <row r="7" spans="1:13" s="699" customFormat="1" ht="89.25" customHeight="1" thickBot="1" x14ac:dyDescent="0.4">
      <c r="A7" s="695" t="s">
        <v>725</v>
      </c>
      <c r="B7" s="696"/>
      <c r="C7" s="654"/>
      <c r="D7" s="654"/>
      <c r="E7" s="654"/>
      <c r="F7" s="654"/>
      <c r="G7" s="697"/>
      <c r="H7" s="695" t="s">
        <v>725</v>
      </c>
      <c r="I7" s="654"/>
      <c r="J7" s="654"/>
      <c r="K7" s="654"/>
      <c r="L7" s="698"/>
      <c r="M7" s="654"/>
    </row>
    <row r="8" spans="1:13" ht="26.45" customHeight="1" x14ac:dyDescent="0.35">
      <c r="A8" s="646" t="s">
        <v>726</v>
      </c>
      <c r="B8" s="700"/>
      <c r="C8" s="700"/>
      <c r="D8" s="700"/>
      <c r="E8" s="700"/>
      <c r="F8" s="701"/>
      <c r="G8" s="701"/>
      <c r="H8" s="646" t="s">
        <v>726</v>
      </c>
      <c r="I8" s="701"/>
      <c r="J8" s="701"/>
      <c r="K8" s="702"/>
      <c r="L8" s="703"/>
      <c r="M8" s="703"/>
    </row>
    <row r="9" spans="1:13" ht="26.45" customHeight="1" x14ac:dyDescent="0.4">
      <c r="A9" s="657" t="s">
        <v>727</v>
      </c>
      <c r="B9" s="658">
        <v>263678</v>
      </c>
      <c r="C9" s="658">
        <v>38887</v>
      </c>
      <c r="D9" s="658">
        <v>6832</v>
      </c>
      <c r="E9" s="663"/>
      <c r="F9" s="704"/>
      <c r="G9" s="705">
        <f>SUM(B9:F9)</f>
        <v>309397</v>
      </c>
      <c r="H9" s="657" t="s">
        <v>727</v>
      </c>
      <c r="I9" s="704"/>
      <c r="J9" s="704"/>
      <c r="K9" s="704"/>
      <c r="L9" s="705">
        <f>SUM(I9:K9)</f>
        <v>0</v>
      </c>
      <c r="M9" s="705">
        <f t="shared" ref="M9:M26" si="0">G9+L9</f>
        <v>309397</v>
      </c>
    </row>
    <row r="10" spans="1:13" ht="26.45" customHeight="1" x14ac:dyDescent="0.4">
      <c r="A10" s="660" t="s">
        <v>728</v>
      </c>
      <c r="B10" s="661">
        <v>184522</v>
      </c>
      <c r="C10" s="661">
        <v>23984</v>
      </c>
      <c r="D10" s="661">
        <v>3285</v>
      </c>
      <c r="E10" s="661"/>
      <c r="F10" s="706"/>
      <c r="G10" s="707">
        <f t="shared" ref="G10:G28" si="1">SUM(B10:F10)</f>
        <v>211791</v>
      </c>
      <c r="H10" s="660" t="s">
        <v>728</v>
      </c>
      <c r="I10" s="706"/>
      <c r="J10" s="706"/>
      <c r="K10" s="706"/>
      <c r="L10" s="707">
        <f t="shared" ref="L10:L28" si="2">SUM(I10:K10)</f>
        <v>0</v>
      </c>
      <c r="M10" s="707">
        <f t="shared" si="0"/>
        <v>211791</v>
      </c>
    </row>
    <row r="11" spans="1:13" ht="26.45" customHeight="1" x14ac:dyDescent="0.4">
      <c r="A11" s="660" t="s">
        <v>729</v>
      </c>
      <c r="B11" s="661">
        <v>188363</v>
      </c>
      <c r="C11" s="661">
        <v>24425</v>
      </c>
      <c r="D11" s="661">
        <v>4245</v>
      </c>
      <c r="E11" s="661"/>
      <c r="F11" s="706"/>
      <c r="G11" s="707">
        <f t="shared" si="1"/>
        <v>217033</v>
      </c>
      <c r="H11" s="660" t="s">
        <v>729</v>
      </c>
      <c r="I11" s="706"/>
      <c r="J11" s="706"/>
      <c r="K11" s="706"/>
      <c r="L11" s="707">
        <f t="shared" si="2"/>
        <v>0</v>
      </c>
      <c r="M11" s="707">
        <f t="shared" si="0"/>
        <v>217033</v>
      </c>
    </row>
    <row r="12" spans="1:13" ht="27.75" customHeight="1" x14ac:dyDescent="0.4">
      <c r="A12" s="660" t="s">
        <v>730</v>
      </c>
      <c r="B12" s="661">
        <v>224194</v>
      </c>
      <c r="C12" s="661">
        <v>33118</v>
      </c>
      <c r="D12" s="661">
        <v>4572</v>
      </c>
      <c r="E12" s="661"/>
      <c r="F12" s="706"/>
      <c r="G12" s="707">
        <f t="shared" si="1"/>
        <v>261884</v>
      </c>
      <c r="H12" s="660" t="s">
        <v>730</v>
      </c>
      <c r="I12" s="706"/>
      <c r="J12" s="706"/>
      <c r="K12" s="706"/>
      <c r="L12" s="707">
        <f t="shared" si="2"/>
        <v>0</v>
      </c>
      <c r="M12" s="707">
        <f t="shared" si="0"/>
        <v>261884</v>
      </c>
    </row>
    <row r="13" spans="1:13" ht="26.45" customHeight="1" x14ac:dyDescent="0.4">
      <c r="A13" s="660" t="s">
        <v>731</v>
      </c>
      <c r="B13" s="661">
        <v>220656</v>
      </c>
      <c r="C13" s="661">
        <v>32278</v>
      </c>
      <c r="D13" s="661">
        <v>3810</v>
      </c>
      <c r="E13" s="661"/>
      <c r="F13" s="706"/>
      <c r="G13" s="707">
        <f t="shared" si="1"/>
        <v>256744</v>
      </c>
      <c r="H13" s="660" t="s">
        <v>731</v>
      </c>
      <c r="I13" s="706"/>
      <c r="J13" s="706"/>
      <c r="K13" s="706"/>
      <c r="L13" s="707">
        <f t="shared" si="2"/>
        <v>0</v>
      </c>
      <c r="M13" s="707">
        <f t="shared" si="0"/>
        <v>256744</v>
      </c>
    </row>
    <row r="14" spans="1:13" ht="26.45" customHeight="1" x14ac:dyDescent="0.4">
      <c r="A14" s="660" t="s">
        <v>732</v>
      </c>
      <c r="B14" s="661">
        <v>209105</v>
      </c>
      <c r="C14" s="661">
        <v>27304</v>
      </c>
      <c r="D14" s="661">
        <v>3358</v>
      </c>
      <c r="E14" s="661"/>
      <c r="F14" s="706"/>
      <c r="G14" s="707">
        <f t="shared" si="1"/>
        <v>239767</v>
      </c>
      <c r="H14" s="660" t="s">
        <v>732</v>
      </c>
      <c r="I14" s="706"/>
      <c r="J14" s="706"/>
      <c r="K14" s="706"/>
      <c r="L14" s="707">
        <f t="shared" si="2"/>
        <v>0</v>
      </c>
      <c r="M14" s="707">
        <f t="shared" si="0"/>
        <v>239767</v>
      </c>
    </row>
    <row r="15" spans="1:13" ht="26.45" customHeight="1" x14ac:dyDescent="0.4">
      <c r="A15" s="660" t="s">
        <v>733</v>
      </c>
      <c r="B15" s="661">
        <v>149792</v>
      </c>
      <c r="C15" s="661">
        <v>19422</v>
      </c>
      <c r="D15" s="661">
        <v>3396</v>
      </c>
      <c r="E15" s="661"/>
      <c r="F15" s="706"/>
      <c r="G15" s="707">
        <f t="shared" si="1"/>
        <v>172610</v>
      </c>
      <c r="H15" s="660" t="s">
        <v>733</v>
      </c>
      <c r="I15" s="706"/>
      <c r="J15" s="706"/>
      <c r="K15" s="706"/>
      <c r="L15" s="707">
        <f t="shared" si="2"/>
        <v>0</v>
      </c>
      <c r="M15" s="707">
        <f t="shared" si="0"/>
        <v>172610</v>
      </c>
    </row>
    <row r="16" spans="1:13" ht="26.45" customHeight="1" x14ac:dyDescent="0.4">
      <c r="A16" s="660" t="s">
        <v>734</v>
      </c>
      <c r="B16" s="661">
        <v>160991</v>
      </c>
      <c r="C16" s="661">
        <v>20870</v>
      </c>
      <c r="D16" s="661">
        <v>3709</v>
      </c>
      <c r="E16" s="661"/>
      <c r="F16" s="706"/>
      <c r="G16" s="707">
        <f t="shared" si="1"/>
        <v>185570</v>
      </c>
      <c r="H16" s="660" t="s">
        <v>734</v>
      </c>
      <c r="I16" s="706"/>
      <c r="J16" s="706"/>
      <c r="K16" s="706"/>
      <c r="L16" s="707">
        <f t="shared" si="2"/>
        <v>0</v>
      </c>
      <c r="M16" s="707">
        <f t="shared" si="0"/>
        <v>185570</v>
      </c>
    </row>
    <row r="17" spans="1:13" ht="26.45" customHeight="1" x14ac:dyDescent="0.4">
      <c r="A17" s="660" t="s">
        <v>735</v>
      </c>
      <c r="B17" s="661">
        <v>222366</v>
      </c>
      <c r="C17" s="661">
        <v>32918</v>
      </c>
      <c r="D17" s="661">
        <v>3546</v>
      </c>
      <c r="E17" s="661"/>
      <c r="F17" s="706"/>
      <c r="G17" s="707">
        <f t="shared" si="1"/>
        <v>258830</v>
      </c>
      <c r="H17" s="660" t="s">
        <v>735</v>
      </c>
      <c r="I17" s="706"/>
      <c r="J17" s="706"/>
      <c r="K17" s="706"/>
      <c r="L17" s="707">
        <f t="shared" si="2"/>
        <v>0</v>
      </c>
      <c r="M17" s="707">
        <f t="shared" si="0"/>
        <v>258830</v>
      </c>
    </row>
    <row r="18" spans="1:13" ht="26.45" customHeight="1" x14ac:dyDescent="0.4">
      <c r="A18" s="660" t="s">
        <v>736</v>
      </c>
      <c r="B18" s="661">
        <v>261501</v>
      </c>
      <c r="C18" s="661">
        <v>38306</v>
      </c>
      <c r="D18" s="661">
        <v>6004</v>
      </c>
      <c r="E18" s="661"/>
      <c r="F18" s="706"/>
      <c r="G18" s="707">
        <f t="shared" si="1"/>
        <v>305811</v>
      </c>
      <c r="H18" s="660" t="s">
        <v>736</v>
      </c>
      <c r="I18" s="706"/>
      <c r="J18" s="706"/>
      <c r="K18" s="706"/>
      <c r="L18" s="707">
        <f t="shared" si="2"/>
        <v>0</v>
      </c>
      <c r="M18" s="707">
        <f t="shared" si="0"/>
        <v>305811</v>
      </c>
    </row>
    <row r="19" spans="1:13" ht="25.5" customHeight="1" x14ac:dyDescent="0.4">
      <c r="A19" s="660" t="s">
        <v>737</v>
      </c>
      <c r="B19" s="661">
        <v>120329</v>
      </c>
      <c r="C19" s="661">
        <v>15640</v>
      </c>
      <c r="D19" s="661">
        <v>2702</v>
      </c>
      <c r="E19" s="661"/>
      <c r="F19" s="706"/>
      <c r="G19" s="707">
        <f t="shared" si="1"/>
        <v>138671</v>
      </c>
      <c r="H19" s="660" t="s">
        <v>737</v>
      </c>
      <c r="I19" s="706"/>
      <c r="J19" s="706"/>
      <c r="K19" s="706"/>
      <c r="L19" s="707">
        <f t="shared" si="2"/>
        <v>0</v>
      </c>
      <c r="M19" s="707">
        <f t="shared" si="0"/>
        <v>138671</v>
      </c>
    </row>
    <row r="20" spans="1:13" ht="25.5" customHeight="1" x14ac:dyDescent="0.4">
      <c r="A20" s="660" t="s">
        <v>738</v>
      </c>
      <c r="B20" s="661">
        <v>122529</v>
      </c>
      <c r="C20" s="661">
        <v>15868</v>
      </c>
      <c r="D20" s="661">
        <v>2512</v>
      </c>
      <c r="E20" s="661"/>
      <c r="F20" s="706"/>
      <c r="G20" s="707">
        <f t="shared" si="1"/>
        <v>140909</v>
      </c>
      <c r="H20" s="660" t="s">
        <v>738</v>
      </c>
      <c r="I20" s="706"/>
      <c r="J20" s="706"/>
      <c r="K20" s="706"/>
      <c r="L20" s="707">
        <f t="shared" si="2"/>
        <v>0</v>
      </c>
      <c r="M20" s="707">
        <f t="shared" si="0"/>
        <v>140909</v>
      </c>
    </row>
    <row r="21" spans="1:13" ht="26.45" customHeight="1" x14ac:dyDescent="0.4">
      <c r="A21" s="660" t="s">
        <v>739</v>
      </c>
      <c r="B21" s="661">
        <v>150275</v>
      </c>
      <c r="C21" s="661">
        <v>19448</v>
      </c>
      <c r="D21" s="661">
        <v>4084</v>
      </c>
      <c r="E21" s="661"/>
      <c r="F21" s="706"/>
      <c r="G21" s="707">
        <f t="shared" si="1"/>
        <v>173807</v>
      </c>
      <c r="H21" s="660" t="s">
        <v>739</v>
      </c>
      <c r="I21" s="706"/>
      <c r="J21" s="706"/>
      <c r="K21" s="706"/>
      <c r="L21" s="707">
        <f t="shared" si="2"/>
        <v>0</v>
      </c>
      <c r="M21" s="707">
        <f t="shared" si="0"/>
        <v>173807</v>
      </c>
    </row>
    <row r="22" spans="1:13" ht="26.45" customHeight="1" x14ac:dyDescent="0.4">
      <c r="A22" s="660" t="s">
        <v>740</v>
      </c>
      <c r="B22" s="661">
        <v>179147</v>
      </c>
      <c r="C22" s="661">
        <v>23350</v>
      </c>
      <c r="D22" s="661">
        <v>3079</v>
      </c>
      <c r="E22" s="661"/>
      <c r="F22" s="706"/>
      <c r="G22" s="707">
        <f t="shared" si="1"/>
        <v>205576</v>
      </c>
      <c r="H22" s="660" t="s">
        <v>740</v>
      </c>
      <c r="I22" s="706"/>
      <c r="J22" s="706"/>
      <c r="K22" s="706"/>
      <c r="L22" s="707">
        <f t="shared" si="2"/>
        <v>0</v>
      </c>
      <c r="M22" s="707">
        <f t="shared" si="0"/>
        <v>205576</v>
      </c>
    </row>
    <row r="23" spans="1:13" ht="26.45" customHeight="1" x14ac:dyDescent="0.4">
      <c r="A23" s="660" t="s">
        <v>741</v>
      </c>
      <c r="B23" s="661">
        <v>249504</v>
      </c>
      <c r="C23" s="661">
        <v>36857</v>
      </c>
      <c r="D23" s="661">
        <v>4603</v>
      </c>
      <c r="E23" s="661"/>
      <c r="F23" s="706"/>
      <c r="G23" s="707">
        <f t="shared" si="1"/>
        <v>290964</v>
      </c>
      <c r="H23" s="660" t="s">
        <v>741</v>
      </c>
      <c r="I23" s="706"/>
      <c r="J23" s="706"/>
      <c r="K23" s="706"/>
      <c r="L23" s="707">
        <f t="shared" si="2"/>
        <v>0</v>
      </c>
      <c r="M23" s="707">
        <f t="shared" si="0"/>
        <v>290964</v>
      </c>
    </row>
    <row r="24" spans="1:13" ht="26.45" customHeight="1" x14ac:dyDescent="0.4">
      <c r="A24" s="660" t="s">
        <v>742</v>
      </c>
      <c r="B24" s="661">
        <v>180700</v>
      </c>
      <c r="C24" s="661">
        <v>23493</v>
      </c>
      <c r="D24" s="661">
        <v>3480</v>
      </c>
      <c r="E24" s="661"/>
      <c r="F24" s="706"/>
      <c r="G24" s="707">
        <f t="shared" si="1"/>
        <v>207673</v>
      </c>
      <c r="H24" s="660" t="s">
        <v>742</v>
      </c>
      <c r="I24" s="706"/>
      <c r="J24" s="706"/>
      <c r="K24" s="708"/>
      <c r="L24" s="709">
        <f t="shared" si="2"/>
        <v>0</v>
      </c>
      <c r="M24" s="709">
        <f t="shared" si="0"/>
        <v>207673</v>
      </c>
    </row>
    <row r="25" spans="1:13" ht="26.45" customHeight="1" x14ac:dyDescent="0.4">
      <c r="A25" s="657" t="s">
        <v>743</v>
      </c>
      <c r="B25" s="658">
        <v>148966</v>
      </c>
      <c r="C25" s="658">
        <v>19308</v>
      </c>
      <c r="D25" s="658">
        <v>3286</v>
      </c>
      <c r="E25" s="658"/>
      <c r="F25" s="708"/>
      <c r="G25" s="709">
        <f t="shared" si="1"/>
        <v>171560</v>
      </c>
      <c r="H25" s="657" t="s">
        <v>743</v>
      </c>
      <c r="I25" s="708"/>
      <c r="J25" s="708"/>
      <c r="K25" s="708"/>
      <c r="L25" s="709">
        <f t="shared" si="2"/>
        <v>0</v>
      </c>
      <c r="M25" s="709">
        <f t="shared" si="0"/>
        <v>171560</v>
      </c>
    </row>
    <row r="26" spans="1:13" ht="26.45" customHeight="1" thickBot="1" x14ac:dyDescent="0.45">
      <c r="A26" s="662" t="s">
        <v>744</v>
      </c>
      <c r="B26" s="663">
        <v>100739</v>
      </c>
      <c r="C26" s="663">
        <v>13007</v>
      </c>
      <c r="D26" s="663">
        <v>3168</v>
      </c>
      <c r="E26" s="663"/>
      <c r="F26" s="710"/>
      <c r="G26" s="705">
        <f t="shared" si="1"/>
        <v>116914</v>
      </c>
      <c r="H26" s="662" t="s">
        <v>744</v>
      </c>
      <c r="I26" s="710"/>
      <c r="J26" s="663"/>
      <c r="K26" s="663"/>
      <c r="L26" s="672">
        <f t="shared" si="2"/>
        <v>0</v>
      </c>
      <c r="M26" s="672">
        <f t="shared" si="0"/>
        <v>116914</v>
      </c>
    </row>
    <row r="27" spans="1:13" ht="26.45" customHeight="1" thickBot="1" x14ac:dyDescent="0.45">
      <c r="A27" s="664" t="s">
        <v>745</v>
      </c>
      <c r="B27" s="665">
        <f t="shared" ref="B27:G27" si="3">SUM(B9:B26)</f>
        <v>3337357</v>
      </c>
      <c r="C27" s="665">
        <f t="shared" si="3"/>
        <v>458483</v>
      </c>
      <c r="D27" s="665">
        <f t="shared" si="3"/>
        <v>69671</v>
      </c>
      <c r="E27" s="665">
        <f t="shared" si="3"/>
        <v>0</v>
      </c>
      <c r="F27" s="665">
        <f t="shared" si="3"/>
        <v>0</v>
      </c>
      <c r="G27" s="665">
        <f t="shared" si="3"/>
        <v>3865511</v>
      </c>
      <c r="H27" s="664" t="s">
        <v>745</v>
      </c>
      <c r="I27" s="665">
        <f>SUM(I9:I26)</f>
        <v>0</v>
      </c>
      <c r="J27" s="665">
        <f>SUM(J9:J26)</f>
        <v>0</v>
      </c>
      <c r="K27" s="665">
        <f>SUM(K9:K26)</f>
        <v>0</v>
      </c>
      <c r="L27" s="665">
        <f>SUM(L9:L26)</f>
        <v>0</v>
      </c>
      <c r="M27" s="665">
        <f>SUM(M9:M26)</f>
        <v>3865511</v>
      </c>
    </row>
    <row r="28" spans="1:13" ht="26.45" customHeight="1" thickBot="1" x14ac:dyDescent="0.45">
      <c r="A28" s="667" t="s">
        <v>746</v>
      </c>
      <c r="B28" s="668">
        <v>343970</v>
      </c>
      <c r="C28" s="668">
        <v>52613</v>
      </c>
      <c r="D28" s="668">
        <v>2300631</v>
      </c>
      <c r="E28" s="668"/>
      <c r="F28" s="711"/>
      <c r="G28" s="712">
        <f t="shared" si="1"/>
        <v>2697214</v>
      </c>
      <c r="H28" s="667" t="s">
        <v>746</v>
      </c>
      <c r="I28" s="711"/>
      <c r="J28" s="711"/>
      <c r="K28" s="711"/>
      <c r="L28" s="712">
        <f t="shared" si="2"/>
        <v>0</v>
      </c>
      <c r="M28" s="712">
        <f>G28+L28</f>
        <v>2697214</v>
      </c>
    </row>
    <row r="29" spans="1:13" ht="26.45" customHeight="1" thickBot="1" x14ac:dyDescent="0.45">
      <c r="A29" s="713" t="s">
        <v>747</v>
      </c>
      <c r="B29" s="665">
        <f t="shared" ref="B29:G29" si="4">SUM(B27:B28)</f>
        <v>3681327</v>
      </c>
      <c r="C29" s="670">
        <f t="shared" si="4"/>
        <v>511096</v>
      </c>
      <c r="D29" s="670">
        <f t="shared" si="4"/>
        <v>2370302</v>
      </c>
      <c r="E29" s="670">
        <f t="shared" si="4"/>
        <v>0</v>
      </c>
      <c r="F29" s="670">
        <f t="shared" si="4"/>
        <v>0</v>
      </c>
      <c r="G29" s="670">
        <f t="shared" si="4"/>
        <v>6562725</v>
      </c>
      <c r="H29" s="669" t="s">
        <v>747</v>
      </c>
      <c r="I29" s="670">
        <f>SUM(I27:I28)</f>
        <v>0</v>
      </c>
      <c r="J29" s="670">
        <f>SUM(J27:J28)</f>
        <v>0</v>
      </c>
      <c r="K29" s="670">
        <f>SUM(K27:K28)</f>
        <v>0</v>
      </c>
      <c r="L29" s="670">
        <f>SUM(L27:L28)</f>
        <v>0</v>
      </c>
      <c r="M29" s="670">
        <f>SUM(M27:M28)</f>
        <v>6562725</v>
      </c>
    </row>
    <row r="30" spans="1:13" ht="26.45" customHeight="1" x14ac:dyDescent="0.4">
      <c r="A30" s="647" t="s">
        <v>748</v>
      </c>
      <c r="B30" s="700"/>
      <c r="C30" s="714"/>
      <c r="D30" s="672"/>
      <c r="E30" s="672"/>
      <c r="F30" s="715"/>
      <c r="G30" s="715"/>
      <c r="H30" s="655" t="s">
        <v>748</v>
      </c>
      <c r="I30" s="715"/>
      <c r="J30" s="715"/>
      <c r="K30" s="715"/>
      <c r="L30" s="715"/>
      <c r="M30" s="715"/>
    </row>
    <row r="31" spans="1:13" ht="26.45" customHeight="1" x14ac:dyDescent="0.35">
      <c r="A31" s="716" t="s">
        <v>749</v>
      </c>
      <c r="B31" s="717"/>
      <c r="C31" s="718"/>
      <c r="D31" s="719"/>
      <c r="E31" s="719"/>
      <c r="F31" s="719"/>
      <c r="G31" s="719"/>
      <c r="H31" s="655" t="s">
        <v>749</v>
      </c>
      <c r="I31" s="719"/>
      <c r="J31" s="719"/>
      <c r="K31" s="719"/>
      <c r="L31" s="719"/>
      <c r="M31" s="719"/>
    </row>
    <row r="32" spans="1:13" ht="26.45" customHeight="1" x14ac:dyDescent="0.4">
      <c r="A32" s="720" t="s">
        <v>97</v>
      </c>
      <c r="B32" s="658">
        <v>171982</v>
      </c>
      <c r="C32" s="721">
        <v>21273</v>
      </c>
      <c r="D32" s="658">
        <v>49319</v>
      </c>
      <c r="E32" s="658"/>
      <c r="F32" s="658"/>
      <c r="G32" s="659">
        <f>SUM(B32:F32)</f>
        <v>242574</v>
      </c>
      <c r="H32" s="673" t="s">
        <v>97</v>
      </c>
      <c r="I32" s="658"/>
      <c r="J32" s="658"/>
      <c r="K32" s="658"/>
      <c r="L32" s="659">
        <f>SUM(I32:K32)</f>
        <v>0</v>
      </c>
      <c r="M32" s="659">
        <f>G32+L32</f>
        <v>242574</v>
      </c>
    </row>
    <row r="33" spans="1:13" ht="26.45" customHeight="1" x14ac:dyDescent="0.4">
      <c r="A33" s="722" t="s">
        <v>750</v>
      </c>
      <c r="B33" s="661">
        <v>616371</v>
      </c>
      <c r="C33" s="723">
        <v>79460</v>
      </c>
      <c r="D33" s="661">
        <v>61469</v>
      </c>
      <c r="E33" s="661"/>
      <c r="F33" s="706"/>
      <c r="G33" s="707">
        <f>SUM(B33:F33)</f>
        <v>757300</v>
      </c>
      <c r="H33" s="660" t="s">
        <v>750</v>
      </c>
      <c r="I33" s="706"/>
      <c r="J33" s="658"/>
      <c r="K33" s="658"/>
      <c r="L33" s="659">
        <f>SUM(I33:K33)</f>
        <v>0</v>
      </c>
      <c r="M33" s="659">
        <f>G33+L33</f>
        <v>757300</v>
      </c>
    </row>
    <row r="34" spans="1:13" ht="26.45" customHeight="1" x14ac:dyDescent="0.4">
      <c r="A34" s="722" t="s">
        <v>751</v>
      </c>
      <c r="B34" s="661">
        <v>314198</v>
      </c>
      <c r="C34" s="723">
        <v>44735</v>
      </c>
      <c r="D34" s="661">
        <v>60424</v>
      </c>
      <c r="E34" s="661"/>
      <c r="F34" s="706"/>
      <c r="G34" s="707">
        <f>SUM(B34:F34)</f>
        <v>419357</v>
      </c>
      <c r="H34" s="660" t="s">
        <v>751</v>
      </c>
      <c r="I34" s="706"/>
      <c r="J34" s="658"/>
      <c r="K34" s="658"/>
      <c r="L34" s="659">
        <f>SUM(I34:K34)</f>
        <v>0</v>
      </c>
      <c r="M34" s="659">
        <f>G34+L34</f>
        <v>419357</v>
      </c>
    </row>
    <row r="35" spans="1:13" ht="26.45" customHeight="1" thickBot="1" x14ac:dyDescent="0.45">
      <c r="A35" s="724" t="s">
        <v>483</v>
      </c>
      <c r="B35" s="675">
        <v>678235</v>
      </c>
      <c r="C35" s="725">
        <v>93596</v>
      </c>
      <c r="D35" s="675">
        <v>167776</v>
      </c>
      <c r="E35" s="675"/>
      <c r="F35" s="726"/>
      <c r="G35" s="727">
        <f>SUM(B35:F35)</f>
        <v>939607</v>
      </c>
      <c r="H35" s="674" t="s">
        <v>483</v>
      </c>
      <c r="I35" s="726"/>
      <c r="J35" s="675"/>
      <c r="K35" s="675"/>
      <c r="L35" s="676">
        <f>SUM(I35:K35)</f>
        <v>0</v>
      </c>
      <c r="M35" s="676">
        <f>G35+L35</f>
        <v>939607</v>
      </c>
    </row>
    <row r="36" spans="1:13" ht="26.45" customHeight="1" thickBot="1" x14ac:dyDescent="0.45">
      <c r="A36" s="669" t="s">
        <v>752</v>
      </c>
      <c r="B36" s="670">
        <f t="shared" ref="B36:G36" si="5">SUM(B32:B35)</f>
        <v>1780786</v>
      </c>
      <c r="C36" s="670">
        <f t="shared" si="5"/>
        <v>239064</v>
      </c>
      <c r="D36" s="670">
        <f t="shared" si="5"/>
        <v>338988</v>
      </c>
      <c r="E36" s="670">
        <f t="shared" si="5"/>
        <v>0</v>
      </c>
      <c r="F36" s="670">
        <f t="shared" si="5"/>
        <v>0</v>
      </c>
      <c r="G36" s="670">
        <f t="shared" si="5"/>
        <v>2358838</v>
      </c>
      <c r="H36" s="669" t="s">
        <v>752</v>
      </c>
      <c r="I36" s="670">
        <f>SUM(I32:I35)</f>
        <v>0</v>
      </c>
      <c r="J36" s="670">
        <f>SUM(J32:J35)</f>
        <v>0</v>
      </c>
      <c r="K36" s="670">
        <f>SUM(K32:K35)</f>
        <v>0</v>
      </c>
      <c r="L36" s="670">
        <f>SUM(L32:L35)</f>
        <v>0</v>
      </c>
      <c r="M36" s="670">
        <f>SUM(M32:M35)</f>
        <v>2358838</v>
      </c>
    </row>
    <row r="37" spans="1:13" ht="26.45" customHeight="1" x14ac:dyDescent="0.4">
      <c r="A37" s="646" t="s">
        <v>753</v>
      </c>
      <c r="B37" s="677"/>
      <c r="C37" s="677"/>
      <c r="D37" s="677"/>
      <c r="E37" s="677"/>
      <c r="F37" s="728"/>
      <c r="G37" s="728"/>
      <c r="H37" s="646" t="s">
        <v>753</v>
      </c>
      <c r="I37" s="677"/>
      <c r="J37" s="677"/>
      <c r="K37" s="677"/>
      <c r="L37" s="728"/>
      <c r="M37" s="728"/>
    </row>
    <row r="38" spans="1:13" ht="26.45" customHeight="1" thickBot="1" x14ac:dyDescent="0.45">
      <c r="A38" s="673" t="s">
        <v>501</v>
      </c>
      <c r="B38" s="678">
        <v>967894</v>
      </c>
      <c r="C38" s="678">
        <v>155771</v>
      </c>
      <c r="D38" s="678">
        <v>665308</v>
      </c>
      <c r="E38" s="678"/>
      <c r="F38" s="729"/>
      <c r="G38" s="730">
        <f>SUM(B38:F38)</f>
        <v>1788973</v>
      </c>
      <c r="H38" s="673" t="s">
        <v>501</v>
      </c>
      <c r="I38" s="678"/>
      <c r="J38" s="678">
        <v>14967</v>
      </c>
      <c r="K38" s="678"/>
      <c r="L38" s="730">
        <f>SUM(I38:K38)</f>
        <v>14967</v>
      </c>
      <c r="M38" s="730">
        <f>G38+L38</f>
        <v>1803940</v>
      </c>
    </row>
    <row r="39" spans="1:13" ht="26.45" customHeight="1" x14ac:dyDescent="0.4">
      <c r="A39" s="646" t="s">
        <v>755</v>
      </c>
      <c r="B39" s="679"/>
      <c r="C39" s="679"/>
      <c r="D39" s="679"/>
      <c r="E39" s="679"/>
      <c r="F39" s="731"/>
      <c r="G39" s="728"/>
      <c r="H39" s="646" t="s">
        <v>755</v>
      </c>
      <c r="I39" s="679"/>
      <c r="J39" s="679"/>
      <c r="K39" s="679"/>
      <c r="L39" s="728"/>
      <c r="M39" s="728"/>
    </row>
    <row r="40" spans="1:13" ht="26.45" customHeight="1" thickBot="1" x14ac:dyDescent="0.45">
      <c r="A40" s="673" t="s">
        <v>756</v>
      </c>
      <c r="B40" s="678">
        <v>599627</v>
      </c>
      <c r="C40" s="678">
        <v>88618</v>
      </c>
      <c r="D40" s="678">
        <v>270934</v>
      </c>
      <c r="E40" s="678"/>
      <c r="F40" s="729"/>
      <c r="G40" s="730">
        <f>SUM(B40:F40)</f>
        <v>959179</v>
      </c>
      <c r="H40" s="673" t="s">
        <v>756</v>
      </c>
      <c r="I40" s="678"/>
      <c r="J40" s="678"/>
      <c r="K40" s="678"/>
      <c r="L40" s="730">
        <f>SUM(I40:K40)</f>
        <v>0</v>
      </c>
      <c r="M40" s="730">
        <f>G40+L40</f>
        <v>959179</v>
      </c>
    </row>
    <row r="41" spans="1:13" ht="26.45" customHeight="1" x14ac:dyDescent="0.4">
      <c r="A41" s="646" t="s">
        <v>757</v>
      </c>
      <c r="B41" s="679"/>
      <c r="C41" s="679"/>
      <c r="D41" s="679"/>
      <c r="E41" s="679"/>
      <c r="F41" s="731"/>
      <c r="G41" s="728"/>
      <c r="H41" s="646" t="s">
        <v>757</v>
      </c>
      <c r="I41" s="679"/>
      <c r="J41" s="679"/>
      <c r="K41" s="679"/>
      <c r="L41" s="728"/>
      <c r="M41" s="728"/>
    </row>
    <row r="42" spans="1:13" ht="26.45" customHeight="1" thickBot="1" x14ac:dyDescent="0.45">
      <c r="A42" s="681" t="s">
        <v>551</v>
      </c>
      <c r="B42" s="678">
        <v>1659897</v>
      </c>
      <c r="C42" s="678">
        <v>251876</v>
      </c>
      <c r="D42" s="678">
        <v>228567</v>
      </c>
      <c r="E42" s="678"/>
      <c r="F42" s="729"/>
      <c r="G42" s="730">
        <f>SUM(B42:F42)</f>
        <v>2140340</v>
      </c>
      <c r="H42" s="681" t="s">
        <v>551</v>
      </c>
      <c r="I42" s="678">
        <v>24990</v>
      </c>
      <c r="J42" s="678">
        <v>26670</v>
      </c>
      <c r="K42" s="678"/>
      <c r="L42" s="730">
        <f>SUM(I42:K42)</f>
        <v>51660</v>
      </c>
      <c r="M42" s="730">
        <f>G42+L42</f>
        <v>2192000</v>
      </c>
    </row>
    <row r="43" spans="1:13" ht="26.45" customHeight="1" x14ac:dyDescent="0.4">
      <c r="A43" s="646" t="s">
        <v>758</v>
      </c>
      <c r="B43" s="679"/>
      <c r="C43" s="679"/>
      <c r="D43" s="679"/>
      <c r="E43" s="679"/>
      <c r="F43" s="731"/>
      <c r="G43" s="728"/>
      <c r="H43" s="646" t="s">
        <v>758</v>
      </c>
      <c r="I43" s="679"/>
      <c r="J43" s="679"/>
      <c r="K43" s="679"/>
      <c r="L43" s="728"/>
      <c r="M43" s="728"/>
    </row>
    <row r="44" spans="1:13" ht="26.25" customHeight="1" x14ac:dyDescent="0.4">
      <c r="A44" s="657" t="s">
        <v>503</v>
      </c>
      <c r="B44" s="658">
        <v>91106</v>
      </c>
      <c r="C44" s="658">
        <v>11825</v>
      </c>
      <c r="D44" s="658">
        <v>115643</v>
      </c>
      <c r="E44" s="658"/>
      <c r="F44" s="708"/>
      <c r="G44" s="709">
        <f>SUM(B44:F44)</f>
        <v>218574</v>
      </c>
      <c r="H44" s="657" t="s">
        <v>503</v>
      </c>
      <c r="I44" s="658"/>
      <c r="J44" s="658"/>
      <c r="K44" s="658"/>
      <c r="L44" s="709">
        <f>SUM(I44:K44)</f>
        <v>0</v>
      </c>
      <c r="M44" s="709">
        <f>G44+L44</f>
        <v>218574</v>
      </c>
    </row>
    <row r="45" spans="1:13" ht="26.25" customHeight="1" x14ac:dyDescent="0.4">
      <c r="A45" s="662" t="s">
        <v>610</v>
      </c>
      <c r="B45" s="663">
        <v>282909</v>
      </c>
      <c r="C45" s="663">
        <v>40347</v>
      </c>
      <c r="D45" s="663">
        <v>190247</v>
      </c>
      <c r="E45" s="663"/>
      <c r="F45" s="704"/>
      <c r="G45" s="709">
        <f>SUM(B45:F45)</f>
        <v>513503</v>
      </c>
      <c r="H45" s="662" t="s">
        <v>610</v>
      </c>
      <c r="I45" s="663"/>
      <c r="J45" s="663"/>
      <c r="K45" s="663"/>
      <c r="L45" s="709">
        <f>SUM(I45:K45)</f>
        <v>0</v>
      </c>
      <c r="M45" s="709">
        <f>G45+L45</f>
        <v>513503</v>
      </c>
    </row>
    <row r="46" spans="1:13" ht="26.45" customHeight="1" thickBot="1" x14ac:dyDescent="0.45">
      <c r="A46" s="674" t="s">
        <v>4</v>
      </c>
      <c r="B46" s="675">
        <v>2349481</v>
      </c>
      <c r="C46" s="675">
        <v>349379</v>
      </c>
      <c r="D46" s="675">
        <v>484411</v>
      </c>
      <c r="E46" s="675"/>
      <c r="F46" s="675">
        <v>4500</v>
      </c>
      <c r="G46" s="727">
        <f>SUM(B46:F46)</f>
        <v>3187771</v>
      </c>
      <c r="H46" s="674" t="s">
        <v>4</v>
      </c>
      <c r="I46" s="675">
        <v>87155</v>
      </c>
      <c r="J46" s="675">
        <v>8000</v>
      </c>
      <c r="K46" s="675"/>
      <c r="L46" s="727">
        <f>SUM(I46:K46)</f>
        <v>95155</v>
      </c>
      <c r="M46" s="727">
        <f>G46+L46</f>
        <v>3282926</v>
      </c>
    </row>
    <row r="47" spans="1:13" ht="26.45" customHeight="1" thickBot="1" x14ac:dyDescent="0.45">
      <c r="A47" s="669" t="s">
        <v>759</v>
      </c>
      <c r="B47" s="670">
        <f t="shared" ref="B47:G47" si="6">SUM(B44:B46)</f>
        <v>2723496</v>
      </c>
      <c r="C47" s="670">
        <f t="shared" si="6"/>
        <v>401551</v>
      </c>
      <c r="D47" s="670">
        <f t="shared" si="6"/>
        <v>790301</v>
      </c>
      <c r="E47" s="670">
        <f t="shared" si="6"/>
        <v>0</v>
      </c>
      <c r="F47" s="670">
        <f t="shared" si="6"/>
        <v>4500</v>
      </c>
      <c r="G47" s="670">
        <f t="shared" si="6"/>
        <v>3919848</v>
      </c>
      <c r="H47" s="669" t="s">
        <v>759</v>
      </c>
      <c r="I47" s="670">
        <f>SUM(I44:I46)</f>
        <v>87155</v>
      </c>
      <c r="J47" s="670">
        <f>SUM(J44:J46)</f>
        <v>8000</v>
      </c>
      <c r="K47" s="670">
        <f>SUM(K44:K46)</f>
        <v>0</v>
      </c>
      <c r="L47" s="670">
        <f>SUM(L44:L46)</f>
        <v>95155</v>
      </c>
      <c r="M47" s="670">
        <f>SUM(M44:M46)</f>
        <v>4015003</v>
      </c>
    </row>
    <row r="48" spans="1:13" ht="26.45" customHeight="1" thickBot="1" x14ac:dyDescent="0.45">
      <c r="A48" s="669" t="s">
        <v>760</v>
      </c>
      <c r="B48" s="676">
        <f t="shared" ref="B48:G48" si="7">B36+B38+B40+B42+B47</f>
        <v>7731700</v>
      </c>
      <c r="C48" s="676">
        <f t="shared" si="7"/>
        <v>1136880</v>
      </c>
      <c r="D48" s="676">
        <f t="shared" si="7"/>
        <v>2294098</v>
      </c>
      <c r="E48" s="676">
        <f t="shared" si="7"/>
        <v>0</v>
      </c>
      <c r="F48" s="676">
        <f t="shared" si="7"/>
        <v>4500</v>
      </c>
      <c r="G48" s="676">
        <f t="shared" si="7"/>
        <v>11167178</v>
      </c>
      <c r="H48" s="669" t="s">
        <v>760</v>
      </c>
      <c r="I48" s="676">
        <f>I36+I38+I40+I42+I47</f>
        <v>112145</v>
      </c>
      <c r="J48" s="676">
        <f>J36+J38+J40+J42+J47</f>
        <v>49637</v>
      </c>
      <c r="K48" s="676">
        <f>K36+K38+K40+K42+K47</f>
        <v>0</v>
      </c>
      <c r="L48" s="676">
        <f>L36+L38+L40+L42+L47</f>
        <v>161782</v>
      </c>
      <c r="M48" s="676">
        <f>M36+M38+M40+M42+M47</f>
        <v>11328960</v>
      </c>
    </row>
    <row r="49" spans="1:13" ht="39.75" customHeight="1" thickBot="1" x14ac:dyDescent="0.45">
      <c r="A49" s="732" t="s">
        <v>761</v>
      </c>
      <c r="B49" s="665">
        <f t="shared" ref="B49:G49" si="8">B29+B48</f>
        <v>11413027</v>
      </c>
      <c r="C49" s="665">
        <f t="shared" si="8"/>
        <v>1647976</v>
      </c>
      <c r="D49" s="665">
        <f t="shared" si="8"/>
        <v>4664400</v>
      </c>
      <c r="E49" s="665">
        <f t="shared" si="8"/>
        <v>0</v>
      </c>
      <c r="F49" s="665">
        <f t="shared" si="8"/>
        <v>4500</v>
      </c>
      <c r="G49" s="665">
        <f t="shared" si="8"/>
        <v>17729903</v>
      </c>
      <c r="H49" s="732" t="s">
        <v>761</v>
      </c>
      <c r="I49" s="665">
        <f>I29+I48</f>
        <v>112145</v>
      </c>
      <c r="J49" s="665">
        <f>J29+J48</f>
        <v>49637</v>
      </c>
      <c r="K49" s="665">
        <f>K29+K48</f>
        <v>0</v>
      </c>
      <c r="L49" s="665">
        <f>L29+L48</f>
        <v>161782</v>
      </c>
      <c r="M49" s="665">
        <f>M29+M48</f>
        <v>17891685</v>
      </c>
    </row>
    <row r="50" spans="1:13" ht="26.45" customHeight="1" x14ac:dyDescent="0.35">
      <c r="A50" s="687"/>
      <c r="B50" s="688"/>
      <c r="C50" s="688"/>
      <c r="D50" s="688"/>
      <c r="E50" s="688"/>
      <c r="F50" s="643"/>
      <c r="G50" s="643"/>
      <c r="H50" s="687"/>
      <c r="I50" s="733"/>
      <c r="J50" s="643"/>
      <c r="K50" s="733"/>
      <c r="L50" s="733"/>
      <c r="M50" s="643"/>
    </row>
    <row r="51" spans="1:13" ht="21" customHeight="1" x14ac:dyDescent="0.35"/>
    <row r="52" spans="1:13" ht="21" customHeight="1" x14ac:dyDescent="0.35"/>
    <row r="53" spans="1:13" ht="21" customHeight="1" x14ac:dyDescent="0.35"/>
    <row r="54" spans="1:13" ht="21" customHeight="1" x14ac:dyDescent="0.35"/>
  </sheetData>
  <mergeCells count="4">
    <mergeCell ref="A2:G2"/>
    <mergeCell ref="H2:M2"/>
    <mergeCell ref="A3:G3"/>
    <mergeCell ref="H3:M3"/>
  </mergeCells>
  <printOptions horizontalCentered="1" verticalCentered="1"/>
  <pageMargins left="0" right="0" top="0" bottom="0" header="0" footer="0"/>
  <pageSetup paperSize="9" scale="32" orientation="landscape" r:id="rId1"/>
  <headerFooter alignWithMargins="0">
    <oddHeader>&amp;R&amp;"-,Félkövér"&amp;20
6. melléklet a 3/2026.(II.27.) önkormányzati rendelethez</oddHeader>
    <oddFooter xml:space="preserve">&amp;C &amp;R
&amp;36 &amp;10
</oddFooter>
  </headerFooter>
  <rowBreaks count="1" manualBreakCount="1">
    <brk id="50" max="13" man="1"/>
  </rowBreaks>
  <colBreaks count="1" manualBreakCount="1">
    <brk id="7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3216-9A8B-472E-8929-649D21D46CB5}">
  <sheetPr>
    <pageSetUpPr fitToPage="1"/>
  </sheetPr>
  <dimension ref="A1:K71"/>
  <sheetViews>
    <sheetView view="pageLayout" topLeftCell="AP1" zoomScaleNormal="41" workbookViewId="0">
      <selection activeCell="U16" sqref="U16"/>
    </sheetView>
  </sheetViews>
  <sheetFormatPr defaultColWidth="12" defaultRowHeight="33.75" x14ac:dyDescent="0.5"/>
  <cols>
    <col min="1" max="1" width="152.1640625" style="734" customWidth="1"/>
    <col min="2" max="3" width="50" style="734" customWidth="1"/>
    <col min="4" max="4" width="52.6640625" style="740" customWidth="1"/>
    <col min="5" max="5" width="56.83203125" style="740" customWidth="1"/>
    <col min="6" max="6" width="58" style="740" customWidth="1"/>
    <col min="7" max="7" width="56.6640625" style="740" customWidth="1"/>
    <col min="8" max="8" width="54.33203125" style="740" customWidth="1"/>
    <col min="9" max="9" width="49.83203125" style="740" customWidth="1"/>
    <col min="10" max="10" width="56.83203125" style="740" customWidth="1"/>
    <col min="11" max="11" width="22.5" style="739" customWidth="1"/>
    <col min="12" max="253" width="12" style="740"/>
    <col min="254" max="254" width="152.1640625" style="740" customWidth="1"/>
    <col min="255" max="256" width="50" style="740" customWidth="1"/>
    <col min="257" max="257" width="52.6640625" style="740" customWidth="1"/>
    <col min="258" max="258" width="56.83203125" style="740" customWidth="1"/>
    <col min="259" max="259" width="58" style="740" customWidth="1"/>
    <col min="260" max="260" width="56.6640625" style="740" customWidth="1"/>
    <col min="261" max="261" width="54.33203125" style="740" customWidth="1"/>
    <col min="262" max="262" width="49.83203125" style="740" customWidth="1"/>
    <col min="263" max="263" width="56.83203125" style="740" customWidth="1"/>
    <col min="264" max="265" width="49.83203125" style="740" customWidth="1"/>
    <col min="266" max="266" width="151" style="740" customWidth="1"/>
    <col min="267" max="267" width="22.5" style="740" customWidth="1"/>
    <col min="268" max="509" width="12" style="740"/>
    <col min="510" max="510" width="152.1640625" style="740" customWidth="1"/>
    <col min="511" max="512" width="50" style="740" customWidth="1"/>
    <col min="513" max="513" width="52.6640625" style="740" customWidth="1"/>
    <col min="514" max="514" width="56.83203125" style="740" customWidth="1"/>
    <col min="515" max="515" width="58" style="740" customWidth="1"/>
    <col min="516" max="516" width="56.6640625" style="740" customWidth="1"/>
    <col min="517" max="517" width="54.33203125" style="740" customWidth="1"/>
    <col min="518" max="518" width="49.83203125" style="740" customWidth="1"/>
    <col min="519" max="519" width="56.83203125" style="740" customWidth="1"/>
    <col min="520" max="521" width="49.83203125" style="740" customWidth="1"/>
    <col min="522" max="522" width="151" style="740" customWidth="1"/>
    <col min="523" max="523" width="22.5" style="740" customWidth="1"/>
    <col min="524" max="765" width="12" style="740"/>
    <col min="766" max="766" width="152.1640625" style="740" customWidth="1"/>
    <col min="767" max="768" width="50" style="740" customWidth="1"/>
    <col min="769" max="769" width="52.6640625" style="740" customWidth="1"/>
    <col min="770" max="770" width="56.83203125" style="740" customWidth="1"/>
    <col min="771" max="771" width="58" style="740" customWidth="1"/>
    <col min="772" max="772" width="56.6640625" style="740" customWidth="1"/>
    <col min="773" max="773" width="54.33203125" style="740" customWidth="1"/>
    <col min="774" max="774" width="49.83203125" style="740" customWidth="1"/>
    <col min="775" max="775" width="56.83203125" style="740" customWidth="1"/>
    <col min="776" max="777" width="49.83203125" style="740" customWidth="1"/>
    <col min="778" max="778" width="151" style="740" customWidth="1"/>
    <col min="779" max="779" width="22.5" style="740" customWidth="1"/>
    <col min="780" max="1021" width="12" style="740"/>
    <col min="1022" max="1022" width="152.1640625" style="740" customWidth="1"/>
    <col min="1023" max="1024" width="50" style="740" customWidth="1"/>
    <col min="1025" max="1025" width="52.6640625" style="740" customWidth="1"/>
    <col min="1026" max="1026" width="56.83203125" style="740" customWidth="1"/>
    <col min="1027" max="1027" width="58" style="740" customWidth="1"/>
    <col min="1028" max="1028" width="56.6640625" style="740" customWidth="1"/>
    <col min="1029" max="1029" width="54.33203125" style="740" customWidth="1"/>
    <col min="1030" max="1030" width="49.83203125" style="740" customWidth="1"/>
    <col min="1031" max="1031" width="56.83203125" style="740" customWidth="1"/>
    <col min="1032" max="1033" width="49.83203125" style="740" customWidth="1"/>
    <col min="1034" max="1034" width="151" style="740" customWidth="1"/>
    <col min="1035" max="1035" width="22.5" style="740" customWidth="1"/>
    <col min="1036" max="1277" width="12" style="740"/>
    <col min="1278" max="1278" width="152.1640625" style="740" customWidth="1"/>
    <col min="1279" max="1280" width="50" style="740" customWidth="1"/>
    <col min="1281" max="1281" width="52.6640625" style="740" customWidth="1"/>
    <col min="1282" max="1282" width="56.83203125" style="740" customWidth="1"/>
    <col min="1283" max="1283" width="58" style="740" customWidth="1"/>
    <col min="1284" max="1284" width="56.6640625" style="740" customWidth="1"/>
    <col min="1285" max="1285" width="54.33203125" style="740" customWidth="1"/>
    <col min="1286" max="1286" width="49.83203125" style="740" customWidth="1"/>
    <col min="1287" max="1287" width="56.83203125" style="740" customWidth="1"/>
    <col min="1288" max="1289" width="49.83203125" style="740" customWidth="1"/>
    <col min="1290" max="1290" width="151" style="740" customWidth="1"/>
    <col min="1291" max="1291" width="22.5" style="740" customWidth="1"/>
    <col min="1292" max="1533" width="12" style="740"/>
    <col min="1534" max="1534" width="152.1640625" style="740" customWidth="1"/>
    <col min="1535" max="1536" width="50" style="740" customWidth="1"/>
    <col min="1537" max="1537" width="52.6640625" style="740" customWidth="1"/>
    <col min="1538" max="1538" width="56.83203125" style="740" customWidth="1"/>
    <col min="1539" max="1539" width="58" style="740" customWidth="1"/>
    <col min="1540" max="1540" width="56.6640625" style="740" customWidth="1"/>
    <col min="1541" max="1541" width="54.33203125" style="740" customWidth="1"/>
    <col min="1542" max="1542" width="49.83203125" style="740" customWidth="1"/>
    <col min="1543" max="1543" width="56.83203125" style="740" customWidth="1"/>
    <col min="1544" max="1545" width="49.83203125" style="740" customWidth="1"/>
    <col min="1546" max="1546" width="151" style="740" customWidth="1"/>
    <col min="1547" max="1547" width="22.5" style="740" customWidth="1"/>
    <col min="1548" max="1789" width="12" style="740"/>
    <col min="1790" max="1790" width="152.1640625" style="740" customWidth="1"/>
    <col min="1791" max="1792" width="50" style="740" customWidth="1"/>
    <col min="1793" max="1793" width="52.6640625" style="740" customWidth="1"/>
    <col min="1794" max="1794" width="56.83203125" style="740" customWidth="1"/>
    <col min="1795" max="1795" width="58" style="740" customWidth="1"/>
    <col min="1796" max="1796" width="56.6640625" style="740" customWidth="1"/>
    <col min="1797" max="1797" width="54.33203125" style="740" customWidth="1"/>
    <col min="1798" max="1798" width="49.83203125" style="740" customWidth="1"/>
    <col min="1799" max="1799" width="56.83203125" style="740" customWidth="1"/>
    <col min="1800" max="1801" width="49.83203125" style="740" customWidth="1"/>
    <col min="1802" max="1802" width="151" style="740" customWidth="1"/>
    <col min="1803" max="1803" width="22.5" style="740" customWidth="1"/>
    <col min="1804" max="2045" width="12" style="740"/>
    <col min="2046" max="2046" width="152.1640625" style="740" customWidth="1"/>
    <col min="2047" max="2048" width="50" style="740" customWidth="1"/>
    <col min="2049" max="2049" width="52.6640625" style="740" customWidth="1"/>
    <col min="2050" max="2050" width="56.83203125" style="740" customWidth="1"/>
    <col min="2051" max="2051" width="58" style="740" customWidth="1"/>
    <col min="2052" max="2052" width="56.6640625" style="740" customWidth="1"/>
    <col min="2053" max="2053" width="54.33203125" style="740" customWidth="1"/>
    <col min="2054" max="2054" width="49.83203125" style="740" customWidth="1"/>
    <col min="2055" max="2055" width="56.83203125" style="740" customWidth="1"/>
    <col min="2056" max="2057" width="49.83203125" style="740" customWidth="1"/>
    <col min="2058" max="2058" width="151" style="740" customWidth="1"/>
    <col min="2059" max="2059" width="22.5" style="740" customWidth="1"/>
    <col min="2060" max="2301" width="12" style="740"/>
    <col min="2302" max="2302" width="152.1640625" style="740" customWidth="1"/>
    <col min="2303" max="2304" width="50" style="740" customWidth="1"/>
    <col min="2305" max="2305" width="52.6640625" style="740" customWidth="1"/>
    <col min="2306" max="2306" width="56.83203125" style="740" customWidth="1"/>
    <col min="2307" max="2307" width="58" style="740" customWidth="1"/>
    <col min="2308" max="2308" width="56.6640625" style="740" customWidth="1"/>
    <col min="2309" max="2309" width="54.33203125" style="740" customWidth="1"/>
    <col min="2310" max="2310" width="49.83203125" style="740" customWidth="1"/>
    <col min="2311" max="2311" width="56.83203125" style="740" customWidth="1"/>
    <col min="2312" max="2313" width="49.83203125" style="740" customWidth="1"/>
    <col min="2314" max="2314" width="151" style="740" customWidth="1"/>
    <col min="2315" max="2315" width="22.5" style="740" customWidth="1"/>
    <col min="2316" max="2557" width="12" style="740"/>
    <col min="2558" max="2558" width="152.1640625" style="740" customWidth="1"/>
    <col min="2559" max="2560" width="50" style="740" customWidth="1"/>
    <col min="2561" max="2561" width="52.6640625" style="740" customWidth="1"/>
    <col min="2562" max="2562" width="56.83203125" style="740" customWidth="1"/>
    <col min="2563" max="2563" width="58" style="740" customWidth="1"/>
    <col min="2564" max="2564" width="56.6640625" style="740" customWidth="1"/>
    <col min="2565" max="2565" width="54.33203125" style="740" customWidth="1"/>
    <col min="2566" max="2566" width="49.83203125" style="740" customWidth="1"/>
    <col min="2567" max="2567" width="56.83203125" style="740" customWidth="1"/>
    <col min="2568" max="2569" width="49.83203125" style="740" customWidth="1"/>
    <col min="2570" max="2570" width="151" style="740" customWidth="1"/>
    <col min="2571" max="2571" width="22.5" style="740" customWidth="1"/>
    <col min="2572" max="2813" width="12" style="740"/>
    <col min="2814" max="2814" width="152.1640625" style="740" customWidth="1"/>
    <col min="2815" max="2816" width="50" style="740" customWidth="1"/>
    <col min="2817" max="2817" width="52.6640625" style="740" customWidth="1"/>
    <col min="2818" max="2818" width="56.83203125" style="740" customWidth="1"/>
    <col min="2819" max="2819" width="58" style="740" customWidth="1"/>
    <col min="2820" max="2820" width="56.6640625" style="740" customWidth="1"/>
    <col min="2821" max="2821" width="54.33203125" style="740" customWidth="1"/>
    <col min="2822" max="2822" width="49.83203125" style="740" customWidth="1"/>
    <col min="2823" max="2823" width="56.83203125" style="740" customWidth="1"/>
    <col min="2824" max="2825" width="49.83203125" style="740" customWidth="1"/>
    <col min="2826" max="2826" width="151" style="740" customWidth="1"/>
    <col min="2827" max="2827" width="22.5" style="740" customWidth="1"/>
    <col min="2828" max="3069" width="12" style="740"/>
    <col min="3070" max="3070" width="152.1640625" style="740" customWidth="1"/>
    <col min="3071" max="3072" width="50" style="740" customWidth="1"/>
    <col min="3073" max="3073" width="52.6640625" style="740" customWidth="1"/>
    <col min="3074" max="3074" width="56.83203125" style="740" customWidth="1"/>
    <col min="3075" max="3075" width="58" style="740" customWidth="1"/>
    <col min="3076" max="3076" width="56.6640625" style="740" customWidth="1"/>
    <col min="3077" max="3077" width="54.33203125" style="740" customWidth="1"/>
    <col min="3078" max="3078" width="49.83203125" style="740" customWidth="1"/>
    <col min="3079" max="3079" width="56.83203125" style="740" customWidth="1"/>
    <col min="3080" max="3081" width="49.83203125" style="740" customWidth="1"/>
    <col min="3082" max="3082" width="151" style="740" customWidth="1"/>
    <col min="3083" max="3083" width="22.5" style="740" customWidth="1"/>
    <col min="3084" max="3325" width="12" style="740"/>
    <col min="3326" max="3326" width="152.1640625" style="740" customWidth="1"/>
    <col min="3327" max="3328" width="50" style="740" customWidth="1"/>
    <col min="3329" max="3329" width="52.6640625" style="740" customWidth="1"/>
    <col min="3330" max="3330" width="56.83203125" style="740" customWidth="1"/>
    <col min="3331" max="3331" width="58" style="740" customWidth="1"/>
    <col min="3332" max="3332" width="56.6640625" style="740" customWidth="1"/>
    <col min="3333" max="3333" width="54.33203125" style="740" customWidth="1"/>
    <col min="3334" max="3334" width="49.83203125" style="740" customWidth="1"/>
    <col min="3335" max="3335" width="56.83203125" style="740" customWidth="1"/>
    <col min="3336" max="3337" width="49.83203125" style="740" customWidth="1"/>
    <col min="3338" max="3338" width="151" style="740" customWidth="1"/>
    <col min="3339" max="3339" width="22.5" style="740" customWidth="1"/>
    <col min="3340" max="3581" width="12" style="740"/>
    <col min="3582" max="3582" width="152.1640625" style="740" customWidth="1"/>
    <col min="3583" max="3584" width="50" style="740" customWidth="1"/>
    <col min="3585" max="3585" width="52.6640625" style="740" customWidth="1"/>
    <col min="3586" max="3586" width="56.83203125" style="740" customWidth="1"/>
    <col min="3587" max="3587" width="58" style="740" customWidth="1"/>
    <col min="3588" max="3588" width="56.6640625" style="740" customWidth="1"/>
    <col min="3589" max="3589" width="54.33203125" style="740" customWidth="1"/>
    <col min="3590" max="3590" width="49.83203125" style="740" customWidth="1"/>
    <col min="3591" max="3591" width="56.83203125" style="740" customWidth="1"/>
    <col min="3592" max="3593" width="49.83203125" style="740" customWidth="1"/>
    <col min="3594" max="3594" width="151" style="740" customWidth="1"/>
    <col min="3595" max="3595" width="22.5" style="740" customWidth="1"/>
    <col min="3596" max="3837" width="12" style="740"/>
    <col min="3838" max="3838" width="152.1640625" style="740" customWidth="1"/>
    <col min="3839" max="3840" width="50" style="740" customWidth="1"/>
    <col min="3841" max="3841" width="52.6640625" style="740" customWidth="1"/>
    <col min="3842" max="3842" width="56.83203125" style="740" customWidth="1"/>
    <col min="3843" max="3843" width="58" style="740" customWidth="1"/>
    <col min="3844" max="3844" width="56.6640625" style="740" customWidth="1"/>
    <col min="3845" max="3845" width="54.33203125" style="740" customWidth="1"/>
    <col min="3846" max="3846" width="49.83203125" style="740" customWidth="1"/>
    <col min="3847" max="3847" width="56.83203125" style="740" customWidth="1"/>
    <col min="3848" max="3849" width="49.83203125" style="740" customWidth="1"/>
    <col min="3850" max="3850" width="151" style="740" customWidth="1"/>
    <col min="3851" max="3851" width="22.5" style="740" customWidth="1"/>
    <col min="3852" max="4093" width="12" style="740"/>
    <col min="4094" max="4094" width="152.1640625" style="740" customWidth="1"/>
    <col min="4095" max="4096" width="50" style="740" customWidth="1"/>
    <col min="4097" max="4097" width="52.6640625" style="740" customWidth="1"/>
    <col min="4098" max="4098" width="56.83203125" style="740" customWidth="1"/>
    <col min="4099" max="4099" width="58" style="740" customWidth="1"/>
    <col min="4100" max="4100" width="56.6640625" style="740" customWidth="1"/>
    <col min="4101" max="4101" width="54.33203125" style="740" customWidth="1"/>
    <col min="4102" max="4102" width="49.83203125" style="740" customWidth="1"/>
    <col min="4103" max="4103" width="56.83203125" style="740" customWidth="1"/>
    <col min="4104" max="4105" width="49.83203125" style="740" customWidth="1"/>
    <col min="4106" max="4106" width="151" style="740" customWidth="1"/>
    <col min="4107" max="4107" width="22.5" style="740" customWidth="1"/>
    <col min="4108" max="4349" width="12" style="740"/>
    <col min="4350" max="4350" width="152.1640625" style="740" customWidth="1"/>
    <col min="4351" max="4352" width="50" style="740" customWidth="1"/>
    <col min="4353" max="4353" width="52.6640625" style="740" customWidth="1"/>
    <col min="4354" max="4354" width="56.83203125" style="740" customWidth="1"/>
    <col min="4355" max="4355" width="58" style="740" customWidth="1"/>
    <col min="4356" max="4356" width="56.6640625" style="740" customWidth="1"/>
    <col min="4357" max="4357" width="54.33203125" style="740" customWidth="1"/>
    <col min="4358" max="4358" width="49.83203125" style="740" customWidth="1"/>
    <col min="4359" max="4359" width="56.83203125" style="740" customWidth="1"/>
    <col min="4360" max="4361" width="49.83203125" style="740" customWidth="1"/>
    <col min="4362" max="4362" width="151" style="740" customWidth="1"/>
    <col min="4363" max="4363" width="22.5" style="740" customWidth="1"/>
    <col min="4364" max="4605" width="12" style="740"/>
    <col min="4606" max="4606" width="152.1640625" style="740" customWidth="1"/>
    <col min="4607" max="4608" width="50" style="740" customWidth="1"/>
    <col min="4609" max="4609" width="52.6640625" style="740" customWidth="1"/>
    <col min="4610" max="4610" width="56.83203125" style="740" customWidth="1"/>
    <col min="4611" max="4611" width="58" style="740" customWidth="1"/>
    <col min="4612" max="4612" width="56.6640625" style="740" customWidth="1"/>
    <col min="4613" max="4613" width="54.33203125" style="740" customWidth="1"/>
    <col min="4614" max="4614" width="49.83203125" style="740" customWidth="1"/>
    <col min="4615" max="4615" width="56.83203125" style="740" customWidth="1"/>
    <col min="4616" max="4617" width="49.83203125" style="740" customWidth="1"/>
    <col min="4618" max="4618" width="151" style="740" customWidth="1"/>
    <col min="4619" max="4619" width="22.5" style="740" customWidth="1"/>
    <col min="4620" max="4861" width="12" style="740"/>
    <col min="4862" max="4862" width="152.1640625" style="740" customWidth="1"/>
    <col min="4863" max="4864" width="50" style="740" customWidth="1"/>
    <col min="4865" max="4865" width="52.6640625" style="740" customWidth="1"/>
    <col min="4866" max="4866" width="56.83203125" style="740" customWidth="1"/>
    <col min="4867" max="4867" width="58" style="740" customWidth="1"/>
    <col min="4868" max="4868" width="56.6640625" style="740" customWidth="1"/>
    <col min="4869" max="4869" width="54.33203125" style="740" customWidth="1"/>
    <col min="4870" max="4870" width="49.83203125" style="740" customWidth="1"/>
    <col min="4871" max="4871" width="56.83203125" style="740" customWidth="1"/>
    <col min="4872" max="4873" width="49.83203125" style="740" customWidth="1"/>
    <col min="4874" max="4874" width="151" style="740" customWidth="1"/>
    <col min="4875" max="4875" width="22.5" style="740" customWidth="1"/>
    <col min="4876" max="5117" width="12" style="740"/>
    <col min="5118" max="5118" width="152.1640625" style="740" customWidth="1"/>
    <col min="5119" max="5120" width="50" style="740" customWidth="1"/>
    <col min="5121" max="5121" width="52.6640625" style="740" customWidth="1"/>
    <col min="5122" max="5122" width="56.83203125" style="740" customWidth="1"/>
    <col min="5123" max="5123" width="58" style="740" customWidth="1"/>
    <col min="5124" max="5124" width="56.6640625" style="740" customWidth="1"/>
    <col min="5125" max="5125" width="54.33203125" style="740" customWidth="1"/>
    <col min="5126" max="5126" width="49.83203125" style="740" customWidth="1"/>
    <col min="5127" max="5127" width="56.83203125" style="740" customWidth="1"/>
    <col min="5128" max="5129" width="49.83203125" style="740" customWidth="1"/>
    <col min="5130" max="5130" width="151" style="740" customWidth="1"/>
    <col min="5131" max="5131" width="22.5" style="740" customWidth="1"/>
    <col min="5132" max="5373" width="12" style="740"/>
    <col min="5374" max="5374" width="152.1640625" style="740" customWidth="1"/>
    <col min="5375" max="5376" width="50" style="740" customWidth="1"/>
    <col min="5377" max="5377" width="52.6640625" style="740" customWidth="1"/>
    <col min="5378" max="5378" width="56.83203125" style="740" customWidth="1"/>
    <col min="5379" max="5379" width="58" style="740" customWidth="1"/>
    <col min="5380" max="5380" width="56.6640625" style="740" customWidth="1"/>
    <col min="5381" max="5381" width="54.33203125" style="740" customWidth="1"/>
    <col min="5382" max="5382" width="49.83203125" style="740" customWidth="1"/>
    <col min="5383" max="5383" width="56.83203125" style="740" customWidth="1"/>
    <col min="5384" max="5385" width="49.83203125" style="740" customWidth="1"/>
    <col min="5386" max="5386" width="151" style="740" customWidth="1"/>
    <col min="5387" max="5387" width="22.5" style="740" customWidth="1"/>
    <col min="5388" max="5629" width="12" style="740"/>
    <col min="5630" max="5630" width="152.1640625" style="740" customWidth="1"/>
    <col min="5631" max="5632" width="50" style="740" customWidth="1"/>
    <col min="5633" max="5633" width="52.6640625" style="740" customWidth="1"/>
    <col min="5634" max="5634" width="56.83203125" style="740" customWidth="1"/>
    <col min="5635" max="5635" width="58" style="740" customWidth="1"/>
    <col min="5636" max="5636" width="56.6640625" style="740" customWidth="1"/>
    <col min="5637" max="5637" width="54.33203125" style="740" customWidth="1"/>
    <col min="5638" max="5638" width="49.83203125" style="740" customWidth="1"/>
    <col min="5639" max="5639" width="56.83203125" style="740" customWidth="1"/>
    <col min="5640" max="5641" width="49.83203125" style="740" customWidth="1"/>
    <col min="5642" max="5642" width="151" style="740" customWidth="1"/>
    <col min="5643" max="5643" width="22.5" style="740" customWidth="1"/>
    <col min="5644" max="5885" width="12" style="740"/>
    <col min="5886" max="5886" width="152.1640625" style="740" customWidth="1"/>
    <col min="5887" max="5888" width="50" style="740" customWidth="1"/>
    <col min="5889" max="5889" width="52.6640625" style="740" customWidth="1"/>
    <col min="5890" max="5890" width="56.83203125" style="740" customWidth="1"/>
    <col min="5891" max="5891" width="58" style="740" customWidth="1"/>
    <col min="5892" max="5892" width="56.6640625" style="740" customWidth="1"/>
    <col min="5893" max="5893" width="54.33203125" style="740" customWidth="1"/>
    <col min="5894" max="5894" width="49.83203125" style="740" customWidth="1"/>
    <col min="5895" max="5895" width="56.83203125" style="740" customWidth="1"/>
    <col min="5896" max="5897" width="49.83203125" style="740" customWidth="1"/>
    <col min="5898" max="5898" width="151" style="740" customWidth="1"/>
    <col min="5899" max="5899" width="22.5" style="740" customWidth="1"/>
    <col min="5900" max="6141" width="12" style="740"/>
    <col min="6142" max="6142" width="152.1640625" style="740" customWidth="1"/>
    <col min="6143" max="6144" width="50" style="740" customWidth="1"/>
    <col min="6145" max="6145" width="52.6640625" style="740" customWidth="1"/>
    <col min="6146" max="6146" width="56.83203125" style="740" customWidth="1"/>
    <col min="6147" max="6147" width="58" style="740" customWidth="1"/>
    <col min="6148" max="6148" width="56.6640625" style="740" customWidth="1"/>
    <col min="6149" max="6149" width="54.33203125" style="740" customWidth="1"/>
    <col min="6150" max="6150" width="49.83203125" style="740" customWidth="1"/>
    <col min="6151" max="6151" width="56.83203125" style="740" customWidth="1"/>
    <col min="6152" max="6153" width="49.83203125" style="740" customWidth="1"/>
    <col min="6154" max="6154" width="151" style="740" customWidth="1"/>
    <col min="6155" max="6155" width="22.5" style="740" customWidth="1"/>
    <col min="6156" max="6397" width="12" style="740"/>
    <col min="6398" max="6398" width="152.1640625" style="740" customWidth="1"/>
    <col min="6399" max="6400" width="50" style="740" customWidth="1"/>
    <col min="6401" max="6401" width="52.6640625" style="740" customWidth="1"/>
    <col min="6402" max="6402" width="56.83203125" style="740" customWidth="1"/>
    <col min="6403" max="6403" width="58" style="740" customWidth="1"/>
    <col min="6404" max="6404" width="56.6640625" style="740" customWidth="1"/>
    <col min="6405" max="6405" width="54.33203125" style="740" customWidth="1"/>
    <col min="6406" max="6406" width="49.83203125" style="740" customWidth="1"/>
    <col min="6407" max="6407" width="56.83203125" style="740" customWidth="1"/>
    <col min="6408" max="6409" width="49.83203125" style="740" customWidth="1"/>
    <col min="6410" max="6410" width="151" style="740" customWidth="1"/>
    <col min="6411" max="6411" width="22.5" style="740" customWidth="1"/>
    <col min="6412" max="6653" width="12" style="740"/>
    <col min="6654" max="6654" width="152.1640625" style="740" customWidth="1"/>
    <col min="6655" max="6656" width="50" style="740" customWidth="1"/>
    <col min="6657" max="6657" width="52.6640625" style="740" customWidth="1"/>
    <col min="6658" max="6658" width="56.83203125" style="740" customWidth="1"/>
    <col min="6659" max="6659" width="58" style="740" customWidth="1"/>
    <col min="6660" max="6660" width="56.6640625" style="740" customWidth="1"/>
    <col min="6661" max="6661" width="54.33203125" style="740" customWidth="1"/>
    <col min="6662" max="6662" width="49.83203125" style="740" customWidth="1"/>
    <col min="6663" max="6663" width="56.83203125" style="740" customWidth="1"/>
    <col min="6664" max="6665" width="49.83203125" style="740" customWidth="1"/>
    <col min="6666" max="6666" width="151" style="740" customWidth="1"/>
    <col min="6667" max="6667" width="22.5" style="740" customWidth="1"/>
    <col min="6668" max="6909" width="12" style="740"/>
    <col min="6910" max="6910" width="152.1640625" style="740" customWidth="1"/>
    <col min="6911" max="6912" width="50" style="740" customWidth="1"/>
    <col min="6913" max="6913" width="52.6640625" style="740" customWidth="1"/>
    <col min="6914" max="6914" width="56.83203125" style="740" customWidth="1"/>
    <col min="6915" max="6915" width="58" style="740" customWidth="1"/>
    <col min="6916" max="6916" width="56.6640625" style="740" customWidth="1"/>
    <col min="6917" max="6917" width="54.33203125" style="740" customWidth="1"/>
    <col min="6918" max="6918" width="49.83203125" style="740" customWidth="1"/>
    <col min="6919" max="6919" width="56.83203125" style="740" customWidth="1"/>
    <col min="6920" max="6921" width="49.83203125" style="740" customWidth="1"/>
    <col min="6922" max="6922" width="151" style="740" customWidth="1"/>
    <col min="6923" max="6923" width="22.5" style="740" customWidth="1"/>
    <col min="6924" max="7165" width="12" style="740"/>
    <col min="7166" max="7166" width="152.1640625" style="740" customWidth="1"/>
    <col min="7167" max="7168" width="50" style="740" customWidth="1"/>
    <col min="7169" max="7169" width="52.6640625" style="740" customWidth="1"/>
    <col min="7170" max="7170" width="56.83203125" style="740" customWidth="1"/>
    <col min="7171" max="7171" width="58" style="740" customWidth="1"/>
    <col min="7172" max="7172" width="56.6640625" style="740" customWidth="1"/>
    <col min="7173" max="7173" width="54.33203125" style="740" customWidth="1"/>
    <col min="7174" max="7174" width="49.83203125" style="740" customWidth="1"/>
    <col min="7175" max="7175" width="56.83203125" style="740" customWidth="1"/>
    <col min="7176" max="7177" width="49.83203125" style="740" customWidth="1"/>
    <col min="7178" max="7178" width="151" style="740" customWidth="1"/>
    <col min="7179" max="7179" width="22.5" style="740" customWidth="1"/>
    <col min="7180" max="7421" width="12" style="740"/>
    <col min="7422" max="7422" width="152.1640625" style="740" customWidth="1"/>
    <col min="7423" max="7424" width="50" style="740" customWidth="1"/>
    <col min="7425" max="7425" width="52.6640625" style="740" customWidth="1"/>
    <col min="7426" max="7426" width="56.83203125" style="740" customWidth="1"/>
    <col min="7427" max="7427" width="58" style="740" customWidth="1"/>
    <col min="7428" max="7428" width="56.6640625" style="740" customWidth="1"/>
    <col min="7429" max="7429" width="54.33203125" style="740" customWidth="1"/>
    <col min="7430" max="7430" width="49.83203125" style="740" customWidth="1"/>
    <col min="7431" max="7431" width="56.83203125" style="740" customWidth="1"/>
    <col min="7432" max="7433" width="49.83203125" style="740" customWidth="1"/>
    <col min="7434" max="7434" width="151" style="740" customWidth="1"/>
    <col min="7435" max="7435" width="22.5" style="740" customWidth="1"/>
    <col min="7436" max="7677" width="12" style="740"/>
    <col min="7678" max="7678" width="152.1640625" style="740" customWidth="1"/>
    <col min="7679" max="7680" width="50" style="740" customWidth="1"/>
    <col min="7681" max="7681" width="52.6640625" style="740" customWidth="1"/>
    <col min="7682" max="7682" width="56.83203125" style="740" customWidth="1"/>
    <col min="7683" max="7683" width="58" style="740" customWidth="1"/>
    <col min="7684" max="7684" width="56.6640625" style="740" customWidth="1"/>
    <col min="7685" max="7685" width="54.33203125" style="740" customWidth="1"/>
    <col min="7686" max="7686" width="49.83203125" style="740" customWidth="1"/>
    <col min="7687" max="7687" width="56.83203125" style="740" customWidth="1"/>
    <col min="7688" max="7689" width="49.83203125" style="740" customWidth="1"/>
    <col min="7690" max="7690" width="151" style="740" customWidth="1"/>
    <col min="7691" max="7691" width="22.5" style="740" customWidth="1"/>
    <col min="7692" max="7933" width="12" style="740"/>
    <col min="7934" max="7934" width="152.1640625" style="740" customWidth="1"/>
    <col min="7935" max="7936" width="50" style="740" customWidth="1"/>
    <col min="7937" max="7937" width="52.6640625" style="740" customWidth="1"/>
    <col min="7938" max="7938" width="56.83203125" style="740" customWidth="1"/>
    <col min="7939" max="7939" width="58" style="740" customWidth="1"/>
    <col min="7940" max="7940" width="56.6640625" style="740" customWidth="1"/>
    <col min="7941" max="7941" width="54.33203125" style="740" customWidth="1"/>
    <col min="7942" max="7942" width="49.83203125" style="740" customWidth="1"/>
    <col min="7943" max="7943" width="56.83203125" style="740" customWidth="1"/>
    <col min="7944" max="7945" width="49.83203125" style="740" customWidth="1"/>
    <col min="7946" max="7946" width="151" style="740" customWidth="1"/>
    <col min="7947" max="7947" width="22.5" style="740" customWidth="1"/>
    <col min="7948" max="8189" width="12" style="740"/>
    <col min="8190" max="8190" width="152.1640625" style="740" customWidth="1"/>
    <col min="8191" max="8192" width="50" style="740" customWidth="1"/>
    <col min="8193" max="8193" width="52.6640625" style="740" customWidth="1"/>
    <col min="8194" max="8194" width="56.83203125" style="740" customWidth="1"/>
    <col min="8195" max="8195" width="58" style="740" customWidth="1"/>
    <col min="8196" max="8196" width="56.6640625" style="740" customWidth="1"/>
    <col min="8197" max="8197" width="54.33203125" style="740" customWidth="1"/>
    <col min="8198" max="8198" width="49.83203125" style="740" customWidth="1"/>
    <col min="8199" max="8199" width="56.83203125" style="740" customWidth="1"/>
    <col min="8200" max="8201" width="49.83203125" style="740" customWidth="1"/>
    <col min="8202" max="8202" width="151" style="740" customWidth="1"/>
    <col min="8203" max="8203" width="22.5" style="740" customWidth="1"/>
    <col min="8204" max="8445" width="12" style="740"/>
    <col min="8446" max="8446" width="152.1640625" style="740" customWidth="1"/>
    <col min="8447" max="8448" width="50" style="740" customWidth="1"/>
    <col min="8449" max="8449" width="52.6640625" style="740" customWidth="1"/>
    <col min="8450" max="8450" width="56.83203125" style="740" customWidth="1"/>
    <col min="8451" max="8451" width="58" style="740" customWidth="1"/>
    <col min="8452" max="8452" width="56.6640625" style="740" customWidth="1"/>
    <col min="8453" max="8453" width="54.33203125" style="740" customWidth="1"/>
    <col min="8454" max="8454" width="49.83203125" style="740" customWidth="1"/>
    <col min="8455" max="8455" width="56.83203125" style="740" customWidth="1"/>
    <col min="8456" max="8457" width="49.83203125" style="740" customWidth="1"/>
    <col min="8458" max="8458" width="151" style="740" customWidth="1"/>
    <col min="8459" max="8459" width="22.5" style="740" customWidth="1"/>
    <col min="8460" max="8701" width="12" style="740"/>
    <col min="8702" max="8702" width="152.1640625" style="740" customWidth="1"/>
    <col min="8703" max="8704" width="50" style="740" customWidth="1"/>
    <col min="8705" max="8705" width="52.6640625" style="740" customWidth="1"/>
    <col min="8706" max="8706" width="56.83203125" style="740" customWidth="1"/>
    <col min="8707" max="8707" width="58" style="740" customWidth="1"/>
    <col min="8708" max="8708" width="56.6640625" style="740" customWidth="1"/>
    <col min="8709" max="8709" width="54.33203125" style="740" customWidth="1"/>
    <col min="8710" max="8710" width="49.83203125" style="740" customWidth="1"/>
    <col min="8711" max="8711" width="56.83203125" style="740" customWidth="1"/>
    <col min="8712" max="8713" width="49.83203125" style="740" customWidth="1"/>
    <col min="8714" max="8714" width="151" style="740" customWidth="1"/>
    <col min="8715" max="8715" width="22.5" style="740" customWidth="1"/>
    <col min="8716" max="8957" width="12" style="740"/>
    <col min="8958" max="8958" width="152.1640625" style="740" customWidth="1"/>
    <col min="8959" max="8960" width="50" style="740" customWidth="1"/>
    <col min="8961" max="8961" width="52.6640625" style="740" customWidth="1"/>
    <col min="8962" max="8962" width="56.83203125" style="740" customWidth="1"/>
    <col min="8963" max="8963" width="58" style="740" customWidth="1"/>
    <col min="8964" max="8964" width="56.6640625" style="740" customWidth="1"/>
    <col min="8965" max="8965" width="54.33203125" style="740" customWidth="1"/>
    <col min="8966" max="8966" width="49.83203125" style="740" customWidth="1"/>
    <col min="8967" max="8967" width="56.83203125" style="740" customWidth="1"/>
    <col min="8968" max="8969" width="49.83203125" style="740" customWidth="1"/>
    <col min="8970" max="8970" width="151" style="740" customWidth="1"/>
    <col min="8971" max="8971" width="22.5" style="740" customWidth="1"/>
    <col min="8972" max="9213" width="12" style="740"/>
    <col min="9214" max="9214" width="152.1640625" style="740" customWidth="1"/>
    <col min="9215" max="9216" width="50" style="740" customWidth="1"/>
    <col min="9217" max="9217" width="52.6640625" style="740" customWidth="1"/>
    <col min="9218" max="9218" width="56.83203125" style="740" customWidth="1"/>
    <col min="9219" max="9219" width="58" style="740" customWidth="1"/>
    <col min="9220" max="9220" width="56.6640625" style="740" customWidth="1"/>
    <col min="9221" max="9221" width="54.33203125" style="740" customWidth="1"/>
    <col min="9222" max="9222" width="49.83203125" style="740" customWidth="1"/>
    <col min="9223" max="9223" width="56.83203125" style="740" customWidth="1"/>
    <col min="9224" max="9225" width="49.83203125" style="740" customWidth="1"/>
    <col min="9226" max="9226" width="151" style="740" customWidth="1"/>
    <col min="9227" max="9227" width="22.5" style="740" customWidth="1"/>
    <col min="9228" max="9469" width="12" style="740"/>
    <col min="9470" max="9470" width="152.1640625" style="740" customWidth="1"/>
    <col min="9471" max="9472" width="50" style="740" customWidth="1"/>
    <col min="9473" max="9473" width="52.6640625" style="740" customWidth="1"/>
    <col min="9474" max="9474" width="56.83203125" style="740" customWidth="1"/>
    <col min="9475" max="9475" width="58" style="740" customWidth="1"/>
    <col min="9476" max="9476" width="56.6640625" style="740" customWidth="1"/>
    <col min="9477" max="9477" width="54.33203125" style="740" customWidth="1"/>
    <col min="9478" max="9478" width="49.83203125" style="740" customWidth="1"/>
    <col min="9479" max="9479" width="56.83203125" style="740" customWidth="1"/>
    <col min="9480" max="9481" width="49.83203125" style="740" customWidth="1"/>
    <col min="9482" max="9482" width="151" style="740" customWidth="1"/>
    <col min="9483" max="9483" width="22.5" style="740" customWidth="1"/>
    <col min="9484" max="9725" width="12" style="740"/>
    <col min="9726" max="9726" width="152.1640625" style="740" customWidth="1"/>
    <col min="9727" max="9728" width="50" style="740" customWidth="1"/>
    <col min="9729" max="9729" width="52.6640625" style="740" customWidth="1"/>
    <col min="9730" max="9730" width="56.83203125" style="740" customWidth="1"/>
    <col min="9731" max="9731" width="58" style="740" customWidth="1"/>
    <col min="9732" max="9732" width="56.6640625" style="740" customWidth="1"/>
    <col min="9733" max="9733" width="54.33203125" style="740" customWidth="1"/>
    <col min="9734" max="9734" width="49.83203125" style="740" customWidth="1"/>
    <col min="9735" max="9735" width="56.83203125" style="740" customWidth="1"/>
    <col min="9736" max="9737" width="49.83203125" style="740" customWidth="1"/>
    <col min="9738" max="9738" width="151" style="740" customWidth="1"/>
    <col min="9739" max="9739" width="22.5" style="740" customWidth="1"/>
    <col min="9740" max="9981" width="12" style="740"/>
    <col min="9982" max="9982" width="152.1640625" style="740" customWidth="1"/>
    <col min="9983" max="9984" width="50" style="740" customWidth="1"/>
    <col min="9985" max="9985" width="52.6640625" style="740" customWidth="1"/>
    <col min="9986" max="9986" width="56.83203125" style="740" customWidth="1"/>
    <col min="9987" max="9987" width="58" style="740" customWidth="1"/>
    <col min="9988" max="9988" width="56.6640625" style="740" customWidth="1"/>
    <col min="9989" max="9989" width="54.33203125" style="740" customWidth="1"/>
    <col min="9990" max="9990" width="49.83203125" style="740" customWidth="1"/>
    <col min="9991" max="9991" width="56.83203125" style="740" customWidth="1"/>
    <col min="9992" max="9993" width="49.83203125" style="740" customWidth="1"/>
    <col min="9994" max="9994" width="151" style="740" customWidth="1"/>
    <col min="9995" max="9995" width="22.5" style="740" customWidth="1"/>
    <col min="9996" max="10237" width="12" style="740"/>
    <col min="10238" max="10238" width="152.1640625" style="740" customWidth="1"/>
    <col min="10239" max="10240" width="50" style="740" customWidth="1"/>
    <col min="10241" max="10241" width="52.6640625" style="740" customWidth="1"/>
    <col min="10242" max="10242" width="56.83203125" style="740" customWidth="1"/>
    <col min="10243" max="10243" width="58" style="740" customWidth="1"/>
    <col min="10244" max="10244" width="56.6640625" style="740" customWidth="1"/>
    <col min="10245" max="10245" width="54.33203125" style="740" customWidth="1"/>
    <col min="10246" max="10246" width="49.83203125" style="740" customWidth="1"/>
    <col min="10247" max="10247" width="56.83203125" style="740" customWidth="1"/>
    <col min="10248" max="10249" width="49.83203125" style="740" customWidth="1"/>
    <col min="10250" max="10250" width="151" style="740" customWidth="1"/>
    <col min="10251" max="10251" width="22.5" style="740" customWidth="1"/>
    <col min="10252" max="10493" width="12" style="740"/>
    <col min="10494" max="10494" width="152.1640625" style="740" customWidth="1"/>
    <col min="10495" max="10496" width="50" style="740" customWidth="1"/>
    <col min="10497" max="10497" width="52.6640625" style="740" customWidth="1"/>
    <col min="10498" max="10498" width="56.83203125" style="740" customWidth="1"/>
    <col min="10499" max="10499" width="58" style="740" customWidth="1"/>
    <col min="10500" max="10500" width="56.6640625" style="740" customWidth="1"/>
    <col min="10501" max="10501" width="54.33203125" style="740" customWidth="1"/>
    <col min="10502" max="10502" width="49.83203125" style="740" customWidth="1"/>
    <col min="10503" max="10503" width="56.83203125" style="740" customWidth="1"/>
    <col min="10504" max="10505" width="49.83203125" style="740" customWidth="1"/>
    <col min="10506" max="10506" width="151" style="740" customWidth="1"/>
    <col min="10507" max="10507" width="22.5" style="740" customWidth="1"/>
    <col min="10508" max="10749" width="12" style="740"/>
    <col min="10750" max="10750" width="152.1640625" style="740" customWidth="1"/>
    <col min="10751" max="10752" width="50" style="740" customWidth="1"/>
    <col min="10753" max="10753" width="52.6640625" style="740" customWidth="1"/>
    <col min="10754" max="10754" width="56.83203125" style="740" customWidth="1"/>
    <col min="10755" max="10755" width="58" style="740" customWidth="1"/>
    <col min="10756" max="10756" width="56.6640625" style="740" customWidth="1"/>
    <col min="10757" max="10757" width="54.33203125" style="740" customWidth="1"/>
    <col min="10758" max="10758" width="49.83203125" style="740" customWidth="1"/>
    <col min="10759" max="10759" width="56.83203125" style="740" customWidth="1"/>
    <col min="10760" max="10761" width="49.83203125" style="740" customWidth="1"/>
    <col min="10762" max="10762" width="151" style="740" customWidth="1"/>
    <col min="10763" max="10763" width="22.5" style="740" customWidth="1"/>
    <col min="10764" max="11005" width="12" style="740"/>
    <col min="11006" max="11006" width="152.1640625" style="740" customWidth="1"/>
    <col min="11007" max="11008" width="50" style="740" customWidth="1"/>
    <col min="11009" max="11009" width="52.6640625" style="740" customWidth="1"/>
    <col min="11010" max="11010" width="56.83203125" style="740" customWidth="1"/>
    <col min="11011" max="11011" width="58" style="740" customWidth="1"/>
    <col min="11012" max="11012" width="56.6640625" style="740" customWidth="1"/>
    <col min="11013" max="11013" width="54.33203125" style="740" customWidth="1"/>
    <col min="11014" max="11014" width="49.83203125" style="740" customWidth="1"/>
    <col min="11015" max="11015" width="56.83203125" style="740" customWidth="1"/>
    <col min="11016" max="11017" width="49.83203125" style="740" customWidth="1"/>
    <col min="11018" max="11018" width="151" style="740" customWidth="1"/>
    <col min="11019" max="11019" width="22.5" style="740" customWidth="1"/>
    <col min="11020" max="11261" width="12" style="740"/>
    <col min="11262" max="11262" width="152.1640625" style="740" customWidth="1"/>
    <col min="11263" max="11264" width="50" style="740" customWidth="1"/>
    <col min="11265" max="11265" width="52.6640625" style="740" customWidth="1"/>
    <col min="11266" max="11266" width="56.83203125" style="740" customWidth="1"/>
    <col min="11267" max="11267" width="58" style="740" customWidth="1"/>
    <col min="11268" max="11268" width="56.6640625" style="740" customWidth="1"/>
    <col min="11269" max="11269" width="54.33203125" style="740" customWidth="1"/>
    <col min="11270" max="11270" width="49.83203125" style="740" customWidth="1"/>
    <col min="11271" max="11271" width="56.83203125" style="740" customWidth="1"/>
    <col min="11272" max="11273" width="49.83203125" style="740" customWidth="1"/>
    <col min="11274" max="11274" width="151" style="740" customWidth="1"/>
    <col min="11275" max="11275" width="22.5" style="740" customWidth="1"/>
    <col min="11276" max="11517" width="12" style="740"/>
    <col min="11518" max="11518" width="152.1640625" style="740" customWidth="1"/>
    <col min="11519" max="11520" width="50" style="740" customWidth="1"/>
    <col min="11521" max="11521" width="52.6640625" style="740" customWidth="1"/>
    <col min="11522" max="11522" width="56.83203125" style="740" customWidth="1"/>
    <col min="11523" max="11523" width="58" style="740" customWidth="1"/>
    <col min="11524" max="11524" width="56.6640625" style="740" customWidth="1"/>
    <col min="11525" max="11525" width="54.33203125" style="740" customWidth="1"/>
    <col min="11526" max="11526" width="49.83203125" style="740" customWidth="1"/>
    <col min="11527" max="11527" width="56.83203125" style="740" customWidth="1"/>
    <col min="11528" max="11529" width="49.83203125" style="740" customWidth="1"/>
    <col min="11530" max="11530" width="151" style="740" customWidth="1"/>
    <col min="11531" max="11531" width="22.5" style="740" customWidth="1"/>
    <col min="11532" max="11773" width="12" style="740"/>
    <col min="11774" max="11774" width="152.1640625" style="740" customWidth="1"/>
    <col min="11775" max="11776" width="50" style="740" customWidth="1"/>
    <col min="11777" max="11777" width="52.6640625" style="740" customWidth="1"/>
    <col min="11778" max="11778" width="56.83203125" style="740" customWidth="1"/>
    <col min="11779" max="11779" width="58" style="740" customWidth="1"/>
    <col min="11780" max="11780" width="56.6640625" style="740" customWidth="1"/>
    <col min="11781" max="11781" width="54.33203125" style="740" customWidth="1"/>
    <col min="11782" max="11782" width="49.83203125" style="740" customWidth="1"/>
    <col min="11783" max="11783" width="56.83203125" style="740" customWidth="1"/>
    <col min="11784" max="11785" width="49.83203125" style="740" customWidth="1"/>
    <col min="11786" max="11786" width="151" style="740" customWidth="1"/>
    <col min="11787" max="11787" width="22.5" style="740" customWidth="1"/>
    <col min="11788" max="12029" width="12" style="740"/>
    <col min="12030" max="12030" width="152.1640625" style="740" customWidth="1"/>
    <col min="12031" max="12032" width="50" style="740" customWidth="1"/>
    <col min="12033" max="12033" width="52.6640625" style="740" customWidth="1"/>
    <col min="12034" max="12034" width="56.83203125" style="740" customWidth="1"/>
    <col min="12035" max="12035" width="58" style="740" customWidth="1"/>
    <col min="12036" max="12036" width="56.6640625" style="740" customWidth="1"/>
    <col min="12037" max="12037" width="54.33203125" style="740" customWidth="1"/>
    <col min="12038" max="12038" width="49.83203125" style="740" customWidth="1"/>
    <col min="12039" max="12039" width="56.83203125" style="740" customWidth="1"/>
    <col min="12040" max="12041" width="49.83203125" style="740" customWidth="1"/>
    <col min="12042" max="12042" width="151" style="740" customWidth="1"/>
    <col min="12043" max="12043" width="22.5" style="740" customWidth="1"/>
    <col min="12044" max="12285" width="12" style="740"/>
    <col min="12286" max="12286" width="152.1640625" style="740" customWidth="1"/>
    <col min="12287" max="12288" width="50" style="740" customWidth="1"/>
    <col min="12289" max="12289" width="52.6640625" style="740" customWidth="1"/>
    <col min="12290" max="12290" width="56.83203125" style="740" customWidth="1"/>
    <col min="12291" max="12291" width="58" style="740" customWidth="1"/>
    <col min="12292" max="12292" width="56.6640625" style="740" customWidth="1"/>
    <col min="12293" max="12293" width="54.33203125" style="740" customWidth="1"/>
    <col min="12294" max="12294" width="49.83203125" style="740" customWidth="1"/>
    <col min="12295" max="12295" width="56.83203125" style="740" customWidth="1"/>
    <col min="12296" max="12297" width="49.83203125" style="740" customWidth="1"/>
    <col min="12298" max="12298" width="151" style="740" customWidth="1"/>
    <col min="12299" max="12299" width="22.5" style="740" customWidth="1"/>
    <col min="12300" max="12541" width="12" style="740"/>
    <col min="12542" max="12542" width="152.1640625" style="740" customWidth="1"/>
    <col min="12543" max="12544" width="50" style="740" customWidth="1"/>
    <col min="12545" max="12545" width="52.6640625" style="740" customWidth="1"/>
    <col min="12546" max="12546" width="56.83203125" style="740" customWidth="1"/>
    <col min="12547" max="12547" width="58" style="740" customWidth="1"/>
    <col min="12548" max="12548" width="56.6640625" style="740" customWidth="1"/>
    <col min="12549" max="12549" width="54.33203125" style="740" customWidth="1"/>
    <col min="12550" max="12550" width="49.83203125" style="740" customWidth="1"/>
    <col min="12551" max="12551" width="56.83203125" style="740" customWidth="1"/>
    <col min="12552" max="12553" width="49.83203125" style="740" customWidth="1"/>
    <col min="12554" max="12554" width="151" style="740" customWidth="1"/>
    <col min="12555" max="12555" width="22.5" style="740" customWidth="1"/>
    <col min="12556" max="12797" width="12" style="740"/>
    <col min="12798" max="12798" width="152.1640625" style="740" customWidth="1"/>
    <col min="12799" max="12800" width="50" style="740" customWidth="1"/>
    <col min="12801" max="12801" width="52.6640625" style="740" customWidth="1"/>
    <col min="12802" max="12802" width="56.83203125" style="740" customWidth="1"/>
    <col min="12803" max="12803" width="58" style="740" customWidth="1"/>
    <col min="12804" max="12804" width="56.6640625" style="740" customWidth="1"/>
    <col min="12805" max="12805" width="54.33203125" style="740" customWidth="1"/>
    <col min="12806" max="12806" width="49.83203125" style="740" customWidth="1"/>
    <col min="12807" max="12807" width="56.83203125" style="740" customWidth="1"/>
    <col min="12808" max="12809" width="49.83203125" style="740" customWidth="1"/>
    <col min="12810" max="12810" width="151" style="740" customWidth="1"/>
    <col min="12811" max="12811" width="22.5" style="740" customWidth="1"/>
    <col min="12812" max="13053" width="12" style="740"/>
    <col min="13054" max="13054" width="152.1640625" style="740" customWidth="1"/>
    <col min="13055" max="13056" width="50" style="740" customWidth="1"/>
    <col min="13057" max="13057" width="52.6640625" style="740" customWidth="1"/>
    <col min="13058" max="13058" width="56.83203125" style="740" customWidth="1"/>
    <col min="13059" max="13059" width="58" style="740" customWidth="1"/>
    <col min="13060" max="13060" width="56.6640625" style="740" customWidth="1"/>
    <col min="13061" max="13061" width="54.33203125" style="740" customWidth="1"/>
    <col min="13062" max="13062" width="49.83203125" style="740" customWidth="1"/>
    <col min="13063" max="13063" width="56.83203125" style="740" customWidth="1"/>
    <col min="13064" max="13065" width="49.83203125" style="740" customWidth="1"/>
    <col min="13066" max="13066" width="151" style="740" customWidth="1"/>
    <col min="13067" max="13067" width="22.5" style="740" customWidth="1"/>
    <col min="13068" max="13309" width="12" style="740"/>
    <col min="13310" max="13310" width="152.1640625" style="740" customWidth="1"/>
    <col min="13311" max="13312" width="50" style="740" customWidth="1"/>
    <col min="13313" max="13313" width="52.6640625" style="740" customWidth="1"/>
    <col min="13314" max="13314" width="56.83203125" style="740" customWidth="1"/>
    <col min="13315" max="13315" width="58" style="740" customWidth="1"/>
    <col min="13316" max="13316" width="56.6640625" style="740" customWidth="1"/>
    <col min="13317" max="13317" width="54.33203125" style="740" customWidth="1"/>
    <col min="13318" max="13318" width="49.83203125" style="740" customWidth="1"/>
    <col min="13319" max="13319" width="56.83203125" style="740" customWidth="1"/>
    <col min="13320" max="13321" width="49.83203125" style="740" customWidth="1"/>
    <col min="13322" max="13322" width="151" style="740" customWidth="1"/>
    <col min="13323" max="13323" width="22.5" style="740" customWidth="1"/>
    <col min="13324" max="13565" width="12" style="740"/>
    <col min="13566" max="13566" width="152.1640625" style="740" customWidth="1"/>
    <col min="13567" max="13568" width="50" style="740" customWidth="1"/>
    <col min="13569" max="13569" width="52.6640625" style="740" customWidth="1"/>
    <col min="13570" max="13570" width="56.83203125" style="740" customWidth="1"/>
    <col min="13571" max="13571" width="58" style="740" customWidth="1"/>
    <col min="13572" max="13572" width="56.6640625" style="740" customWidth="1"/>
    <col min="13573" max="13573" width="54.33203125" style="740" customWidth="1"/>
    <col min="13574" max="13574" width="49.83203125" style="740" customWidth="1"/>
    <col min="13575" max="13575" width="56.83203125" style="740" customWidth="1"/>
    <col min="13576" max="13577" width="49.83203125" style="740" customWidth="1"/>
    <col min="13578" max="13578" width="151" style="740" customWidth="1"/>
    <col min="13579" max="13579" width="22.5" style="740" customWidth="1"/>
    <col min="13580" max="13821" width="12" style="740"/>
    <col min="13822" max="13822" width="152.1640625" style="740" customWidth="1"/>
    <col min="13823" max="13824" width="50" style="740" customWidth="1"/>
    <col min="13825" max="13825" width="52.6640625" style="740" customWidth="1"/>
    <col min="13826" max="13826" width="56.83203125" style="740" customWidth="1"/>
    <col min="13827" max="13827" width="58" style="740" customWidth="1"/>
    <col min="13828" max="13828" width="56.6640625" style="740" customWidth="1"/>
    <col min="13829" max="13829" width="54.33203125" style="740" customWidth="1"/>
    <col min="13830" max="13830" width="49.83203125" style="740" customWidth="1"/>
    <col min="13831" max="13831" width="56.83203125" style="740" customWidth="1"/>
    <col min="13832" max="13833" width="49.83203125" style="740" customWidth="1"/>
    <col min="13834" max="13834" width="151" style="740" customWidth="1"/>
    <col min="13835" max="13835" width="22.5" style="740" customWidth="1"/>
    <col min="13836" max="14077" width="12" style="740"/>
    <col min="14078" max="14078" width="152.1640625" style="740" customWidth="1"/>
    <col min="14079" max="14080" width="50" style="740" customWidth="1"/>
    <col min="14081" max="14081" width="52.6640625" style="740" customWidth="1"/>
    <col min="14082" max="14082" width="56.83203125" style="740" customWidth="1"/>
    <col min="14083" max="14083" width="58" style="740" customWidth="1"/>
    <col min="14084" max="14084" width="56.6640625" style="740" customWidth="1"/>
    <col min="14085" max="14085" width="54.33203125" style="740" customWidth="1"/>
    <col min="14086" max="14086" width="49.83203125" style="740" customWidth="1"/>
    <col min="14087" max="14087" width="56.83203125" style="740" customWidth="1"/>
    <col min="14088" max="14089" width="49.83203125" style="740" customWidth="1"/>
    <col min="14090" max="14090" width="151" style="740" customWidth="1"/>
    <col min="14091" max="14091" width="22.5" style="740" customWidth="1"/>
    <col min="14092" max="14333" width="12" style="740"/>
    <col min="14334" max="14334" width="152.1640625" style="740" customWidth="1"/>
    <col min="14335" max="14336" width="50" style="740" customWidth="1"/>
    <col min="14337" max="14337" width="52.6640625" style="740" customWidth="1"/>
    <col min="14338" max="14338" width="56.83203125" style="740" customWidth="1"/>
    <col min="14339" max="14339" width="58" style="740" customWidth="1"/>
    <col min="14340" max="14340" width="56.6640625" style="740" customWidth="1"/>
    <col min="14341" max="14341" width="54.33203125" style="740" customWidth="1"/>
    <col min="14342" max="14342" width="49.83203125" style="740" customWidth="1"/>
    <col min="14343" max="14343" width="56.83203125" style="740" customWidth="1"/>
    <col min="14344" max="14345" width="49.83203125" style="740" customWidth="1"/>
    <col min="14346" max="14346" width="151" style="740" customWidth="1"/>
    <col min="14347" max="14347" width="22.5" style="740" customWidth="1"/>
    <col min="14348" max="14589" width="12" style="740"/>
    <col min="14590" max="14590" width="152.1640625" style="740" customWidth="1"/>
    <col min="14591" max="14592" width="50" style="740" customWidth="1"/>
    <col min="14593" max="14593" width="52.6640625" style="740" customWidth="1"/>
    <col min="14594" max="14594" width="56.83203125" style="740" customWidth="1"/>
    <col min="14595" max="14595" width="58" style="740" customWidth="1"/>
    <col min="14596" max="14596" width="56.6640625" style="740" customWidth="1"/>
    <col min="14597" max="14597" width="54.33203125" style="740" customWidth="1"/>
    <col min="14598" max="14598" width="49.83203125" style="740" customWidth="1"/>
    <col min="14599" max="14599" width="56.83203125" style="740" customWidth="1"/>
    <col min="14600" max="14601" width="49.83203125" style="740" customWidth="1"/>
    <col min="14602" max="14602" width="151" style="740" customWidth="1"/>
    <col min="14603" max="14603" width="22.5" style="740" customWidth="1"/>
    <col min="14604" max="14845" width="12" style="740"/>
    <col min="14846" max="14846" width="152.1640625" style="740" customWidth="1"/>
    <col min="14847" max="14848" width="50" style="740" customWidth="1"/>
    <col min="14849" max="14849" width="52.6640625" style="740" customWidth="1"/>
    <col min="14850" max="14850" width="56.83203125" style="740" customWidth="1"/>
    <col min="14851" max="14851" width="58" style="740" customWidth="1"/>
    <col min="14852" max="14852" width="56.6640625" style="740" customWidth="1"/>
    <col min="14853" max="14853" width="54.33203125" style="740" customWidth="1"/>
    <col min="14854" max="14854" width="49.83203125" style="740" customWidth="1"/>
    <col min="14855" max="14855" width="56.83203125" style="740" customWidth="1"/>
    <col min="14856" max="14857" width="49.83203125" style="740" customWidth="1"/>
    <col min="14858" max="14858" width="151" style="740" customWidth="1"/>
    <col min="14859" max="14859" width="22.5" style="740" customWidth="1"/>
    <col min="14860" max="15101" width="12" style="740"/>
    <col min="15102" max="15102" width="152.1640625" style="740" customWidth="1"/>
    <col min="15103" max="15104" width="50" style="740" customWidth="1"/>
    <col min="15105" max="15105" width="52.6640625" style="740" customWidth="1"/>
    <col min="15106" max="15106" width="56.83203125" style="740" customWidth="1"/>
    <col min="15107" max="15107" width="58" style="740" customWidth="1"/>
    <col min="15108" max="15108" width="56.6640625" style="740" customWidth="1"/>
    <col min="15109" max="15109" width="54.33203125" style="740" customWidth="1"/>
    <col min="15110" max="15110" width="49.83203125" style="740" customWidth="1"/>
    <col min="15111" max="15111" width="56.83203125" style="740" customWidth="1"/>
    <col min="15112" max="15113" width="49.83203125" style="740" customWidth="1"/>
    <col min="15114" max="15114" width="151" style="740" customWidth="1"/>
    <col min="15115" max="15115" width="22.5" style="740" customWidth="1"/>
    <col min="15116" max="15357" width="12" style="740"/>
    <col min="15358" max="15358" width="152.1640625" style="740" customWidth="1"/>
    <col min="15359" max="15360" width="50" style="740" customWidth="1"/>
    <col min="15361" max="15361" width="52.6640625" style="740" customWidth="1"/>
    <col min="15362" max="15362" width="56.83203125" style="740" customWidth="1"/>
    <col min="15363" max="15363" width="58" style="740" customWidth="1"/>
    <col min="15364" max="15364" width="56.6640625" style="740" customWidth="1"/>
    <col min="15365" max="15365" width="54.33203125" style="740" customWidth="1"/>
    <col min="15366" max="15366" width="49.83203125" style="740" customWidth="1"/>
    <col min="15367" max="15367" width="56.83203125" style="740" customWidth="1"/>
    <col min="15368" max="15369" width="49.83203125" style="740" customWidth="1"/>
    <col min="15370" max="15370" width="151" style="740" customWidth="1"/>
    <col min="15371" max="15371" width="22.5" style="740" customWidth="1"/>
    <col min="15372" max="15613" width="12" style="740"/>
    <col min="15614" max="15614" width="152.1640625" style="740" customWidth="1"/>
    <col min="15615" max="15616" width="50" style="740" customWidth="1"/>
    <col min="15617" max="15617" width="52.6640625" style="740" customWidth="1"/>
    <col min="15618" max="15618" width="56.83203125" style="740" customWidth="1"/>
    <col min="15619" max="15619" width="58" style="740" customWidth="1"/>
    <col min="15620" max="15620" width="56.6640625" style="740" customWidth="1"/>
    <col min="15621" max="15621" width="54.33203125" style="740" customWidth="1"/>
    <col min="15622" max="15622" width="49.83203125" style="740" customWidth="1"/>
    <col min="15623" max="15623" width="56.83203125" style="740" customWidth="1"/>
    <col min="15624" max="15625" width="49.83203125" style="740" customWidth="1"/>
    <col min="15626" max="15626" width="151" style="740" customWidth="1"/>
    <col min="15627" max="15627" width="22.5" style="740" customWidth="1"/>
    <col min="15628" max="15869" width="12" style="740"/>
    <col min="15870" max="15870" width="152.1640625" style="740" customWidth="1"/>
    <col min="15871" max="15872" width="50" style="740" customWidth="1"/>
    <col min="15873" max="15873" width="52.6640625" style="740" customWidth="1"/>
    <col min="15874" max="15874" width="56.83203125" style="740" customWidth="1"/>
    <col min="15875" max="15875" width="58" style="740" customWidth="1"/>
    <col min="15876" max="15876" width="56.6640625" style="740" customWidth="1"/>
    <col min="15877" max="15877" width="54.33203125" style="740" customWidth="1"/>
    <col min="15878" max="15878" width="49.83203125" style="740" customWidth="1"/>
    <col min="15879" max="15879" width="56.83203125" style="740" customWidth="1"/>
    <col min="15880" max="15881" width="49.83203125" style="740" customWidth="1"/>
    <col min="15882" max="15882" width="151" style="740" customWidth="1"/>
    <col min="15883" max="15883" width="22.5" style="740" customWidth="1"/>
    <col min="15884" max="16125" width="12" style="740"/>
    <col min="16126" max="16126" width="152.1640625" style="740" customWidth="1"/>
    <col min="16127" max="16128" width="50" style="740" customWidth="1"/>
    <col min="16129" max="16129" width="52.6640625" style="740" customWidth="1"/>
    <col min="16130" max="16130" width="56.83203125" style="740" customWidth="1"/>
    <col min="16131" max="16131" width="58" style="740" customWidth="1"/>
    <col min="16132" max="16132" width="56.6640625" style="740" customWidth="1"/>
    <col min="16133" max="16133" width="54.33203125" style="740" customWidth="1"/>
    <col min="16134" max="16134" width="49.83203125" style="740" customWidth="1"/>
    <col min="16135" max="16135" width="56.83203125" style="740" customWidth="1"/>
    <col min="16136" max="16137" width="49.83203125" style="740" customWidth="1"/>
    <col min="16138" max="16138" width="151" style="740" customWidth="1"/>
    <col min="16139" max="16139" width="22.5" style="740" customWidth="1"/>
    <col min="16140" max="16384" width="12" style="740"/>
  </cols>
  <sheetData>
    <row r="1" spans="1:11" s="734" customFormat="1" ht="45" customHeight="1" x14ac:dyDescent="0.7">
      <c r="A1" s="932" t="s">
        <v>765</v>
      </c>
      <c r="B1" s="932"/>
      <c r="C1" s="932"/>
      <c r="D1" s="932"/>
      <c r="E1" s="932"/>
      <c r="F1" s="932"/>
      <c r="G1" s="932"/>
      <c r="H1" s="932"/>
      <c r="I1" s="932"/>
      <c r="J1" s="932"/>
      <c r="K1" s="735"/>
    </row>
    <row r="2" spans="1:11" s="734" customFormat="1" ht="44.25" customHeight="1" x14ac:dyDescent="0.7">
      <c r="A2" s="932" t="s">
        <v>766</v>
      </c>
      <c r="B2" s="932"/>
      <c r="C2" s="932"/>
      <c r="D2" s="932"/>
      <c r="E2" s="932"/>
      <c r="F2" s="932"/>
      <c r="G2" s="932"/>
      <c r="H2" s="932"/>
      <c r="I2" s="932"/>
      <c r="J2" s="932"/>
      <c r="K2" s="735"/>
    </row>
    <row r="3" spans="1:11" ht="44.25" customHeight="1" thickBot="1" x14ac:dyDescent="0.75">
      <c r="A3" s="736"/>
      <c r="B3" s="736"/>
      <c r="C3" s="736"/>
      <c r="D3" s="736"/>
      <c r="E3" s="736"/>
      <c r="F3" s="736"/>
      <c r="G3" s="736"/>
      <c r="H3" s="736"/>
      <c r="I3" s="736"/>
      <c r="J3" s="737" t="s">
        <v>767</v>
      </c>
    </row>
    <row r="4" spans="1:11" s="734" customFormat="1" ht="72" customHeight="1" thickBot="1" x14ac:dyDescent="0.65">
      <c r="A4" s="933" t="s">
        <v>768</v>
      </c>
      <c r="B4" s="741"/>
      <c r="C4" s="741"/>
      <c r="D4" s="935" t="s">
        <v>769</v>
      </c>
      <c r="E4" s="936"/>
      <c r="F4" s="936"/>
      <c r="G4" s="936"/>
      <c r="H4" s="936"/>
      <c r="I4" s="936"/>
      <c r="J4" s="937"/>
      <c r="K4" s="742"/>
    </row>
    <row r="5" spans="1:11" s="734" customFormat="1" ht="194.25" customHeight="1" thickBot="1" x14ac:dyDescent="0.65">
      <c r="A5" s="934"/>
      <c r="B5" s="743" t="s">
        <v>770</v>
      </c>
      <c r="C5" s="743" t="s">
        <v>771</v>
      </c>
      <c r="D5" s="744" t="s">
        <v>772</v>
      </c>
      <c r="E5" s="745" t="s">
        <v>773</v>
      </c>
      <c r="F5" s="745" t="s">
        <v>774</v>
      </c>
      <c r="G5" s="746" t="s">
        <v>775</v>
      </c>
      <c r="H5" s="938" t="s">
        <v>776</v>
      </c>
      <c r="I5" s="939"/>
      <c r="J5" s="747" t="s">
        <v>777</v>
      </c>
      <c r="K5" s="742"/>
    </row>
    <row r="6" spans="1:11" s="734" customFormat="1" ht="117.75" customHeight="1" thickBot="1" x14ac:dyDescent="0.65">
      <c r="A6" s="748"/>
      <c r="B6" s="748"/>
      <c r="C6" s="749"/>
      <c r="D6" s="750"/>
      <c r="E6" s="751"/>
      <c r="F6" s="745"/>
      <c r="G6" s="752"/>
      <c r="H6" s="745"/>
      <c r="I6" s="753" t="s">
        <v>778</v>
      </c>
      <c r="J6" s="747"/>
      <c r="K6" s="742"/>
    </row>
    <row r="7" spans="1:11" s="759" customFormat="1" ht="145.5" customHeight="1" x14ac:dyDescent="0.6">
      <c r="A7" s="754" t="s">
        <v>779</v>
      </c>
      <c r="B7" s="754"/>
      <c r="C7" s="754"/>
      <c r="D7" s="755"/>
      <c r="E7" s="756"/>
      <c r="F7" s="757"/>
      <c r="G7" s="757"/>
      <c r="H7" s="757"/>
      <c r="I7" s="757"/>
      <c r="J7" s="755"/>
      <c r="K7" s="758"/>
    </row>
    <row r="8" spans="1:11" s="765" customFormat="1" ht="54.95" customHeight="1" x14ac:dyDescent="0.6">
      <c r="A8" s="760" t="s">
        <v>727</v>
      </c>
      <c r="B8" s="761">
        <f>'[3]létszám ei mód 2025-2026eltérés'!R9</f>
        <v>34</v>
      </c>
      <c r="C8" s="762">
        <f>'[3]létszám ei mód 2025-2026eltérés'!T9</f>
        <v>33</v>
      </c>
      <c r="D8" s="761"/>
      <c r="E8" s="763"/>
      <c r="F8" s="763"/>
      <c r="G8" s="763">
        <v>33</v>
      </c>
      <c r="H8" s="763"/>
      <c r="I8" s="763"/>
      <c r="J8" s="761"/>
      <c r="K8" s="764"/>
    </row>
    <row r="9" spans="1:11" s="765" customFormat="1" ht="54.95" customHeight="1" x14ac:dyDescent="0.6">
      <c r="A9" s="766" t="s">
        <v>728</v>
      </c>
      <c r="B9" s="767">
        <f>'[3]létszám ei mód 2025-2026eltérés'!R10</f>
        <v>24</v>
      </c>
      <c r="C9" s="767">
        <f>'[3]létszám ei mód 2025-2026eltérés'!T10</f>
        <v>23</v>
      </c>
      <c r="D9" s="768"/>
      <c r="E9" s="769"/>
      <c r="F9" s="769"/>
      <c r="G9" s="769">
        <v>23</v>
      </c>
      <c r="H9" s="767"/>
      <c r="I9" s="770"/>
      <c r="J9" s="767"/>
      <c r="K9" s="764"/>
    </row>
    <row r="10" spans="1:11" s="765" customFormat="1" ht="54.95" customHeight="1" x14ac:dyDescent="0.6">
      <c r="A10" s="766" t="s">
        <v>729</v>
      </c>
      <c r="B10" s="761">
        <f>'[3]létszám ei mód 2025-2026eltérés'!R11</f>
        <v>24</v>
      </c>
      <c r="C10" s="761">
        <f>'[3]létszám ei mód 2025-2026eltérés'!T11</f>
        <v>23</v>
      </c>
      <c r="D10" s="767"/>
      <c r="E10" s="770"/>
      <c r="F10" s="770"/>
      <c r="G10" s="770">
        <v>23</v>
      </c>
      <c r="H10" s="763"/>
      <c r="I10" s="763"/>
      <c r="J10" s="761"/>
      <c r="K10" s="764"/>
    </row>
    <row r="11" spans="1:11" s="765" customFormat="1" ht="54.95" customHeight="1" x14ac:dyDescent="0.6">
      <c r="A11" s="766" t="s">
        <v>730</v>
      </c>
      <c r="B11" s="767">
        <f>'[3]létszám ei mód 2025-2026eltérés'!R12</f>
        <v>29</v>
      </c>
      <c r="C11" s="767">
        <f>'[3]létszám ei mód 2025-2026eltérés'!T12</f>
        <v>28</v>
      </c>
      <c r="D11" s="761"/>
      <c r="E11" s="763"/>
      <c r="F11" s="763"/>
      <c r="G11" s="763">
        <v>28</v>
      </c>
      <c r="H11" s="767"/>
      <c r="I11" s="770"/>
      <c r="J11" s="767"/>
      <c r="K11" s="764"/>
    </row>
    <row r="12" spans="1:11" s="765" customFormat="1" ht="54.95" customHeight="1" x14ac:dyDescent="0.6">
      <c r="A12" s="766" t="s">
        <v>731</v>
      </c>
      <c r="B12" s="767">
        <f>'[3]létszám ei mód 2025-2026eltérés'!R13</f>
        <v>28</v>
      </c>
      <c r="C12" s="767">
        <f>'[3]létszám ei mód 2025-2026eltérés'!T13</f>
        <v>26</v>
      </c>
      <c r="D12" s="768"/>
      <c r="E12" s="769"/>
      <c r="F12" s="769"/>
      <c r="G12" s="769">
        <v>26</v>
      </c>
      <c r="H12" s="767"/>
      <c r="I12" s="763"/>
      <c r="J12" s="767"/>
      <c r="K12" s="764"/>
    </row>
    <row r="13" spans="1:11" s="765" customFormat="1" ht="54.95" customHeight="1" x14ac:dyDescent="0.6">
      <c r="A13" s="766" t="s">
        <v>732</v>
      </c>
      <c r="B13" s="767">
        <f>'[3]létszám ei mód 2025-2026eltérés'!R14</f>
        <v>24</v>
      </c>
      <c r="C13" s="767">
        <f>'[3]létszám ei mód 2025-2026eltérés'!T14</f>
        <v>23</v>
      </c>
      <c r="D13" s="767"/>
      <c r="E13" s="770"/>
      <c r="F13" s="770"/>
      <c r="G13" s="770">
        <v>23</v>
      </c>
      <c r="H13" s="767"/>
      <c r="I13" s="770"/>
      <c r="J13" s="767"/>
      <c r="K13" s="764"/>
    </row>
    <row r="14" spans="1:11" s="765" customFormat="1" ht="54.95" customHeight="1" x14ac:dyDescent="0.6">
      <c r="A14" s="766" t="s">
        <v>733</v>
      </c>
      <c r="B14" s="767">
        <f>'[3]létszám ei mód 2025-2026eltérés'!R15</f>
        <v>19</v>
      </c>
      <c r="C14" s="767">
        <f>'[3]létszám ei mód 2025-2026eltérés'!T15</f>
        <v>18</v>
      </c>
      <c r="D14" s="768"/>
      <c r="E14" s="769"/>
      <c r="F14" s="769"/>
      <c r="G14" s="769">
        <v>18</v>
      </c>
      <c r="H14" s="767"/>
      <c r="I14" s="763"/>
      <c r="J14" s="767"/>
      <c r="K14" s="764"/>
    </row>
    <row r="15" spans="1:11" s="765" customFormat="1" ht="54.95" customHeight="1" x14ac:dyDescent="0.6">
      <c r="A15" s="766" t="s">
        <v>734</v>
      </c>
      <c r="B15" s="767">
        <f>'[3]létszám ei mód 2025-2026eltérés'!R16</f>
        <v>19</v>
      </c>
      <c r="C15" s="767">
        <f>'[3]létszám ei mód 2025-2026eltérés'!T16</f>
        <v>18.5</v>
      </c>
      <c r="D15" s="767"/>
      <c r="E15" s="770"/>
      <c r="F15" s="770"/>
      <c r="G15" s="770">
        <v>18</v>
      </c>
      <c r="H15" s="767">
        <v>0.5</v>
      </c>
      <c r="I15" s="770"/>
      <c r="J15" s="767"/>
      <c r="K15" s="764"/>
    </row>
    <row r="16" spans="1:11" s="765" customFormat="1" ht="54.95" customHeight="1" x14ac:dyDescent="0.6">
      <c r="A16" s="766" t="s">
        <v>780</v>
      </c>
      <c r="B16" s="767">
        <f>'[3]létszám ei mód 2025-2026eltérés'!R17</f>
        <v>28</v>
      </c>
      <c r="C16" s="767">
        <f>'[3]létszám ei mód 2025-2026eltérés'!T17</f>
        <v>28.5</v>
      </c>
      <c r="D16" s="768"/>
      <c r="E16" s="769"/>
      <c r="F16" s="769"/>
      <c r="G16" s="769">
        <v>28</v>
      </c>
      <c r="H16" s="767">
        <v>0.5</v>
      </c>
      <c r="I16" s="763"/>
      <c r="J16" s="767"/>
      <c r="K16" s="764"/>
    </row>
    <row r="17" spans="1:11" s="765" customFormat="1" ht="54.95" customHeight="1" x14ac:dyDescent="0.6">
      <c r="A17" s="766" t="s">
        <v>736</v>
      </c>
      <c r="B17" s="767">
        <f>'[3]létszám ei mód 2025-2026eltérés'!R18</f>
        <v>31</v>
      </c>
      <c r="C17" s="767">
        <f>'[3]létszám ei mód 2025-2026eltérés'!T18</f>
        <v>30.5</v>
      </c>
      <c r="D17" s="767"/>
      <c r="E17" s="770"/>
      <c r="F17" s="770"/>
      <c r="G17" s="770">
        <v>30</v>
      </c>
      <c r="H17" s="767">
        <v>0.5</v>
      </c>
      <c r="I17" s="770"/>
      <c r="J17" s="767"/>
      <c r="K17" s="764"/>
    </row>
    <row r="18" spans="1:11" s="765" customFormat="1" ht="54.95" customHeight="1" x14ac:dyDescent="0.6">
      <c r="A18" s="766" t="s">
        <v>737</v>
      </c>
      <c r="B18" s="767">
        <f>'[3]létszám ei mód 2025-2026eltérés'!R19</f>
        <v>16</v>
      </c>
      <c r="C18" s="767">
        <f>'[3]létszám ei mód 2025-2026eltérés'!T19</f>
        <v>15</v>
      </c>
      <c r="D18" s="768"/>
      <c r="E18" s="769"/>
      <c r="F18" s="769"/>
      <c r="G18" s="769">
        <v>15</v>
      </c>
      <c r="H18" s="767"/>
      <c r="I18" s="763"/>
      <c r="J18" s="767"/>
      <c r="K18" s="764"/>
    </row>
    <row r="19" spans="1:11" s="765" customFormat="1" ht="54.95" customHeight="1" x14ac:dyDescent="0.6">
      <c r="A19" s="766" t="s">
        <v>738</v>
      </c>
      <c r="B19" s="767">
        <f>'[3]létszám ei mód 2025-2026eltérés'!R20</f>
        <v>15</v>
      </c>
      <c r="C19" s="767">
        <f>'[3]létszám ei mód 2025-2026eltérés'!T20</f>
        <v>14</v>
      </c>
      <c r="D19" s="767"/>
      <c r="E19" s="770"/>
      <c r="F19" s="770"/>
      <c r="G19" s="770">
        <v>14</v>
      </c>
      <c r="H19" s="767"/>
      <c r="I19" s="770"/>
      <c r="J19" s="771"/>
      <c r="K19" s="764"/>
    </row>
    <row r="20" spans="1:11" s="765" customFormat="1" ht="54.95" customHeight="1" x14ac:dyDescent="0.6">
      <c r="A20" s="766" t="s">
        <v>739</v>
      </c>
      <c r="B20" s="767">
        <f>'[3]létszám ei mód 2025-2026eltérés'!R21</f>
        <v>20</v>
      </c>
      <c r="C20" s="767">
        <f>'[3]létszám ei mód 2025-2026eltérés'!T21</f>
        <v>19</v>
      </c>
      <c r="D20" s="768"/>
      <c r="E20" s="769"/>
      <c r="F20" s="769"/>
      <c r="G20" s="769">
        <v>19</v>
      </c>
      <c r="H20" s="767"/>
      <c r="I20" s="763"/>
      <c r="J20" s="767"/>
      <c r="K20" s="764"/>
    </row>
    <row r="21" spans="1:11" s="765" customFormat="1" ht="54.95" customHeight="1" x14ac:dyDescent="0.6">
      <c r="A21" s="766" t="s">
        <v>740</v>
      </c>
      <c r="B21" s="767">
        <f>'[3]létszám ei mód 2025-2026eltérés'!R22</f>
        <v>21</v>
      </c>
      <c r="C21" s="767">
        <f>'[3]létszám ei mód 2025-2026eltérés'!T22</f>
        <v>20.5</v>
      </c>
      <c r="D21" s="767"/>
      <c r="E21" s="770"/>
      <c r="F21" s="770"/>
      <c r="G21" s="770">
        <v>20</v>
      </c>
      <c r="H21" s="767">
        <v>0.5</v>
      </c>
      <c r="I21" s="767"/>
      <c r="J21" s="767"/>
      <c r="K21" s="764"/>
    </row>
    <row r="22" spans="1:11" s="765" customFormat="1" ht="54.95" customHeight="1" x14ac:dyDescent="0.6">
      <c r="A22" s="766" t="s">
        <v>741</v>
      </c>
      <c r="B22" s="767">
        <f>'[3]létszám ei mód 2025-2026eltérés'!R23</f>
        <v>32</v>
      </c>
      <c r="C22" s="767">
        <f>'[3]létszám ei mód 2025-2026eltérés'!T23</f>
        <v>31.5</v>
      </c>
      <c r="D22" s="768"/>
      <c r="E22" s="769"/>
      <c r="F22" s="769"/>
      <c r="G22" s="769">
        <v>31</v>
      </c>
      <c r="H22" s="767">
        <v>0.5</v>
      </c>
      <c r="I22" s="770"/>
      <c r="J22" s="767"/>
      <c r="K22" s="764"/>
    </row>
    <row r="23" spans="1:11" s="765" customFormat="1" ht="54.95" customHeight="1" x14ac:dyDescent="0.6">
      <c r="A23" s="766" t="s">
        <v>742</v>
      </c>
      <c r="B23" s="767">
        <f>'[3]létszám ei mód 2025-2026eltérés'!R24</f>
        <v>24</v>
      </c>
      <c r="C23" s="767">
        <f>'[3]létszám ei mód 2025-2026eltérés'!T24</f>
        <v>23</v>
      </c>
      <c r="D23" s="767"/>
      <c r="E23" s="770"/>
      <c r="F23" s="770"/>
      <c r="G23" s="770">
        <v>23</v>
      </c>
      <c r="H23" s="767"/>
      <c r="I23" s="763"/>
      <c r="J23" s="767"/>
      <c r="K23" s="764"/>
    </row>
    <row r="24" spans="1:11" s="765" customFormat="1" ht="54.95" customHeight="1" x14ac:dyDescent="0.6">
      <c r="A24" s="760" t="s">
        <v>781</v>
      </c>
      <c r="B24" s="772">
        <f>'[3]létszám ei mód 2025-2026eltérés'!R25</f>
        <v>18</v>
      </c>
      <c r="C24" s="772">
        <f>'[3]létszám ei mód 2025-2026eltérés'!T25</f>
        <v>17</v>
      </c>
      <c r="D24" s="772"/>
      <c r="E24" s="773"/>
      <c r="F24" s="773"/>
      <c r="G24" s="773">
        <v>17</v>
      </c>
      <c r="H24" s="767"/>
      <c r="I24" s="770"/>
      <c r="J24" s="767"/>
      <c r="K24" s="764"/>
    </row>
    <row r="25" spans="1:11" s="765" customFormat="1" ht="54.95" customHeight="1" thickBot="1" x14ac:dyDescent="0.65">
      <c r="A25" s="774" t="s">
        <v>744</v>
      </c>
      <c r="B25" s="761">
        <f>'[3]létszám ei mód 2025-2026eltérés'!R26</f>
        <v>13</v>
      </c>
      <c r="C25" s="761">
        <f>'[3]létszám ei mód 2025-2026eltérés'!T26</f>
        <v>11.5</v>
      </c>
      <c r="D25" s="775"/>
      <c r="E25" s="763"/>
      <c r="F25" s="763"/>
      <c r="G25" s="763">
        <v>11.5</v>
      </c>
      <c r="H25" s="763"/>
      <c r="I25" s="763"/>
      <c r="J25" s="776"/>
      <c r="K25" s="764"/>
    </row>
    <row r="26" spans="1:11" s="765" customFormat="1" ht="54.95" customHeight="1" thickBot="1" x14ac:dyDescent="0.65">
      <c r="A26" s="777" t="s">
        <v>782</v>
      </c>
      <c r="B26" s="778">
        <f t="shared" ref="B26:J26" si="0">SUM(B8:B25)</f>
        <v>419</v>
      </c>
      <c r="C26" s="778">
        <f t="shared" si="0"/>
        <v>403</v>
      </c>
      <c r="D26" s="778">
        <f t="shared" si="0"/>
        <v>0</v>
      </c>
      <c r="E26" s="778">
        <f t="shared" si="0"/>
        <v>0</v>
      </c>
      <c r="F26" s="778">
        <f t="shared" si="0"/>
        <v>0</v>
      </c>
      <c r="G26" s="778">
        <f t="shared" si="0"/>
        <v>400.5</v>
      </c>
      <c r="H26" s="778">
        <f t="shared" si="0"/>
        <v>2.5</v>
      </c>
      <c r="I26" s="778">
        <f t="shared" si="0"/>
        <v>0</v>
      </c>
      <c r="J26" s="778">
        <f t="shared" si="0"/>
        <v>0</v>
      </c>
      <c r="K26" s="764"/>
    </row>
    <row r="27" spans="1:11" s="765" customFormat="1" ht="54.95" customHeight="1" thickBot="1" x14ac:dyDescent="0.65">
      <c r="A27" s="779" t="s">
        <v>746</v>
      </c>
      <c r="B27" s="761">
        <f>'[3]létszám ei mód 2025-2026eltérés'!R28</f>
        <v>44</v>
      </c>
      <c r="C27" s="761">
        <f>'[3]létszám ei mód 2025-2026eltérés'!T28</f>
        <v>49</v>
      </c>
      <c r="D27" s="763"/>
      <c r="E27" s="763"/>
      <c r="F27" s="763">
        <v>49</v>
      </c>
      <c r="G27" s="763"/>
      <c r="H27" s="773"/>
      <c r="I27" s="780"/>
      <c r="J27" s="773"/>
      <c r="K27" s="764"/>
    </row>
    <row r="28" spans="1:11" s="765" customFormat="1" ht="54.95" customHeight="1" thickBot="1" x14ac:dyDescent="0.65">
      <c r="A28" s="777" t="s">
        <v>783</v>
      </c>
      <c r="B28" s="781">
        <f>SUM(B26:B27)</f>
        <v>463</v>
      </c>
      <c r="C28" s="781">
        <f>SUM(C26:C27)</f>
        <v>452</v>
      </c>
      <c r="D28" s="781">
        <f>D27+D26</f>
        <v>0</v>
      </c>
      <c r="E28" s="781">
        <f>E27+E26</f>
        <v>0</v>
      </c>
      <c r="F28" s="781">
        <f>SUM(F26:F27)</f>
        <v>49</v>
      </c>
      <c r="G28" s="781">
        <f>SUM(G26:G27)</f>
        <v>400.5</v>
      </c>
      <c r="H28" s="781">
        <f>H27+H26</f>
        <v>2.5</v>
      </c>
      <c r="I28" s="781">
        <f>I27+I26</f>
        <v>0</v>
      </c>
      <c r="J28" s="781">
        <f>J27+J26</f>
        <v>0</v>
      </c>
      <c r="K28" s="764"/>
    </row>
    <row r="29" spans="1:11" s="765" customFormat="1" ht="54.95" customHeight="1" x14ac:dyDescent="0.6">
      <c r="A29" s="782" t="s">
        <v>784</v>
      </c>
      <c r="B29" s="783"/>
      <c r="C29" s="783"/>
      <c r="D29" s="784"/>
      <c r="E29" s="784"/>
      <c r="F29" s="784"/>
      <c r="G29" s="784"/>
      <c r="H29" s="784"/>
      <c r="I29" s="784"/>
      <c r="J29" s="784"/>
      <c r="K29" s="764"/>
    </row>
    <row r="30" spans="1:11" s="765" customFormat="1" ht="54.95" customHeight="1" x14ac:dyDescent="0.6">
      <c r="A30" s="785" t="s">
        <v>785</v>
      </c>
      <c r="B30" s="786"/>
      <c r="C30" s="786"/>
      <c r="D30" s="784"/>
      <c r="E30" s="784"/>
      <c r="F30" s="784"/>
      <c r="G30" s="784"/>
      <c r="H30" s="787"/>
      <c r="I30" s="788"/>
      <c r="J30" s="784"/>
      <c r="K30" s="764"/>
    </row>
    <row r="31" spans="1:11" s="765" customFormat="1" ht="54.95" customHeight="1" x14ac:dyDescent="0.6">
      <c r="A31" s="766" t="s">
        <v>97</v>
      </c>
      <c r="B31" s="767">
        <f>'[3]létszám ei mód 2025-2026eltérés'!R32</f>
        <v>19.75</v>
      </c>
      <c r="C31" s="767">
        <f>'[3]létszám ei mód 2025-2026eltérés'!T32</f>
        <v>19.75</v>
      </c>
      <c r="D31" s="770"/>
      <c r="E31" s="770"/>
      <c r="F31" s="770"/>
      <c r="G31" s="770"/>
      <c r="H31" s="763">
        <v>19.75</v>
      </c>
      <c r="I31" s="763"/>
      <c r="J31" s="770"/>
      <c r="K31" s="764"/>
    </row>
    <row r="32" spans="1:11" s="765" customFormat="1" ht="54.95" customHeight="1" x14ac:dyDescent="0.6">
      <c r="A32" s="766" t="s">
        <v>750</v>
      </c>
      <c r="B32" s="767">
        <f>'[3]létszám ei mód 2025-2026eltérés'!R33</f>
        <v>84.5</v>
      </c>
      <c r="C32" s="767">
        <f>'[3]létszám ei mód 2025-2026eltérés'!T33</f>
        <v>84.5</v>
      </c>
      <c r="D32" s="770"/>
      <c r="E32" s="770"/>
      <c r="F32" s="770"/>
      <c r="G32" s="770"/>
      <c r="H32" s="767">
        <v>84.5</v>
      </c>
      <c r="I32" s="770"/>
      <c r="J32" s="767"/>
      <c r="K32" s="764"/>
    </row>
    <row r="33" spans="1:11" s="765" customFormat="1" ht="54.95" customHeight="1" x14ac:dyDescent="0.6">
      <c r="A33" s="766" t="s">
        <v>751</v>
      </c>
      <c r="B33" s="767">
        <f>'[3]létszám ei mód 2025-2026eltérés'!R34</f>
        <v>46</v>
      </c>
      <c r="C33" s="767">
        <f>'[3]létszám ei mód 2025-2026eltérés'!T34</f>
        <v>46</v>
      </c>
      <c r="D33" s="770"/>
      <c r="E33" s="770"/>
      <c r="F33" s="770"/>
      <c r="G33" s="770"/>
      <c r="H33" s="767">
        <v>46</v>
      </c>
      <c r="I33" s="770"/>
      <c r="J33" s="770"/>
      <c r="K33" s="764"/>
    </row>
    <row r="34" spans="1:11" s="765" customFormat="1" ht="54.95" customHeight="1" thickBot="1" x14ac:dyDescent="0.65">
      <c r="A34" s="789" t="s">
        <v>483</v>
      </c>
      <c r="B34" s="790">
        <f>'[3]létszám ei mód 2025-2026eltérés'!R35</f>
        <v>100.75</v>
      </c>
      <c r="C34" s="790">
        <f>'[3]létszám ei mód 2025-2026eltérés'!T35</f>
        <v>100.75</v>
      </c>
      <c r="D34" s="763"/>
      <c r="E34" s="763"/>
      <c r="F34" s="763"/>
      <c r="G34" s="763"/>
      <c r="H34" s="763">
        <v>100.75</v>
      </c>
      <c r="I34" s="763"/>
      <c r="J34" s="763"/>
      <c r="K34" s="764"/>
    </row>
    <row r="35" spans="1:11" s="765" customFormat="1" ht="54.95" customHeight="1" thickBot="1" x14ac:dyDescent="0.65">
      <c r="A35" s="777" t="s">
        <v>786</v>
      </c>
      <c r="B35" s="781">
        <f t="shared" ref="B35:J35" si="1">SUM(B31:B34)</f>
        <v>251</v>
      </c>
      <c r="C35" s="781">
        <f t="shared" si="1"/>
        <v>251</v>
      </c>
      <c r="D35" s="781">
        <f t="shared" si="1"/>
        <v>0</v>
      </c>
      <c r="E35" s="781">
        <f t="shared" si="1"/>
        <v>0</v>
      </c>
      <c r="F35" s="781">
        <f t="shared" si="1"/>
        <v>0</v>
      </c>
      <c r="G35" s="781">
        <f t="shared" si="1"/>
        <v>0</v>
      </c>
      <c r="H35" s="781">
        <f t="shared" si="1"/>
        <v>251</v>
      </c>
      <c r="I35" s="781">
        <f t="shared" si="1"/>
        <v>0</v>
      </c>
      <c r="J35" s="778">
        <f t="shared" si="1"/>
        <v>0</v>
      </c>
      <c r="K35" s="764"/>
    </row>
    <row r="36" spans="1:11" s="765" customFormat="1" ht="54.95" customHeight="1" x14ac:dyDescent="0.6">
      <c r="A36" s="782" t="s">
        <v>753</v>
      </c>
      <c r="B36" s="791"/>
      <c r="C36" s="791"/>
      <c r="D36" s="792"/>
      <c r="E36" s="792"/>
      <c r="F36" s="792"/>
      <c r="G36" s="792"/>
      <c r="H36" s="792"/>
      <c r="I36" s="792"/>
      <c r="J36" s="792"/>
      <c r="K36" s="764"/>
    </row>
    <row r="37" spans="1:11" s="765" customFormat="1" ht="78.75" thickBot="1" x14ac:dyDescent="0.65">
      <c r="A37" s="793" t="s">
        <v>501</v>
      </c>
      <c r="B37" s="794">
        <f>'[3]létszám ei mód 2025-2026eltérés'!R38</f>
        <v>182.75</v>
      </c>
      <c r="C37" s="794">
        <f>'[3]létszám ei mód 2025-2026eltérés'!T38</f>
        <v>181.75</v>
      </c>
      <c r="D37" s="773"/>
      <c r="E37" s="773"/>
      <c r="F37" s="773">
        <v>181.75</v>
      </c>
      <c r="G37" s="773"/>
      <c r="H37" s="763"/>
      <c r="I37" s="763"/>
      <c r="J37" s="795"/>
      <c r="K37" s="764"/>
    </row>
    <row r="38" spans="1:11" s="765" customFormat="1" ht="54.95" customHeight="1" x14ac:dyDescent="0.6">
      <c r="A38" s="782" t="s">
        <v>755</v>
      </c>
      <c r="B38" s="791"/>
      <c r="C38" s="791"/>
      <c r="D38" s="792"/>
      <c r="E38" s="792"/>
      <c r="F38" s="792"/>
      <c r="G38" s="792"/>
      <c r="H38" s="792"/>
      <c r="I38" s="792"/>
      <c r="J38" s="792"/>
      <c r="K38" s="764"/>
    </row>
    <row r="39" spans="1:11" s="765" customFormat="1" ht="39.75" thickBot="1" x14ac:dyDescent="0.65">
      <c r="A39" s="796" t="s">
        <v>787</v>
      </c>
      <c r="B39" s="761">
        <f>'[3]létszám ei mód 2025-2026eltérés'!R40</f>
        <v>72</v>
      </c>
      <c r="C39" s="761">
        <f>'[3]létszám ei mód 2025-2026eltérés'!T40</f>
        <v>77</v>
      </c>
      <c r="D39" s="795"/>
      <c r="E39" s="795">
        <v>58</v>
      </c>
      <c r="F39" s="795">
        <v>19</v>
      </c>
      <c r="G39" s="795"/>
      <c r="H39" s="775"/>
      <c r="I39" s="795"/>
      <c r="J39" s="795"/>
      <c r="K39" s="764"/>
    </row>
    <row r="40" spans="1:11" s="765" customFormat="1" ht="54.95" customHeight="1" x14ac:dyDescent="0.6">
      <c r="A40" s="782" t="s">
        <v>757</v>
      </c>
      <c r="B40" s="791"/>
      <c r="C40" s="791"/>
      <c r="D40" s="792"/>
      <c r="E40" s="792"/>
      <c r="F40" s="792"/>
      <c r="G40" s="792"/>
      <c r="H40" s="792"/>
      <c r="I40" s="792"/>
      <c r="J40" s="792"/>
      <c r="K40" s="764"/>
    </row>
    <row r="41" spans="1:11" s="765" customFormat="1" ht="39.75" thickBot="1" x14ac:dyDescent="0.65">
      <c r="A41" s="796" t="s">
        <v>502</v>
      </c>
      <c r="B41" s="761">
        <f>'[3]létszám ei mód 2025-2026eltérés'!R42</f>
        <v>201.755</v>
      </c>
      <c r="C41" s="761">
        <f>'[3]létszám ei mód 2025-2026eltérés'!T42</f>
        <v>201.755</v>
      </c>
      <c r="D41" s="795"/>
      <c r="E41" s="795"/>
      <c r="F41" s="795">
        <v>134.76</v>
      </c>
      <c r="G41" s="795">
        <v>67</v>
      </c>
      <c r="H41" s="775"/>
      <c r="I41" s="795"/>
      <c r="J41" s="795"/>
      <c r="K41" s="764"/>
    </row>
    <row r="42" spans="1:11" s="765" customFormat="1" ht="54.95" customHeight="1" x14ac:dyDescent="0.6">
      <c r="A42" s="782" t="s">
        <v>758</v>
      </c>
      <c r="B42" s="791"/>
      <c r="C42" s="791"/>
      <c r="D42" s="792"/>
      <c r="E42" s="792"/>
      <c r="F42" s="792"/>
      <c r="G42" s="792"/>
      <c r="H42" s="792"/>
      <c r="I42" s="792"/>
      <c r="J42" s="792"/>
      <c r="K42" s="764"/>
    </row>
    <row r="43" spans="1:11" s="765" customFormat="1" ht="54.95" customHeight="1" x14ac:dyDescent="0.6">
      <c r="A43" s="760" t="s">
        <v>503</v>
      </c>
      <c r="B43" s="773">
        <f>'[3]létszám ei mód 2025-2026eltérés'!R44</f>
        <v>14.5</v>
      </c>
      <c r="C43" s="773">
        <f>'[3]létszám ei mód 2025-2026eltérés'!T44</f>
        <v>14.5</v>
      </c>
      <c r="D43" s="797"/>
      <c r="E43" s="797"/>
      <c r="F43" s="773">
        <v>14.5</v>
      </c>
      <c r="G43" s="773"/>
      <c r="H43" s="773"/>
      <c r="I43" s="773"/>
      <c r="J43" s="788"/>
      <c r="K43" s="764"/>
    </row>
    <row r="44" spans="1:11" s="765" customFormat="1" ht="54.95" customHeight="1" x14ac:dyDescent="0.6">
      <c r="A44" s="774" t="s">
        <v>610</v>
      </c>
      <c r="B44" s="773">
        <f>'[3]létszám ei mód 2025-2026eltérés'!R45</f>
        <v>0</v>
      </c>
      <c r="C44" s="773">
        <f>'[3]létszám ei mód 2025-2026eltérés'!T45</f>
        <v>43</v>
      </c>
      <c r="D44" s="798"/>
      <c r="E44" s="798"/>
      <c r="F44" s="763">
        <v>43</v>
      </c>
      <c r="G44" s="763"/>
      <c r="H44" s="763"/>
      <c r="I44" s="763"/>
      <c r="J44" s="784"/>
      <c r="K44" s="764"/>
    </row>
    <row r="45" spans="1:11" s="765" customFormat="1" ht="54.95" customHeight="1" thickBot="1" x14ac:dyDescent="0.65">
      <c r="A45" s="766" t="s">
        <v>4</v>
      </c>
      <c r="B45" s="790">
        <f>'[3]létszám ei mód 2025-2026eltérés'!R46</f>
        <v>301.5</v>
      </c>
      <c r="C45" s="790">
        <f>'[3]létszám ei mód 2025-2026eltérés'!T46</f>
        <v>289.75</v>
      </c>
      <c r="D45" s="799">
        <v>247</v>
      </c>
      <c r="E45" s="799"/>
      <c r="F45" s="799"/>
      <c r="G45" s="799"/>
      <c r="H45" s="799">
        <v>42.75</v>
      </c>
      <c r="I45" s="799"/>
      <c r="J45" s="800"/>
      <c r="K45" s="764"/>
    </row>
    <row r="46" spans="1:11" s="765" customFormat="1" ht="54.95" customHeight="1" thickBot="1" x14ac:dyDescent="0.65">
      <c r="A46" s="777" t="s">
        <v>788</v>
      </c>
      <c r="B46" s="801">
        <f t="shared" ref="B46:J46" si="2">SUM(B43:B45)</f>
        <v>316</v>
      </c>
      <c r="C46" s="801">
        <f t="shared" si="2"/>
        <v>347.25</v>
      </c>
      <c r="D46" s="801">
        <f t="shared" si="2"/>
        <v>247</v>
      </c>
      <c r="E46" s="801">
        <f>SUM(E43:E45)</f>
        <v>0</v>
      </c>
      <c r="F46" s="801">
        <f t="shared" si="2"/>
        <v>57.5</v>
      </c>
      <c r="G46" s="801">
        <f t="shared" si="2"/>
        <v>0</v>
      </c>
      <c r="H46" s="778">
        <f t="shared" si="2"/>
        <v>42.75</v>
      </c>
      <c r="I46" s="801">
        <f t="shared" si="2"/>
        <v>0</v>
      </c>
      <c r="J46" s="801">
        <f t="shared" si="2"/>
        <v>0</v>
      </c>
      <c r="K46" s="764"/>
    </row>
    <row r="47" spans="1:11" s="765" customFormat="1" ht="54.95" customHeight="1" thickBot="1" x14ac:dyDescent="0.65">
      <c r="A47" s="802" t="s">
        <v>760</v>
      </c>
      <c r="B47" s="801">
        <f t="shared" ref="B47:J47" si="3">B35+B37+B39+B41+B46</f>
        <v>1023.505</v>
      </c>
      <c r="C47" s="801">
        <f t="shared" si="3"/>
        <v>1058.7550000000001</v>
      </c>
      <c r="D47" s="801">
        <f t="shared" si="3"/>
        <v>247</v>
      </c>
      <c r="E47" s="801">
        <f>E35+E37+E39+E41+E46</f>
        <v>58</v>
      </c>
      <c r="F47" s="801">
        <f t="shared" si="3"/>
        <v>393.01</v>
      </c>
      <c r="G47" s="801">
        <f t="shared" si="3"/>
        <v>67</v>
      </c>
      <c r="H47" s="801">
        <f t="shared" si="3"/>
        <v>293.75</v>
      </c>
      <c r="I47" s="801">
        <f t="shared" si="3"/>
        <v>0</v>
      </c>
      <c r="J47" s="801">
        <f t="shared" si="3"/>
        <v>0</v>
      </c>
      <c r="K47" s="764"/>
    </row>
    <row r="48" spans="1:11" s="765" customFormat="1" ht="54.95" customHeight="1" thickBot="1" x14ac:dyDescent="0.65">
      <c r="A48" s="802" t="s">
        <v>761</v>
      </c>
      <c r="B48" s="801">
        <f t="shared" ref="B48:J48" si="4">B28+B47</f>
        <v>1486.5050000000001</v>
      </c>
      <c r="C48" s="801">
        <f t="shared" si="4"/>
        <v>1510.7550000000001</v>
      </c>
      <c r="D48" s="801">
        <f t="shared" si="4"/>
        <v>247</v>
      </c>
      <c r="E48" s="801">
        <f>E28+E47</f>
        <v>58</v>
      </c>
      <c r="F48" s="801">
        <f t="shared" si="4"/>
        <v>442.01</v>
      </c>
      <c r="G48" s="801">
        <f t="shared" si="4"/>
        <v>467.5</v>
      </c>
      <c r="H48" s="801">
        <f t="shared" si="4"/>
        <v>296.25</v>
      </c>
      <c r="I48" s="801">
        <f t="shared" si="4"/>
        <v>0</v>
      </c>
      <c r="J48" s="801">
        <f t="shared" si="4"/>
        <v>0</v>
      </c>
      <c r="K48" s="764"/>
    </row>
    <row r="49" spans="1:11" s="765" customFormat="1" ht="54.95" customHeight="1" thickBot="1" x14ac:dyDescent="0.65">
      <c r="A49" s="802" t="s">
        <v>303</v>
      </c>
      <c r="B49" s="801">
        <v>18</v>
      </c>
      <c r="C49" s="801">
        <v>18</v>
      </c>
      <c r="D49" s="801"/>
      <c r="E49" s="801"/>
      <c r="F49" s="801"/>
      <c r="G49" s="801"/>
      <c r="H49" s="801"/>
      <c r="I49" s="801"/>
      <c r="J49" s="801">
        <v>18</v>
      </c>
      <c r="K49" s="764"/>
    </row>
    <row r="50" spans="1:11" s="765" customFormat="1" ht="54.95" customHeight="1" thickBot="1" x14ac:dyDescent="0.65">
      <c r="A50" s="802" t="s">
        <v>219</v>
      </c>
      <c r="B50" s="801">
        <f>B48+B49</f>
        <v>1504.5050000000001</v>
      </c>
      <c r="C50" s="801">
        <f t="shared" ref="C50:J50" si="5">C48+C49</f>
        <v>1528.7550000000001</v>
      </c>
      <c r="D50" s="801">
        <f t="shared" si="5"/>
        <v>247</v>
      </c>
      <c r="E50" s="801">
        <f t="shared" si="5"/>
        <v>58</v>
      </c>
      <c r="F50" s="801">
        <f t="shared" si="5"/>
        <v>442.01</v>
      </c>
      <c r="G50" s="801">
        <f t="shared" si="5"/>
        <v>467.5</v>
      </c>
      <c r="H50" s="801">
        <f t="shared" si="5"/>
        <v>296.25</v>
      </c>
      <c r="I50" s="801">
        <f t="shared" si="5"/>
        <v>0</v>
      </c>
      <c r="J50" s="801">
        <f t="shared" si="5"/>
        <v>18</v>
      </c>
      <c r="K50" s="764"/>
    </row>
    <row r="51" spans="1:11" s="765" customFormat="1" ht="54.95" customHeight="1" x14ac:dyDescent="0.5">
      <c r="A51" s="803"/>
      <c r="B51" s="804"/>
      <c r="C51" s="804"/>
      <c r="D51" s="805"/>
      <c r="E51" s="805"/>
      <c r="F51" s="805"/>
      <c r="G51" s="805"/>
      <c r="H51" s="806"/>
      <c r="I51" s="806"/>
      <c r="J51" s="806"/>
      <c r="K51" s="807"/>
    </row>
    <row r="52" spans="1:11" s="812" customFormat="1" x14ac:dyDescent="0.5">
      <c r="A52" s="808"/>
      <c r="B52" s="808"/>
      <c r="C52" s="808"/>
      <c r="D52" s="809"/>
      <c r="E52" s="809"/>
      <c r="F52" s="809"/>
      <c r="G52" s="809"/>
      <c r="H52" s="810"/>
      <c r="I52" s="810"/>
      <c r="J52" s="810"/>
      <c r="K52" s="811"/>
    </row>
    <row r="53" spans="1:11" s="816" customFormat="1" x14ac:dyDescent="0.5">
      <c r="A53" s="813"/>
      <c r="B53" s="813"/>
      <c r="C53" s="813"/>
      <c r="D53" s="810"/>
      <c r="E53" s="810"/>
      <c r="F53" s="810"/>
      <c r="G53" s="814"/>
      <c r="H53" s="814"/>
      <c r="I53" s="814"/>
      <c r="J53" s="814"/>
      <c r="K53" s="815"/>
    </row>
    <row r="54" spans="1:11" s="816" customFormat="1" x14ac:dyDescent="0.5">
      <c r="A54" s="817"/>
      <c r="B54" s="817"/>
      <c r="C54" s="817"/>
      <c r="D54" s="810"/>
      <c r="E54" s="810"/>
      <c r="F54" s="810"/>
      <c r="G54" s="814"/>
      <c r="H54" s="814"/>
      <c r="I54" s="814"/>
      <c r="J54" s="814"/>
      <c r="K54" s="815"/>
    </row>
    <row r="55" spans="1:11" s="816" customFormat="1" x14ac:dyDescent="0.5">
      <c r="A55" s="808"/>
      <c r="B55" s="808"/>
      <c r="C55" s="808"/>
      <c r="D55" s="810"/>
      <c r="E55" s="810"/>
      <c r="F55" s="810"/>
      <c r="G55" s="814"/>
      <c r="H55" s="814"/>
      <c r="I55" s="814"/>
      <c r="J55" s="814"/>
      <c r="K55" s="815"/>
    </row>
    <row r="56" spans="1:11" s="816" customFormat="1" x14ac:dyDescent="0.5">
      <c r="A56" s="817"/>
      <c r="B56" s="817"/>
      <c r="C56" s="817"/>
      <c r="D56" s="810"/>
      <c r="E56" s="810"/>
      <c r="F56" s="810"/>
      <c r="G56" s="814"/>
      <c r="H56" s="814"/>
      <c r="I56" s="814"/>
      <c r="J56" s="814"/>
      <c r="K56" s="815"/>
    </row>
    <row r="57" spans="1:11" s="816" customFormat="1" x14ac:dyDescent="0.5">
      <c r="A57" s="817"/>
      <c r="B57" s="817"/>
      <c r="C57" s="817"/>
      <c r="D57" s="810"/>
      <c r="E57" s="810"/>
      <c r="F57" s="810"/>
      <c r="G57" s="814"/>
      <c r="H57" s="814"/>
      <c r="I57" s="814"/>
      <c r="J57" s="814"/>
      <c r="K57" s="815"/>
    </row>
    <row r="58" spans="1:11" s="816" customFormat="1" x14ac:dyDescent="0.5">
      <c r="A58" s="817"/>
      <c r="B58" s="817"/>
      <c r="C58" s="817"/>
      <c r="D58" s="810"/>
      <c r="E58" s="810"/>
      <c r="F58" s="810"/>
      <c r="G58" s="814"/>
      <c r="H58" s="814"/>
      <c r="I58" s="814"/>
      <c r="J58" s="814"/>
      <c r="K58" s="815"/>
    </row>
    <row r="59" spans="1:11" s="816" customFormat="1" x14ac:dyDescent="0.5">
      <c r="A59" s="818"/>
      <c r="B59" s="818"/>
      <c r="C59" s="818"/>
      <c r="D59" s="812"/>
      <c r="E59" s="812"/>
      <c r="F59" s="812"/>
      <c r="K59" s="815"/>
    </row>
    <row r="60" spans="1:11" s="816" customFormat="1" x14ac:dyDescent="0.5">
      <c r="A60" s="818"/>
      <c r="B60" s="818"/>
      <c r="C60" s="818"/>
      <c r="D60" s="812"/>
      <c r="E60" s="812"/>
      <c r="F60" s="812"/>
      <c r="K60" s="815"/>
    </row>
    <row r="61" spans="1:11" s="816" customFormat="1" x14ac:dyDescent="0.5">
      <c r="A61" s="734"/>
      <c r="B61" s="734"/>
      <c r="C61" s="734"/>
      <c r="K61" s="815"/>
    </row>
    <row r="62" spans="1:11" s="816" customFormat="1" x14ac:dyDescent="0.5">
      <c r="A62" s="734"/>
      <c r="B62" s="734"/>
      <c r="C62" s="734"/>
      <c r="K62" s="815"/>
    </row>
    <row r="63" spans="1:11" s="816" customFormat="1" x14ac:dyDescent="0.5">
      <c r="A63" s="738"/>
      <c r="B63" s="738"/>
      <c r="C63" s="738"/>
      <c r="D63" s="814"/>
      <c r="E63" s="814"/>
      <c r="F63" s="814"/>
      <c r="G63" s="814"/>
      <c r="H63" s="814"/>
      <c r="I63" s="814"/>
      <c r="J63" s="814"/>
      <c r="K63" s="815"/>
    </row>
    <row r="64" spans="1:11" s="816" customFormat="1" x14ac:dyDescent="0.5">
      <c r="A64" s="738"/>
      <c r="B64" s="738"/>
      <c r="C64" s="738"/>
      <c r="D64" s="814"/>
      <c r="E64" s="814"/>
      <c r="F64" s="814"/>
      <c r="G64" s="814"/>
      <c r="H64" s="814"/>
      <c r="I64" s="814"/>
      <c r="J64" s="814"/>
      <c r="K64" s="815"/>
    </row>
    <row r="65" spans="1:11" s="816" customFormat="1" x14ac:dyDescent="0.5">
      <c r="A65" s="738"/>
      <c r="B65" s="738"/>
      <c r="C65" s="738"/>
      <c r="D65" s="814"/>
      <c r="E65" s="814"/>
      <c r="F65" s="814"/>
      <c r="G65" s="814"/>
      <c r="H65" s="814"/>
      <c r="I65" s="814"/>
      <c r="J65" s="814"/>
      <c r="K65" s="815"/>
    </row>
    <row r="66" spans="1:11" s="816" customFormat="1" x14ac:dyDescent="0.5">
      <c r="A66" s="738"/>
      <c r="B66" s="738"/>
      <c r="C66" s="738"/>
      <c r="D66" s="814"/>
      <c r="E66" s="814"/>
      <c r="F66" s="814"/>
      <c r="G66" s="814"/>
      <c r="H66" s="814"/>
      <c r="I66" s="814"/>
      <c r="J66" s="814"/>
      <c r="K66" s="815"/>
    </row>
    <row r="67" spans="1:11" s="816" customFormat="1" x14ac:dyDescent="0.5">
      <c r="A67" s="738"/>
      <c r="B67" s="738"/>
      <c r="C67" s="738"/>
      <c r="D67" s="814"/>
      <c r="E67" s="814"/>
      <c r="F67" s="814"/>
      <c r="G67" s="814"/>
      <c r="H67" s="814"/>
      <c r="I67" s="814"/>
      <c r="J67" s="814"/>
      <c r="K67" s="815"/>
    </row>
    <row r="68" spans="1:11" s="816" customFormat="1" x14ac:dyDescent="0.5">
      <c r="A68" s="738"/>
      <c r="B68" s="738"/>
      <c r="C68" s="738"/>
      <c r="D68" s="814"/>
      <c r="E68" s="814"/>
      <c r="F68" s="814"/>
      <c r="G68" s="814"/>
      <c r="H68" s="814"/>
      <c r="I68" s="814"/>
      <c r="J68" s="814"/>
      <c r="K68" s="815"/>
    </row>
    <row r="69" spans="1:11" s="816" customFormat="1" x14ac:dyDescent="0.5">
      <c r="A69" s="738"/>
      <c r="B69" s="738"/>
      <c r="C69" s="738"/>
      <c r="D69" s="814"/>
      <c r="E69" s="814"/>
      <c r="F69" s="814"/>
      <c r="G69" s="814"/>
      <c r="H69" s="814"/>
      <c r="I69" s="814"/>
      <c r="J69" s="814"/>
      <c r="K69" s="815"/>
    </row>
    <row r="70" spans="1:11" s="816" customFormat="1" x14ac:dyDescent="0.5">
      <c r="A70" s="738"/>
      <c r="B70" s="738"/>
      <c r="C70" s="738"/>
      <c r="D70" s="814"/>
      <c r="E70" s="814"/>
      <c r="F70" s="814"/>
      <c r="G70" s="814"/>
      <c r="H70" s="814"/>
      <c r="I70" s="814"/>
      <c r="J70" s="814"/>
      <c r="K70" s="815"/>
    </row>
    <row r="71" spans="1:11" s="739" customFormat="1" x14ac:dyDescent="0.5">
      <c r="A71" s="738"/>
      <c r="B71" s="738"/>
      <c r="C71" s="738"/>
      <c r="D71" s="819"/>
      <c r="E71" s="819"/>
      <c r="F71" s="819"/>
      <c r="G71" s="819"/>
      <c r="H71" s="819"/>
      <c r="I71" s="819"/>
      <c r="J71" s="819"/>
    </row>
  </sheetData>
  <mergeCells count="5">
    <mergeCell ref="A1:J1"/>
    <mergeCell ref="A2:J2"/>
    <mergeCell ref="A4:A5"/>
    <mergeCell ref="D4:J4"/>
    <mergeCell ref="H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&amp;R&amp;"-,Félkövér"&amp;26 7.  melléklet a 3/2026.(II.27.)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/>
  <dimension ref="A1:D65"/>
  <sheetViews>
    <sheetView zoomScale="91" zoomScaleNormal="91" zoomScaleSheetLayoutView="62" workbookViewId="0">
      <selection activeCell="U16" sqref="U16"/>
    </sheetView>
  </sheetViews>
  <sheetFormatPr defaultColWidth="9.33203125" defaultRowHeight="15" customHeight="1" x14ac:dyDescent="0.35"/>
  <cols>
    <col min="1" max="1" width="105.83203125" style="2" customWidth="1"/>
    <col min="2" max="2" width="33.6640625" style="2" customWidth="1"/>
    <col min="3" max="3" width="39.6640625" style="2" customWidth="1"/>
    <col min="4" max="4" width="34.5" style="4" customWidth="1"/>
    <col min="5" max="16384" width="9.33203125" style="2"/>
  </cols>
  <sheetData>
    <row r="1" spans="1:4" ht="15" customHeight="1" x14ac:dyDescent="0.35">
      <c r="A1" s="195"/>
      <c r="B1" s="195"/>
      <c r="C1" s="195"/>
      <c r="D1" s="194"/>
    </row>
    <row r="2" spans="1:4" ht="15" customHeight="1" x14ac:dyDescent="0.35">
      <c r="A2" s="928" t="s">
        <v>51</v>
      </c>
      <c r="B2" s="928"/>
      <c r="C2" s="928"/>
      <c r="D2" s="928"/>
    </row>
    <row r="3" spans="1:4" ht="15" customHeight="1" x14ac:dyDescent="0.35">
      <c r="A3" s="195"/>
      <c r="B3" s="195"/>
      <c r="C3" s="195"/>
      <c r="D3" s="194"/>
    </row>
    <row r="4" spans="1:4" ht="21.75" thickBot="1" x14ac:dyDescent="0.4">
      <c r="A4" s="339" t="s">
        <v>35</v>
      </c>
      <c r="B4" s="339"/>
      <c r="C4" s="339"/>
      <c r="D4" s="331" t="s">
        <v>204</v>
      </c>
    </row>
    <row r="5" spans="1:4" ht="20.100000000000001" customHeight="1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396"/>
      <c r="B6" s="397" t="s">
        <v>336</v>
      </c>
      <c r="C6" s="397" t="s">
        <v>350</v>
      </c>
      <c r="D6" s="397" t="s">
        <v>336</v>
      </c>
    </row>
    <row r="7" spans="1:4" ht="21" x14ac:dyDescent="0.35">
      <c r="A7" s="398" t="s">
        <v>181</v>
      </c>
      <c r="B7" s="46">
        <v>3540900</v>
      </c>
      <c r="C7" s="46">
        <v>3656914</v>
      </c>
      <c r="D7" s="46">
        <f>3540900+324611</f>
        <v>3865511</v>
      </c>
    </row>
    <row r="8" spans="1:4" ht="21.75" thickBot="1" x14ac:dyDescent="0.4">
      <c r="A8" s="399" t="s">
        <v>81</v>
      </c>
      <c r="B8" s="181">
        <v>2495269</v>
      </c>
      <c r="C8" s="181">
        <v>2578382</v>
      </c>
      <c r="D8" s="181">
        <f>2495269+201945</f>
        <v>2697214</v>
      </c>
    </row>
    <row r="9" spans="1:4" ht="21.75" thickBot="1" x14ac:dyDescent="0.4">
      <c r="A9" s="400" t="s">
        <v>195</v>
      </c>
      <c r="B9" s="170">
        <f>SUM(B7:B8)</f>
        <v>6036169</v>
      </c>
      <c r="C9" s="170">
        <f t="shared" ref="C9:D9" si="0">SUM(C7:C8)</f>
        <v>6235296</v>
      </c>
      <c r="D9" s="170">
        <f t="shared" si="0"/>
        <v>6562725</v>
      </c>
    </row>
    <row r="10" spans="1:4" ht="21" x14ac:dyDescent="0.35">
      <c r="A10" s="398" t="s">
        <v>345</v>
      </c>
      <c r="B10" s="46">
        <v>0</v>
      </c>
      <c r="C10" s="47">
        <v>1894</v>
      </c>
      <c r="D10" s="46">
        <v>0</v>
      </c>
    </row>
    <row r="11" spans="1:4" ht="21" x14ac:dyDescent="0.35">
      <c r="A11" s="401" t="s">
        <v>442</v>
      </c>
      <c r="B11" s="5">
        <v>0</v>
      </c>
      <c r="C11" s="5">
        <v>7152</v>
      </c>
      <c r="D11" s="5">
        <v>0</v>
      </c>
    </row>
    <row r="12" spans="1:4" ht="21" x14ac:dyDescent="0.35">
      <c r="A12" s="401" t="s">
        <v>334</v>
      </c>
      <c r="B12" s="5">
        <v>800</v>
      </c>
      <c r="C12" s="5"/>
      <c r="D12" s="5">
        <f>800-800</f>
        <v>0</v>
      </c>
    </row>
    <row r="13" spans="1:4" ht="21" x14ac:dyDescent="0.35">
      <c r="A13" s="73" t="s">
        <v>110</v>
      </c>
      <c r="B13" s="5">
        <v>500</v>
      </c>
      <c r="C13" s="5">
        <v>1000</v>
      </c>
      <c r="D13" s="5">
        <v>500</v>
      </c>
    </row>
    <row r="14" spans="1:4" ht="46.5" customHeight="1" x14ac:dyDescent="0.35">
      <c r="A14" s="401" t="s">
        <v>452</v>
      </c>
      <c r="B14" s="5">
        <v>1800</v>
      </c>
      <c r="C14" s="5">
        <v>2278</v>
      </c>
      <c r="D14" s="5">
        <v>1800</v>
      </c>
    </row>
    <row r="15" spans="1:4" ht="21" x14ac:dyDescent="0.35">
      <c r="A15" s="398" t="s">
        <v>111</v>
      </c>
      <c r="B15" s="46">
        <v>10000</v>
      </c>
      <c r="C15" s="46"/>
      <c r="D15" s="46">
        <v>10000</v>
      </c>
    </row>
    <row r="16" spans="1:4" ht="21" x14ac:dyDescent="0.35">
      <c r="A16" s="73" t="s">
        <v>465</v>
      </c>
      <c r="B16" s="5">
        <v>6000</v>
      </c>
      <c r="C16" s="5">
        <v>6800</v>
      </c>
      <c r="D16" s="5">
        <f>6000+1000</f>
        <v>7000</v>
      </c>
    </row>
    <row r="17" spans="1:4" ht="21" x14ac:dyDescent="0.35">
      <c r="A17" s="73" t="s">
        <v>408</v>
      </c>
      <c r="B17" s="5">
        <v>4842</v>
      </c>
      <c r="C17" s="5">
        <v>5232</v>
      </c>
      <c r="D17" s="5">
        <v>4842</v>
      </c>
    </row>
    <row r="18" spans="1:4" ht="21" x14ac:dyDescent="0.35">
      <c r="A18" s="73" t="s">
        <v>132</v>
      </c>
      <c r="B18" s="5">
        <v>1250</v>
      </c>
      <c r="C18" s="5">
        <v>1250</v>
      </c>
      <c r="D18" s="5">
        <f>1250-1000</f>
        <v>250</v>
      </c>
    </row>
    <row r="19" spans="1:4" ht="21" x14ac:dyDescent="0.35">
      <c r="A19" s="73" t="s">
        <v>70</v>
      </c>
      <c r="B19" s="5">
        <v>3000</v>
      </c>
      <c r="C19" s="5">
        <v>3220</v>
      </c>
      <c r="D19" s="5">
        <v>3000</v>
      </c>
    </row>
    <row r="20" spans="1:4" ht="21" x14ac:dyDescent="0.35">
      <c r="A20" s="73" t="s">
        <v>54</v>
      </c>
      <c r="B20" s="5">
        <v>300</v>
      </c>
      <c r="C20" s="5">
        <v>350</v>
      </c>
      <c r="D20" s="5">
        <v>300</v>
      </c>
    </row>
    <row r="21" spans="1:4" ht="21" x14ac:dyDescent="0.35">
      <c r="A21" s="73" t="s">
        <v>395</v>
      </c>
      <c r="B21" s="5">
        <v>1500</v>
      </c>
      <c r="C21" s="5">
        <v>1773</v>
      </c>
      <c r="D21" s="5">
        <v>1500</v>
      </c>
    </row>
    <row r="22" spans="1:4" ht="49.5" customHeight="1" x14ac:dyDescent="0.35">
      <c r="A22" s="402" t="s">
        <v>335</v>
      </c>
      <c r="B22" s="5">
        <v>1000</v>
      </c>
      <c r="C22" s="5">
        <v>1626</v>
      </c>
      <c r="D22" s="5">
        <v>1000</v>
      </c>
    </row>
    <row r="23" spans="1:4" ht="47.25" customHeight="1" x14ac:dyDescent="0.35">
      <c r="A23" s="403" t="s">
        <v>431</v>
      </c>
      <c r="B23" s="5">
        <v>2900</v>
      </c>
      <c r="C23" s="5">
        <v>2119</v>
      </c>
      <c r="D23" s="5">
        <v>800</v>
      </c>
    </row>
    <row r="24" spans="1:4" ht="42" x14ac:dyDescent="0.35">
      <c r="A24" s="403" t="s">
        <v>635</v>
      </c>
      <c r="B24" s="5"/>
      <c r="C24" s="5">
        <v>2000</v>
      </c>
      <c r="D24" s="7"/>
    </row>
    <row r="25" spans="1:4" ht="21.75" thickBot="1" x14ac:dyDescent="0.4">
      <c r="A25" s="404" t="s">
        <v>41</v>
      </c>
      <c r="B25" s="48">
        <f>SUM(B10:B24)</f>
        <v>33892</v>
      </c>
      <c r="C25" s="48">
        <f>SUM(C10:C24)</f>
        <v>36694</v>
      </c>
      <c r="D25" s="49">
        <f>SUM(D10:D24)</f>
        <v>30992</v>
      </c>
    </row>
    <row r="26" spans="1:4" ht="21.75" thickBot="1" x14ac:dyDescent="0.4">
      <c r="A26" s="404" t="s">
        <v>274</v>
      </c>
      <c r="B26" s="48">
        <f>+B25+B9</f>
        <v>6070061</v>
      </c>
      <c r="C26" s="48">
        <f>+C25+C9</f>
        <v>6271990</v>
      </c>
      <c r="D26" s="49">
        <f>+D25+D9</f>
        <v>6593717</v>
      </c>
    </row>
    <row r="27" spans="1:4" s="52" customFormat="1" ht="21" x14ac:dyDescent="0.35">
      <c r="D27" s="19"/>
    </row>
    <row r="28" spans="1:4" s="52" customFormat="1" ht="21.75" thickBot="1" x14ac:dyDescent="0.4">
      <c r="A28" s="339" t="s">
        <v>80</v>
      </c>
      <c r="B28" s="339"/>
      <c r="C28" s="339"/>
      <c r="D28" s="21"/>
    </row>
    <row r="29" spans="1:4" s="52" customFormat="1" ht="21" x14ac:dyDescent="0.35">
      <c r="A29" s="405" t="s">
        <v>157</v>
      </c>
      <c r="B29" s="202" t="s">
        <v>445</v>
      </c>
      <c r="C29" s="202" t="s">
        <v>612</v>
      </c>
      <c r="D29" s="202" t="s">
        <v>467</v>
      </c>
    </row>
    <row r="30" spans="1:4" s="52" customFormat="1" ht="21.75" thickBot="1" x14ac:dyDescent="0.4">
      <c r="A30" s="406"/>
      <c r="B30" s="397" t="s">
        <v>336</v>
      </c>
      <c r="C30" s="397" t="s">
        <v>350</v>
      </c>
      <c r="D30" s="397" t="s">
        <v>336</v>
      </c>
    </row>
    <row r="31" spans="1:4" s="52" customFormat="1" ht="21" x14ac:dyDescent="0.35">
      <c r="A31" s="407" t="s">
        <v>181</v>
      </c>
      <c r="B31" s="47"/>
      <c r="C31" s="47">
        <v>39431</v>
      </c>
      <c r="D31" s="47"/>
    </row>
    <row r="32" spans="1:4" s="52" customFormat="1" ht="21" x14ac:dyDescent="0.35">
      <c r="A32" s="399" t="s">
        <v>81</v>
      </c>
      <c r="B32" s="50"/>
      <c r="C32" s="46">
        <v>72194</v>
      </c>
      <c r="D32" s="50"/>
    </row>
    <row r="33" spans="1:4" s="52" customFormat="1" ht="21.75" thickBot="1" x14ac:dyDescent="0.4">
      <c r="A33" s="374" t="s">
        <v>275</v>
      </c>
      <c r="B33" s="51">
        <f>SUM(B31:B32)</f>
        <v>0</v>
      </c>
      <c r="C33" s="51">
        <f>SUM(C31:C32)</f>
        <v>111625</v>
      </c>
      <c r="D33" s="16">
        <f>SUM(D31:D32)</f>
        <v>0</v>
      </c>
    </row>
    <row r="34" spans="1:4" s="52" customFormat="1" ht="21.75" thickBot="1" x14ac:dyDescent="0.4">
      <c r="D34" s="19"/>
    </row>
    <row r="35" spans="1:4" s="52" customFormat="1" ht="21.75" thickBot="1" x14ac:dyDescent="0.4">
      <c r="A35" s="408" t="s">
        <v>276</v>
      </c>
      <c r="B35" s="17">
        <f>+B33+B25+B9</f>
        <v>6070061</v>
      </c>
      <c r="C35" s="17">
        <f>+C33+C25+C9</f>
        <v>6383615</v>
      </c>
      <c r="D35" s="17">
        <f>+D33+D25+D9</f>
        <v>6593717</v>
      </c>
    </row>
    <row r="36" spans="1:4" s="52" customFormat="1" ht="21" x14ac:dyDescent="0.35">
      <c r="D36" s="19"/>
    </row>
    <row r="37" spans="1:4" s="52" customFormat="1" ht="21" x14ac:dyDescent="0.35">
      <c r="A37" s="52" t="s">
        <v>72</v>
      </c>
      <c r="D37" s="409"/>
    </row>
    <row r="38" spans="1:4" s="52" customFormat="1" ht="21" x14ac:dyDescent="0.35">
      <c r="A38" s="52" t="s">
        <v>73</v>
      </c>
      <c r="D38" s="19"/>
    </row>
    <row r="39" spans="1:4" ht="21" x14ac:dyDescent="0.35"/>
    <row r="40" spans="1:4" ht="21" x14ac:dyDescent="0.35"/>
    <row r="41" spans="1:4" ht="21" x14ac:dyDescent="0.35"/>
    <row r="42" spans="1:4" ht="21" x14ac:dyDescent="0.35"/>
    <row r="43" spans="1:4" ht="21" x14ac:dyDescent="0.35"/>
    <row r="44" spans="1:4" ht="21" x14ac:dyDescent="0.35"/>
    <row r="45" spans="1:4" ht="21" x14ac:dyDescent="0.35"/>
    <row r="46" spans="1:4" ht="21" x14ac:dyDescent="0.35"/>
    <row r="47" spans="1:4" ht="21" x14ac:dyDescent="0.35"/>
    <row r="48" spans="1:4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  <row r="60" ht="21" x14ac:dyDescent="0.35"/>
    <row r="61" ht="21" x14ac:dyDescent="0.35"/>
    <row r="62" ht="21" x14ac:dyDescent="0.35"/>
    <row r="63" ht="21" x14ac:dyDescent="0.35"/>
    <row r="64" ht="21" x14ac:dyDescent="0.35"/>
    <row r="65" ht="21" x14ac:dyDescent="0.35"/>
  </sheetData>
  <customSheetViews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57" orientation="portrait" r:id="rId3"/>
  <headerFooter alignWithMargins="0">
    <oddHeader xml:space="preserve">&amp;R&amp;"-,Félkövér"&amp;12 
8. melléklet a 3/2026. (II.27.) önkormányzati rendelethez&amp;"Times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D78"/>
  <sheetViews>
    <sheetView zoomScale="110" zoomScaleNormal="110" workbookViewId="0">
      <selection activeCell="U16" sqref="U16"/>
    </sheetView>
  </sheetViews>
  <sheetFormatPr defaultColWidth="9.33203125" defaultRowHeight="21" customHeight="1" x14ac:dyDescent="0.35"/>
  <cols>
    <col min="1" max="1" width="124.33203125" style="2" customWidth="1"/>
    <col min="2" max="2" width="33.6640625" style="4" customWidth="1"/>
    <col min="3" max="3" width="39.33203125" style="4" customWidth="1"/>
    <col min="4" max="4" width="33.83203125" style="4" customWidth="1"/>
    <col min="5" max="16384" width="9.33203125" style="2"/>
  </cols>
  <sheetData>
    <row r="1" spans="1:4" ht="21" customHeight="1" x14ac:dyDescent="0.35">
      <c r="A1" s="195"/>
      <c r="B1" s="194"/>
      <c r="C1" s="194"/>
      <c r="D1" s="194"/>
    </row>
    <row r="2" spans="1:4" ht="21" customHeight="1" x14ac:dyDescent="0.35">
      <c r="A2" s="928" t="s">
        <v>277</v>
      </c>
      <c r="B2" s="928"/>
      <c r="C2" s="928"/>
      <c r="D2" s="928"/>
    </row>
    <row r="3" spans="1:4" ht="21" customHeight="1" x14ac:dyDescent="0.35">
      <c r="A3" s="195"/>
      <c r="B3" s="194"/>
      <c r="C3" s="194"/>
      <c r="D3" s="194"/>
    </row>
    <row r="4" spans="1:4" ht="21" customHeight="1" thickBot="1" x14ac:dyDescent="0.4">
      <c r="A4" s="339" t="s">
        <v>35</v>
      </c>
      <c r="B4" s="21"/>
      <c r="C4" s="21"/>
      <c r="D4" s="331" t="s">
        <v>204</v>
      </c>
    </row>
    <row r="5" spans="1:4" ht="21" customHeight="1" x14ac:dyDescent="0.35">
      <c r="A5" s="395" t="s">
        <v>157</v>
      </c>
      <c r="B5" s="202" t="s">
        <v>445</v>
      </c>
      <c r="C5" s="202" t="s">
        <v>612</v>
      </c>
      <c r="D5" s="202" t="s">
        <v>467</v>
      </c>
    </row>
    <row r="6" spans="1:4" ht="21.75" thickBot="1" x14ac:dyDescent="0.4">
      <c r="A6" s="410"/>
      <c r="B6" s="205" t="s">
        <v>336</v>
      </c>
      <c r="C6" s="205" t="s">
        <v>350</v>
      </c>
      <c r="D6" s="397" t="s">
        <v>336</v>
      </c>
    </row>
    <row r="7" spans="1:4" x14ac:dyDescent="0.35">
      <c r="A7" s="411" t="s">
        <v>507</v>
      </c>
      <c r="B7" s="53"/>
      <c r="C7" s="53"/>
      <c r="D7" s="53"/>
    </row>
    <row r="8" spans="1:4" ht="21.75" thickBot="1" x14ac:dyDescent="0.4">
      <c r="A8" s="412" t="s">
        <v>546</v>
      </c>
      <c r="B8" s="35">
        <v>162526</v>
      </c>
      <c r="C8" s="35">
        <v>305116</v>
      </c>
      <c r="D8" s="35">
        <f>162526+28055+51993</f>
        <v>242574</v>
      </c>
    </row>
    <row r="9" spans="1:4" ht="21.75" thickBot="1" x14ac:dyDescent="0.4">
      <c r="A9" s="413" t="s">
        <v>547</v>
      </c>
      <c r="B9" s="17">
        <v>581360</v>
      </c>
      <c r="C9" s="17">
        <v>1103510</v>
      </c>
      <c r="D9" s="17">
        <f>581360+175940</f>
        <v>757300</v>
      </c>
    </row>
    <row r="10" spans="1:4" ht="21.75" thickBot="1" x14ac:dyDescent="0.4">
      <c r="A10" s="400" t="s">
        <v>333</v>
      </c>
      <c r="B10" s="170">
        <v>324895</v>
      </c>
      <c r="C10" s="170">
        <v>544762</v>
      </c>
      <c r="D10" s="170">
        <f>324895+94462</f>
        <v>419357</v>
      </c>
    </row>
    <row r="11" spans="1:4" ht="21.75" thickBot="1" x14ac:dyDescent="0.4">
      <c r="A11" s="400" t="s">
        <v>483</v>
      </c>
      <c r="B11" s="170">
        <v>756427</v>
      </c>
      <c r="C11" s="170">
        <v>992247</v>
      </c>
      <c r="D11" s="170">
        <f>756427+199180+4000-20000</f>
        <v>939607</v>
      </c>
    </row>
    <row r="12" spans="1:4" ht="21.75" thickBot="1" x14ac:dyDescent="0.4">
      <c r="A12" s="414" t="s">
        <v>548</v>
      </c>
      <c r="B12" s="17">
        <f>SUM(B8:B11)</f>
        <v>1825208</v>
      </c>
      <c r="C12" s="17">
        <f>SUM(C8:C11)</f>
        <v>2945635</v>
      </c>
      <c r="D12" s="17">
        <f>SUM(D8:D11)</f>
        <v>2358838</v>
      </c>
    </row>
    <row r="13" spans="1:4" x14ac:dyDescent="0.35">
      <c r="A13" s="415" t="s">
        <v>508</v>
      </c>
      <c r="B13" s="41"/>
      <c r="C13" s="41"/>
      <c r="D13" s="41"/>
    </row>
    <row r="14" spans="1:4" x14ac:dyDescent="0.35">
      <c r="A14" s="416" t="s">
        <v>719</v>
      </c>
      <c r="B14" s="5">
        <v>373897</v>
      </c>
      <c r="C14" s="5">
        <v>347387</v>
      </c>
      <c r="D14" s="5">
        <f>307387+34690+3000+3000+9731</f>
        <v>357808</v>
      </c>
    </row>
    <row r="15" spans="1:4" ht="42" x14ac:dyDescent="0.35">
      <c r="A15" s="909" t="s">
        <v>720</v>
      </c>
      <c r="B15" s="5">
        <v>373897</v>
      </c>
      <c r="C15" s="5">
        <v>75519</v>
      </c>
      <c r="D15" s="5">
        <f>373897-71822+55733</f>
        <v>357808</v>
      </c>
    </row>
    <row r="16" spans="1:4" ht="42.75" thickBot="1" x14ac:dyDescent="0.4">
      <c r="A16" s="417" t="s">
        <v>636</v>
      </c>
      <c r="B16" s="9"/>
      <c r="C16" s="9">
        <v>71822</v>
      </c>
      <c r="D16" s="9">
        <v>71822</v>
      </c>
    </row>
    <row r="17" spans="1:4" s="52" customFormat="1" ht="21.75" thickBot="1" x14ac:dyDescent="0.4">
      <c r="A17" s="418" t="s">
        <v>505</v>
      </c>
      <c r="B17" s="17">
        <f>SUM(B14:B16)</f>
        <v>747794</v>
      </c>
      <c r="C17" s="17">
        <f t="shared" ref="C17:D17" si="0">SUM(C14:C16)</f>
        <v>494728</v>
      </c>
      <c r="D17" s="17">
        <f t="shared" si="0"/>
        <v>787438</v>
      </c>
    </row>
    <row r="18" spans="1:4" x14ac:dyDescent="0.35">
      <c r="A18" s="419" t="s">
        <v>509</v>
      </c>
      <c r="B18" s="12">
        <v>48651</v>
      </c>
      <c r="C18" s="12">
        <v>55405</v>
      </c>
      <c r="D18" s="12">
        <v>48651</v>
      </c>
    </row>
    <row r="19" spans="1:4" x14ac:dyDescent="0.35">
      <c r="A19" s="419" t="s">
        <v>550</v>
      </c>
      <c r="B19" s="12">
        <v>384000</v>
      </c>
      <c r="C19" s="12">
        <v>429570</v>
      </c>
      <c r="D19" s="12">
        <f>384000-15000</f>
        <v>369000</v>
      </c>
    </row>
    <row r="20" spans="1:4" s="52" customFormat="1" ht="21.75" thickBot="1" x14ac:dyDescent="0.4">
      <c r="A20" s="39" t="s">
        <v>510</v>
      </c>
      <c r="B20" s="35">
        <f>SUM(B17:B19)</f>
        <v>1180445</v>
      </c>
      <c r="C20" s="35">
        <f>SUM(C17:C19)</f>
        <v>979703</v>
      </c>
      <c r="D20" s="35">
        <f>SUM(D17:D19)</f>
        <v>1205089</v>
      </c>
    </row>
    <row r="21" spans="1:4" ht="42.75" customHeight="1" thickBot="1" x14ac:dyDescent="0.4">
      <c r="A21" s="420" t="s">
        <v>511</v>
      </c>
      <c r="B21" s="17">
        <f>B12+B20</f>
        <v>3005653</v>
      </c>
      <c r="C21" s="17">
        <f>C12+C20</f>
        <v>3925338</v>
      </c>
      <c r="D21" s="17">
        <f>D12+D20</f>
        <v>3563927</v>
      </c>
    </row>
    <row r="22" spans="1:4" x14ac:dyDescent="0.35">
      <c r="A22" s="421" t="s">
        <v>512</v>
      </c>
      <c r="B22" s="41"/>
      <c r="C22" s="41"/>
      <c r="D22" s="41"/>
    </row>
    <row r="23" spans="1:4" x14ac:dyDescent="0.35">
      <c r="A23" s="411" t="s">
        <v>513</v>
      </c>
      <c r="B23" s="11"/>
      <c r="C23" s="11"/>
      <c r="D23" s="11"/>
    </row>
    <row r="24" spans="1:4" x14ac:dyDescent="0.35">
      <c r="A24" s="416" t="s">
        <v>134</v>
      </c>
      <c r="B24" s="5">
        <v>3000</v>
      </c>
      <c r="C24" s="5">
        <v>3000</v>
      </c>
      <c r="D24" s="5">
        <v>3000</v>
      </c>
    </row>
    <row r="25" spans="1:4" x14ac:dyDescent="0.35">
      <c r="A25" s="422" t="s">
        <v>55</v>
      </c>
      <c r="B25" s="5">
        <v>1200</v>
      </c>
      <c r="C25" s="5">
        <v>1200</v>
      </c>
      <c r="D25" s="5">
        <v>1200</v>
      </c>
    </row>
    <row r="26" spans="1:4" x14ac:dyDescent="0.35">
      <c r="A26" s="422" t="s">
        <v>430</v>
      </c>
      <c r="B26" s="5">
        <v>3000</v>
      </c>
      <c r="C26" s="5">
        <v>3000</v>
      </c>
      <c r="D26" s="5">
        <f>3000+500</f>
        <v>3500</v>
      </c>
    </row>
    <row r="27" spans="1:4" x14ac:dyDescent="0.35">
      <c r="A27" s="422" t="s">
        <v>37</v>
      </c>
      <c r="B27" s="5">
        <v>4000</v>
      </c>
      <c r="C27" s="5">
        <v>4000</v>
      </c>
      <c r="D27" s="5">
        <f>4000+2000</f>
        <v>6000</v>
      </c>
    </row>
    <row r="28" spans="1:4" x14ac:dyDescent="0.35">
      <c r="A28" s="422" t="s">
        <v>38</v>
      </c>
      <c r="B28" s="5">
        <v>13000</v>
      </c>
      <c r="C28" s="5">
        <v>13000</v>
      </c>
      <c r="D28" s="5">
        <f>13000+3000-1000</f>
        <v>15000</v>
      </c>
    </row>
    <row r="29" spans="1:4" x14ac:dyDescent="0.35">
      <c r="A29" s="422" t="s">
        <v>711</v>
      </c>
      <c r="B29" s="5"/>
      <c r="C29" s="5"/>
      <c r="D29" s="5">
        <v>1000</v>
      </c>
    </row>
    <row r="30" spans="1:4" x14ac:dyDescent="0.35">
      <c r="A30" s="422" t="s">
        <v>39</v>
      </c>
      <c r="B30" s="5">
        <v>1000</v>
      </c>
      <c r="C30" s="5">
        <v>1000</v>
      </c>
      <c r="D30" s="5">
        <f>1000+500</f>
        <v>1500</v>
      </c>
    </row>
    <row r="31" spans="1:4" x14ac:dyDescent="0.35">
      <c r="A31" s="422" t="s">
        <v>591</v>
      </c>
      <c r="B31" s="5">
        <v>3000</v>
      </c>
      <c r="C31" s="5">
        <v>3000</v>
      </c>
      <c r="D31" s="5">
        <v>3000</v>
      </c>
    </row>
    <row r="32" spans="1:4" x14ac:dyDescent="0.35">
      <c r="A32" s="422" t="s">
        <v>338</v>
      </c>
      <c r="B32" s="5">
        <v>2000</v>
      </c>
      <c r="C32" s="5">
        <v>2000</v>
      </c>
      <c r="D32" s="5">
        <f>2000</f>
        <v>2000</v>
      </c>
    </row>
    <row r="33" spans="1:4" x14ac:dyDescent="0.35">
      <c r="A33" s="422" t="s">
        <v>56</v>
      </c>
      <c r="B33" s="5">
        <v>650</v>
      </c>
      <c r="C33" s="5">
        <v>650</v>
      </c>
      <c r="D33" s="5">
        <f>650+350</f>
        <v>1000</v>
      </c>
    </row>
    <row r="34" spans="1:4" x14ac:dyDescent="0.35">
      <c r="A34" s="422" t="s">
        <v>197</v>
      </c>
      <c r="B34" s="5">
        <v>2000</v>
      </c>
      <c r="C34" s="5">
        <v>2000</v>
      </c>
      <c r="D34" s="5">
        <f>2000+500</f>
        <v>2500</v>
      </c>
    </row>
    <row r="35" spans="1:4" x14ac:dyDescent="0.35">
      <c r="A35" s="422" t="s">
        <v>329</v>
      </c>
      <c r="B35" s="5">
        <v>6000</v>
      </c>
      <c r="C35" s="5">
        <v>6000</v>
      </c>
      <c r="D35" s="5">
        <f>6000+1000</f>
        <v>7000</v>
      </c>
    </row>
    <row r="36" spans="1:4" x14ac:dyDescent="0.35">
      <c r="A36" s="422" t="s">
        <v>410</v>
      </c>
      <c r="B36" s="5">
        <v>2000</v>
      </c>
      <c r="C36" s="5">
        <v>2000</v>
      </c>
      <c r="D36" s="5">
        <f>2000</f>
        <v>2000</v>
      </c>
    </row>
    <row r="37" spans="1:4" x14ac:dyDescent="0.35">
      <c r="A37" s="422" t="s">
        <v>126</v>
      </c>
      <c r="B37" s="5">
        <v>2000</v>
      </c>
      <c r="C37" s="5">
        <v>2000</v>
      </c>
      <c r="D37" s="5">
        <v>2000</v>
      </c>
    </row>
    <row r="38" spans="1:4" x14ac:dyDescent="0.35">
      <c r="A38" s="422" t="s">
        <v>196</v>
      </c>
      <c r="B38" s="5">
        <v>1600</v>
      </c>
      <c r="C38" s="5">
        <v>1600</v>
      </c>
      <c r="D38" s="5">
        <f>800+800-240+240-1600</f>
        <v>0</v>
      </c>
    </row>
    <row r="39" spans="1:4" ht="46.5" customHeight="1" x14ac:dyDescent="0.35">
      <c r="A39" s="423" t="s">
        <v>710</v>
      </c>
      <c r="B39" s="5">
        <v>3500</v>
      </c>
      <c r="C39" s="5">
        <v>3500</v>
      </c>
      <c r="D39" s="5">
        <f>3500+700</f>
        <v>4200</v>
      </c>
    </row>
    <row r="40" spans="1:4" ht="37.5" customHeight="1" x14ac:dyDescent="0.35">
      <c r="A40" s="424" t="s">
        <v>339</v>
      </c>
      <c r="B40" s="5">
        <v>1200</v>
      </c>
      <c r="C40" s="5">
        <v>1200</v>
      </c>
      <c r="D40" s="5">
        <v>1200</v>
      </c>
    </row>
    <row r="41" spans="1:4" ht="42" x14ac:dyDescent="0.35">
      <c r="A41" s="425" t="s">
        <v>343</v>
      </c>
      <c r="B41" s="5">
        <v>1500</v>
      </c>
      <c r="C41" s="5">
        <v>1500</v>
      </c>
      <c r="D41" s="5">
        <v>1500</v>
      </c>
    </row>
    <row r="42" spans="1:4" x14ac:dyDescent="0.35">
      <c r="A42" s="402" t="s">
        <v>330</v>
      </c>
      <c r="B42" s="5">
        <v>1000</v>
      </c>
      <c r="C42" s="5">
        <v>1000</v>
      </c>
      <c r="D42" s="5">
        <v>1000</v>
      </c>
    </row>
    <row r="43" spans="1:4" x14ac:dyDescent="0.35">
      <c r="A43" s="402" t="s">
        <v>490</v>
      </c>
      <c r="B43" s="5">
        <v>1000</v>
      </c>
      <c r="C43" s="5">
        <v>1000</v>
      </c>
      <c r="D43" s="5">
        <v>1000</v>
      </c>
    </row>
    <row r="44" spans="1:4" x14ac:dyDescent="0.35">
      <c r="A44" s="402" t="s">
        <v>495</v>
      </c>
      <c r="B44" s="5">
        <v>1000</v>
      </c>
      <c r="C44" s="5">
        <v>1000</v>
      </c>
      <c r="D44" s="5">
        <v>1000</v>
      </c>
    </row>
    <row r="45" spans="1:4" x14ac:dyDescent="0.35">
      <c r="A45" s="402" t="s">
        <v>461</v>
      </c>
      <c r="B45" s="5">
        <v>1000</v>
      </c>
      <c r="C45" s="5">
        <v>1000</v>
      </c>
      <c r="D45" s="5">
        <f>1000-1000</f>
        <v>0</v>
      </c>
    </row>
    <row r="46" spans="1:4" ht="21.75" thickBot="1" x14ac:dyDescent="0.4">
      <c r="A46" s="426" t="s">
        <v>205</v>
      </c>
      <c r="B46" s="74">
        <v>300</v>
      </c>
      <c r="C46" s="74">
        <v>300</v>
      </c>
      <c r="D46" s="74">
        <f>300+200</f>
        <v>500</v>
      </c>
    </row>
    <row r="47" spans="1:4" ht="21.75" thickBot="1" x14ac:dyDescent="0.4">
      <c r="A47" s="427" t="s">
        <v>514</v>
      </c>
      <c r="B47" s="35">
        <f>SUM(B24:B46)</f>
        <v>54950</v>
      </c>
      <c r="C47" s="35">
        <f>SUM(C24:C46)</f>
        <v>54950</v>
      </c>
      <c r="D47" s="35">
        <f>SUM(D24:D46)</f>
        <v>61100</v>
      </c>
    </row>
    <row r="48" spans="1:4" ht="21.75" thickBot="1" x14ac:dyDescent="0.4">
      <c r="A48" s="428" t="s">
        <v>515</v>
      </c>
      <c r="B48" s="16">
        <v>0</v>
      </c>
      <c r="C48" s="16">
        <v>14210</v>
      </c>
      <c r="D48" s="16">
        <v>0</v>
      </c>
    </row>
    <row r="49" spans="1:4" ht="42.75" thickBot="1" x14ac:dyDescent="0.4">
      <c r="A49" s="429" t="s">
        <v>516</v>
      </c>
      <c r="B49" s="35">
        <f>B47+B48</f>
        <v>54950</v>
      </c>
      <c r="C49" s="35">
        <f>C47+C48</f>
        <v>69160</v>
      </c>
      <c r="D49" s="35">
        <f>D47+D48</f>
        <v>61100</v>
      </c>
    </row>
    <row r="50" spans="1:4" ht="21.75" thickBot="1" x14ac:dyDescent="0.4">
      <c r="A50" s="430" t="s">
        <v>517</v>
      </c>
      <c r="B50" s="17">
        <v>0</v>
      </c>
      <c r="C50" s="17">
        <v>0</v>
      </c>
      <c r="D50" s="17">
        <v>0</v>
      </c>
    </row>
    <row r="51" spans="1:4" x14ac:dyDescent="0.35">
      <c r="A51" s="415" t="s">
        <v>518</v>
      </c>
      <c r="B51" s="54"/>
      <c r="C51" s="54"/>
      <c r="D51" s="54"/>
    </row>
    <row r="52" spans="1:4" x14ac:dyDescent="0.35">
      <c r="A52" s="416" t="s">
        <v>437</v>
      </c>
      <c r="B52" s="5">
        <v>0</v>
      </c>
      <c r="C52" s="5">
        <v>5534</v>
      </c>
      <c r="D52" s="5">
        <f>8269+18000+300</f>
        <v>26569</v>
      </c>
    </row>
    <row r="53" spans="1:4" x14ac:dyDescent="0.35">
      <c r="A53" s="431" t="s">
        <v>471</v>
      </c>
      <c r="B53" s="5">
        <v>27000</v>
      </c>
      <c r="C53" s="5">
        <v>32286</v>
      </c>
      <c r="D53" s="5">
        <v>27000</v>
      </c>
    </row>
    <row r="54" spans="1:4" x14ac:dyDescent="0.35">
      <c r="A54" s="431" t="s">
        <v>379</v>
      </c>
      <c r="B54" s="5">
        <v>7500</v>
      </c>
      <c r="C54" s="5">
        <v>11095</v>
      </c>
      <c r="D54" s="5">
        <v>7500</v>
      </c>
    </row>
    <row r="55" spans="1:4" ht="21.75" thickBot="1" x14ac:dyDescent="0.4">
      <c r="A55" s="432" t="s">
        <v>519</v>
      </c>
      <c r="B55" s="16">
        <f>SUM(B52:B54)</f>
        <v>34500</v>
      </c>
      <c r="C55" s="16">
        <f>SUM(C52:C54)</f>
        <v>48915</v>
      </c>
      <c r="D55" s="16">
        <f>SUM(D52:D54)</f>
        <v>61069</v>
      </c>
    </row>
    <row r="56" spans="1:4" ht="21.75" thickBot="1" x14ac:dyDescent="0.4">
      <c r="A56" s="433" t="s">
        <v>520</v>
      </c>
      <c r="B56" s="16">
        <f>B50+B55</f>
        <v>34500</v>
      </c>
      <c r="C56" s="16">
        <f>C50+C55</f>
        <v>48915</v>
      </c>
      <c r="D56" s="16">
        <f>D50+D55</f>
        <v>61069</v>
      </c>
    </row>
    <row r="57" spans="1:4" x14ac:dyDescent="0.35">
      <c r="A57" s="434" t="s">
        <v>521</v>
      </c>
      <c r="B57" s="56"/>
      <c r="C57" s="56"/>
      <c r="D57" s="56"/>
    </row>
    <row r="58" spans="1:4" x14ac:dyDescent="0.35">
      <c r="A58" s="435" t="s">
        <v>257</v>
      </c>
      <c r="B58" s="5">
        <v>2023</v>
      </c>
      <c r="C58" s="57">
        <v>2504</v>
      </c>
      <c r="D58" s="5">
        <v>2023</v>
      </c>
    </row>
    <row r="59" spans="1:4" x14ac:dyDescent="0.35">
      <c r="A59" s="435" t="s">
        <v>378</v>
      </c>
      <c r="B59" s="57">
        <v>5000</v>
      </c>
      <c r="C59" s="57">
        <v>5860</v>
      </c>
      <c r="D59" s="57">
        <v>5000</v>
      </c>
    </row>
    <row r="60" spans="1:4" ht="21.75" thickBot="1" x14ac:dyDescent="0.4">
      <c r="A60" s="436" t="s">
        <v>462</v>
      </c>
      <c r="B60" s="9">
        <v>0</v>
      </c>
      <c r="C60" s="9">
        <v>664</v>
      </c>
      <c r="D60" s="9">
        <v>1000</v>
      </c>
    </row>
    <row r="61" spans="1:4" ht="21.75" thickBot="1" x14ac:dyDescent="0.4">
      <c r="A61" s="437" t="s">
        <v>536</v>
      </c>
      <c r="B61" s="17">
        <f>SUM(B58:B60)</f>
        <v>7023</v>
      </c>
      <c r="C61" s="17">
        <f t="shared" ref="C61:D61" si="1">SUM(C58:C60)</f>
        <v>9028</v>
      </c>
      <c r="D61" s="17">
        <f t="shared" si="1"/>
        <v>8023</v>
      </c>
    </row>
    <row r="62" spans="1:4" ht="21.75" thickBot="1" x14ac:dyDescent="0.4">
      <c r="A62" s="438" t="s">
        <v>522</v>
      </c>
      <c r="B62" s="35">
        <f>B49+B56+B61</f>
        <v>96473</v>
      </c>
      <c r="C62" s="35">
        <f>C49+C56+C61</f>
        <v>127103</v>
      </c>
      <c r="D62" s="35">
        <f>D49+D56+D61</f>
        <v>130192</v>
      </c>
    </row>
    <row r="63" spans="1:4" ht="21.75" thickBot="1" x14ac:dyDescent="0.4">
      <c r="A63" s="433" t="s">
        <v>523</v>
      </c>
      <c r="B63" s="16">
        <f>B21+B62</f>
        <v>3102126</v>
      </c>
      <c r="C63" s="16">
        <f>C21+C62</f>
        <v>4052441</v>
      </c>
      <c r="D63" s="16">
        <f>D21+D62</f>
        <v>3694119</v>
      </c>
    </row>
    <row r="64" spans="1:4" x14ac:dyDescent="0.35">
      <c r="A64" s="439"/>
      <c r="B64" s="19"/>
      <c r="C64" s="19"/>
      <c r="D64" s="19"/>
    </row>
    <row r="66" spans="1:4" ht="21.75" thickBot="1" x14ac:dyDescent="0.4">
      <c r="A66" s="339" t="s">
        <v>80</v>
      </c>
      <c r="B66" s="21"/>
      <c r="C66" s="21"/>
      <c r="D66" s="331"/>
    </row>
    <row r="67" spans="1:4" x14ac:dyDescent="0.35">
      <c r="A67" s="405" t="s">
        <v>157</v>
      </c>
      <c r="B67" s="202" t="s">
        <v>445</v>
      </c>
      <c r="C67" s="202" t="s">
        <v>612</v>
      </c>
      <c r="D67" s="202" t="s">
        <v>467</v>
      </c>
    </row>
    <row r="68" spans="1:4" ht="21.75" thickBot="1" x14ac:dyDescent="0.4">
      <c r="A68" s="406"/>
      <c r="B68" s="205" t="s">
        <v>336</v>
      </c>
      <c r="C68" s="205" t="s">
        <v>350</v>
      </c>
      <c r="D68" s="397" t="s">
        <v>336</v>
      </c>
    </row>
    <row r="69" spans="1:4" ht="21.75" thickBot="1" x14ac:dyDescent="0.4">
      <c r="A69" s="413" t="s">
        <v>98</v>
      </c>
      <c r="B69" s="13">
        <v>0</v>
      </c>
      <c r="C69" s="13">
        <v>1877</v>
      </c>
      <c r="D69" s="13">
        <v>0</v>
      </c>
    </row>
    <row r="70" spans="1:4" ht="21.75" thickBot="1" x14ac:dyDescent="0.4">
      <c r="A70" s="413" t="s">
        <v>88</v>
      </c>
      <c r="B70" s="13">
        <v>0</v>
      </c>
      <c r="C70" s="13">
        <v>95123</v>
      </c>
      <c r="D70" s="13">
        <v>0</v>
      </c>
    </row>
    <row r="71" spans="1:4" ht="21.75" thickBot="1" x14ac:dyDescent="0.4">
      <c r="A71" s="400" t="s">
        <v>108</v>
      </c>
      <c r="B71" s="58">
        <v>0</v>
      </c>
      <c r="C71" s="58">
        <v>12782</v>
      </c>
      <c r="D71" s="58">
        <v>0</v>
      </c>
    </row>
    <row r="72" spans="1:4" ht="21.75" thickBot="1" x14ac:dyDescent="0.4">
      <c r="A72" s="400" t="s">
        <v>148</v>
      </c>
      <c r="B72" s="169">
        <v>0</v>
      </c>
      <c r="C72" s="169">
        <v>52484</v>
      </c>
      <c r="D72" s="58">
        <v>0</v>
      </c>
    </row>
    <row r="73" spans="1:4" ht="21.75" thickBot="1" x14ac:dyDescent="0.4">
      <c r="A73" s="408" t="s">
        <v>298</v>
      </c>
      <c r="B73" s="60">
        <f>B69+B70+B71+B72</f>
        <v>0</v>
      </c>
      <c r="C73" s="17">
        <f>C69+C70+C71+C72</f>
        <v>162266</v>
      </c>
      <c r="D73" s="17">
        <f>D69+D70+D71+D72</f>
        <v>0</v>
      </c>
    </row>
    <row r="74" spans="1:4" ht="21.75" thickBot="1" x14ac:dyDescent="0.4">
      <c r="A74" s="336"/>
      <c r="B74" s="61"/>
      <c r="C74" s="41"/>
      <c r="D74" s="41"/>
    </row>
    <row r="75" spans="1:4" ht="21.75" thickBot="1" x14ac:dyDescent="0.4">
      <c r="A75" s="418" t="s">
        <v>281</v>
      </c>
      <c r="B75" s="18">
        <f>B63+B73</f>
        <v>3102126</v>
      </c>
      <c r="C75" s="18">
        <f>C63+C73</f>
        <v>4214707</v>
      </c>
      <c r="D75" s="17">
        <f>D63+D73</f>
        <v>3694119</v>
      </c>
    </row>
    <row r="77" spans="1:4" x14ac:dyDescent="0.35">
      <c r="A77" s="52" t="s">
        <v>72</v>
      </c>
      <c r="B77" s="19"/>
      <c r="C77" s="19"/>
      <c r="D77" s="409"/>
    </row>
    <row r="78" spans="1:4" x14ac:dyDescent="0.35">
      <c r="A78" s="52" t="s">
        <v>73</v>
      </c>
      <c r="B78" s="19"/>
      <c r="C78" s="19"/>
      <c r="D78" s="19"/>
    </row>
  </sheetData>
  <customSheetViews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19685039370078741" footer="0"/>
  <pageSetup paperSize="9" scale="48" orientation="portrait" r:id="rId3"/>
  <headerFooter alignWithMargins="0">
    <oddHeader xml:space="preserve">&amp;R&amp;"-,Félkövér"&amp;12 
9. melléklet a 3/2026. (II.27.) önkormányzati rendelethe&amp;"Times New Roman CE,Félkövér"z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25</vt:i4>
      </vt:variant>
    </vt:vector>
  </HeadingPairs>
  <TitlesOfParts>
    <vt:vector size="49" baseType="lpstr">
      <vt:lpstr>1 kiemelt ei. </vt:lpstr>
      <vt:lpstr>2 mérleg</vt:lpstr>
      <vt:lpstr>3 működési bevételek</vt:lpstr>
      <vt:lpstr>4 intézményi bevételek</vt:lpstr>
      <vt:lpstr>5 normatíva</vt:lpstr>
      <vt:lpstr>6 intézményi kiadások</vt:lpstr>
      <vt:lpstr>7 létszám előirányzat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20 közvetett támogatás</vt:lpstr>
      <vt:lpstr>21 uniós bevételek</vt:lpstr>
      <vt:lpstr>21 uniós kiadások</vt:lpstr>
      <vt:lpstr>22 versenyképes járás pr</vt:lpstr>
      <vt:lpstr>'13 egyéb'!Nyomtatási_cím</vt:lpstr>
      <vt:lpstr>'3 működési bevételek'!Nyomtatási_cím</vt:lpstr>
      <vt:lpstr>'5 normatíva'!Nyomtatási_cím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'21 uniós kiadások'!Nyomtatási_terület</vt:lpstr>
      <vt:lpstr>'22 versenyképes járás pr'!Nyomtatási_terület</vt:lpstr>
      <vt:lpstr>'3 működési bevételek'!Nyomtatási_terület</vt:lpstr>
      <vt:lpstr>'4 intézményi bevételek'!Nyomtatási_terület</vt:lpstr>
      <vt:lpstr>'5 normatíva'!Nyomtatási_terület</vt:lpstr>
      <vt:lpstr>'6 intézményi kiadások'!Nyomtatási_terület</vt:lpstr>
      <vt:lpstr>'7 létszám előirányzat'!Nyomtatási_terület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2026-02-25T13:11:29Z</cp:lastPrinted>
  <dcterms:created xsi:type="dcterms:W3CDTF">1998-01-10T07:52:54Z</dcterms:created>
  <dcterms:modified xsi:type="dcterms:W3CDTF">2026-02-25T13:11:41Z</dcterms:modified>
</cp:coreProperties>
</file>