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gats.andrea\dokumentumok\rendelet\2025\"/>
    </mc:Choice>
  </mc:AlternateContent>
  <xr:revisionPtr revIDLastSave="0" documentId="8_{AFCF6641-F94D-40CA-B116-7241DE2E3606}" xr6:coauthVersionLast="47" xr6:coauthVersionMax="47" xr10:uidLastSave="{00000000-0000-0000-0000-000000000000}"/>
  <bookViews>
    <workbookView xWindow="-120" yWindow="-120" windowWidth="29040" windowHeight="15720" firstSheet="12" activeTab="19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ézményi bevétel" sheetId="137" r:id="rId4"/>
    <sheet name="5 normatíva" sheetId="140" r:id="rId5"/>
    <sheet name="6 intézményi kiadás" sheetId="138" r:id="rId6"/>
    <sheet name="7 létszám " sheetId="139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28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7" hidden="1">'18 felhalm.kiadás'!$A$4:$H$5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>#REF!</definedName>
    <definedName name="css" localSheetId="4">#REF!</definedName>
    <definedName name="css">#REF!</definedName>
    <definedName name="css_k" localSheetId="4">[1]Családsegítés!$C$27:$C$86</definedName>
    <definedName name="css_k" localSheetId="6">[1]Családsegítés!$C$27:$C$86</definedName>
    <definedName name="css_k">#REF!</definedName>
    <definedName name="css_k_" localSheetId="4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4">#REF!</definedName>
    <definedName name="ffff">#REF!</definedName>
    <definedName name="gyj" localSheetId="4">#REF!</definedName>
    <definedName name="gyj">#REF!</definedName>
    <definedName name="gyj_k" localSheetId="4">[1]Gyermekjóléti!$C$27:$C$86</definedName>
    <definedName name="gyj_k" localSheetId="6">[1]Gyermekjóléti!$C$27:$C$86</definedName>
    <definedName name="gyj_k">#REF!</definedName>
    <definedName name="gyj_k_" localSheetId="4">#REF!</definedName>
    <definedName name="gyj_k_">#REF!</definedName>
    <definedName name="h" localSheetId="4">#REF!</definedName>
    <definedName name="h">#REF!</definedName>
    <definedName name="kjz" localSheetId="4">#REF!</definedName>
    <definedName name="kjz">#REF!</definedName>
    <definedName name="kjz_k" localSheetId="4">[1]körjegyzőség!$C$9:$C$28</definedName>
    <definedName name="kjz_k" localSheetId="6">[1]körjegyzőség!$C$9:$C$28</definedName>
    <definedName name="kjz_k">#REF!</definedName>
    <definedName name="kjz_k_" localSheetId="4">#REF!</definedName>
    <definedName name="kjz_k_">#REF!</definedName>
    <definedName name="nev_b" localSheetId="4">#REF!</definedName>
    <definedName name="nev_b">#REF!</definedName>
    <definedName name="nev_c" localSheetId="4">#REF!</definedName>
    <definedName name="nev_c">#REF!</definedName>
    <definedName name="nev_g" localSheetId="4">#REF!</definedName>
    <definedName name="nev_g">#REF!</definedName>
    <definedName name="nev_k" localSheetId="4">#REF!</definedName>
    <definedName name="nev_k">#REF!</definedName>
    <definedName name="nev_k1" localSheetId="4">#REF!</definedName>
    <definedName name="nev_k1">#REF!</definedName>
    <definedName name="normatíva" localSheetId="4">[2]Családsegítés!$C$27:$C$86</definedName>
    <definedName name="normatíva" localSheetId="6">[2]Családsegítés!$C$27:$C$86</definedName>
    <definedName name="normatíva">#REF!</definedName>
    <definedName name="_xlnm.Print_Titles" localSheetId="12">'13 egyéb'!$3:$5</definedName>
    <definedName name="_xlnm.Print_Titles" localSheetId="2">'3 működési bevételek'!$4:$6</definedName>
    <definedName name="_xlnm.Print_Titles" localSheetId="4">'5 normatíva'!$3:$4</definedName>
    <definedName name="_xlnm.Print_Titles" localSheetId="6">'7 létszám '!$1:$6</definedName>
    <definedName name="_xlnm.Print_Titles" localSheetId="8">'9 kultúra'!$4:$6</definedName>
    <definedName name="_xlnm.Print_Area" localSheetId="0">'1 kiemelt ei. '!$A$1:$N$20</definedName>
    <definedName name="_xlnm.Print_Area" localSheetId="9">'10 szociális'!$A$1:$G$48</definedName>
    <definedName name="_xlnm.Print_Area" localSheetId="10">'11 egészségügy'!$A$1:$G$33</definedName>
    <definedName name="_xlnm.Print_Area" localSheetId="11">'12 gyermek és ifj.véd.'!$A$1:$G$23</definedName>
    <definedName name="_xlnm.Print_Area" localSheetId="12">'13 egyéb'!$A$1:$G$119</definedName>
    <definedName name="_xlnm.Print_Area" localSheetId="13">'14 sport'!$A$1:$G$31</definedName>
    <definedName name="_xlnm.Print_Area" localSheetId="14">'15 város.ü.'!$A$1:$G$33</definedName>
    <definedName name="_xlnm.Print_Area" localSheetId="15">'16 út-híd'!$A$1:$G$35</definedName>
    <definedName name="_xlnm.Print_Area" localSheetId="16">'17 felhalm.bevétel '!$A$1:$H$51</definedName>
    <definedName name="_xlnm.Print_Area" localSheetId="17">'18 felhalm.kiadás'!$A$1:$H$79</definedName>
    <definedName name="_xlnm.Print_Area" localSheetId="18">'19 ei felh. terv bevétel'!$A$1:$N$13</definedName>
    <definedName name="_xlnm.Print_Area" localSheetId="19">'19 ei. felh.terv kiadás'!$A$1:$N$27</definedName>
    <definedName name="_xlnm.Print_Area" localSheetId="1">'2 mérleg'!$A$1:$Q$56</definedName>
    <definedName name="_xlnm.Print_Area" localSheetId="2">'3 működési bevételek'!$A$1:$K$135</definedName>
    <definedName name="_xlnm.Print_Area" localSheetId="3">'4 intézményi bevétel'!$A$1:$AP$49</definedName>
    <definedName name="_xlnm.Print_Area" localSheetId="4">'5 normatíva'!$A$1:$G$87</definedName>
    <definedName name="_xlnm.Print_Area" localSheetId="5">'6 intézményi kiadás'!$A$1:$AJ$49</definedName>
    <definedName name="_xlnm.Print_Area" localSheetId="6">'7 létszám '!$A$1:$N$49</definedName>
    <definedName name="_xlnm.Print_Area" localSheetId="7">'8 oktatás'!$A$1:$G$38</definedName>
    <definedName name="_xlnm.Print_Area" localSheetId="8">'9 kultúra'!$A$1:$G$80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4">#REF!</definedName>
    <definedName name="x">#REF!</definedName>
    <definedName name="Z_186732C5_520C_4E06_B066_B4F3F0A3E322_.wvu.PrintArea" localSheetId="9" hidden="1">'10 szociális'!$A$1:$A$37</definedName>
    <definedName name="Z_186732C5_520C_4E06_B066_B4F3F0A3E322_.wvu.PrintArea" localSheetId="10" hidden="1">'11 egészségügy'!$A$1:$A$21</definedName>
    <definedName name="Z_186732C5_520C_4E06_B066_B4F3F0A3E322_.wvu.PrintArea" localSheetId="11" hidden="1">'12 gyermek és ifj.véd.'!$A$1:$A$13</definedName>
    <definedName name="Z_186732C5_520C_4E06_B066_B4F3F0A3E322_.wvu.PrintArea" localSheetId="12" hidden="1">'13 egyéb'!$A$1:$A$107</definedName>
    <definedName name="Z_186732C5_520C_4E06_B066_B4F3F0A3E322_.wvu.PrintArea" localSheetId="13" hidden="1">'14 sport'!$A$1:$A$28</definedName>
    <definedName name="Z_186732C5_520C_4E06_B066_B4F3F0A3E322_.wvu.PrintArea" localSheetId="14" hidden="1">'15 város.ü.'!$A$1:$A$22</definedName>
    <definedName name="Z_186732C5_520C_4E06_B066_B4F3F0A3E322_.wvu.PrintArea" localSheetId="15" hidden="1">'16 út-híd'!$A$1:$A$31</definedName>
    <definedName name="Z_186732C5_520C_4E06_B066_B4F3F0A3E322_.wvu.PrintArea" localSheetId="16" hidden="1">'17 felhalm.bevétel '!$A$1:$B$52</definedName>
    <definedName name="Z_186732C5_520C_4E06_B066_B4F3F0A3E322_.wvu.PrintArea" localSheetId="17" hidden="1">'18 felhalm.kiadás'!$A$1:$B$79</definedName>
    <definedName name="Z_186732C5_520C_4E06_B066_B4F3F0A3E322_.wvu.PrintArea" localSheetId="1" hidden="1">'2 mérleg'!$A$2:$K$55</definedName>
    <definedName name="Z_186732C5_520C_4E06_B066_B4F3F0A3E322_.wvu.PrintArea" localSheetId="2" hidden="1">'3 működési bevételek'!$A$1:$E$134</definedName>
    <definedName name="Z_186732C5_520C_4E06_B066_B4F3F0A3E322_.wvu.PrintArea" localSheetId="7" hidden="1">'8 oktatás'!$A$1:$A$25</definedName>
    <definedName name="Z_186732C5_520C_4E06_B066_B4F3F0A3E322_.wvu.PrintArea" localSheetId="8" hidden="1">'9 kultúra'!$A$1:$A$62</definedName>
    <definedName name="Z_6D4B996F_8915_4E78_98C2_E7EAE9C4580C_.wvu.PrintArea" localSheetId="9" hidden="1">'10 szociális'!$A$1:$A$37</definedName>
    <definedName name="Z_6D4B996F_8915_4E78_98C2_E7EAE9C4580C_.wvu.PrintArea" localSheetId="10" hidden="1">'11 egészségügy'!$A$1:$A$21</definedName>
    <definedName name="Z_6D4B996F_8915_4E78_98C2_E7EAE9C4580C_.wvu.PrintArea" localSheetId="11" hidden="1">'12 gyermek és ifj.véd.'!$A$1:$A$13</definedName>
    <definedName name="Z_6D4B996F_8915_4E78_98C2_E7EAE9C4580C_.wvu.PrintArea" localSheetId="12" hidden="1">'13 egyéb'!$A$1:$A$107</definedName>
    <definedName name="Z_6D4B996F_8915_4E78_98C2_E7EAE9C4580C_.wvu.PrintArea" localSheetId="13" hidden="1">'14 sport'!$A$1:$A$28</definedName>
    <definedName name="Z_6D4B996F_8915_4E78_98C2_E7EAE9C4580C_.wvu.PrintArea" localSheetId="14" hidden="1">'15 város.ü.'!$A$1:$A$22</definedName>
    <definedName name="Z_6D4B996F_8915_4E78_98C2_E7EAE9C4580C_.wvu.PrintArea" localSheetId="15" hidden="1">'16 út-híd'!$A$1:$A$31</definedName>
    <definedName name="Z_6D4B996F_8915_4E78_98C2_E7EAE9C4580C_.wvu.PrintArea" localSheetId="16" hidden="1">'17 felhalm.bevétel '!$A$1:$B$52</definedName>
    <definedName name="Z_6D4B996F_8915_4E78_98C2_E7EAE9C4580C_.wvu.PrintArea" localSheetId="17" hidden="1">'18 felhalm.kiadás'!$A$1:$B$79</definedName>
    <definedName name="Z_6D4B996F_8915_4E78_98C2_E7EAE9C4580C_.wvu.PrintArea" localSheetId="1" hidden="1">'2 mérleg'!$A$2:$K$55</definedName>
    <definedName name="Z_6D4B996F_8915_4E78_98C2_E7EAE9C4580C_.wvu.PrintArea" localSheetId="2" hidden="1">'3 működési bevételek'!$A$1:$E$134</definedName>
    <definedName name="Z_6D4B996F_8915_4E78_98C2_E7EAE9C4580C_.wvu.PrintArea" localSheetId="7" hidden="1">'8 oktatás'!$A$1:$A$25</definedName>
    <definedName name="Z_6D4B996F_8915_4E78_98C2_E7EAE9C4580C_.wvu.PrintArea" localSheetId="8" hidden="1">'9 kultúra'!$A$1:$A$62</definedName>
    <definedName name="Z_F05CDCE5_D631_41F9_80C7_3F3E8464BF12_.wvu.PrintArea" localSheetId="6" hidden="1">'7 létszám '!$A$1:$N$47</definedName>
    <definedName name="Z_F05CDCE5_D631_41F9_80C7_3F3E8464BF12_.wvu.PrintTitles" localSheetId="6" hidden="1">'7 létszám '!$1:$6</definedName>
  </definedNames>
  <calcPr calcId="191029"/>
  <customWorkbookViews>
    <customWorkbookView name="Tóth László - Egyéni látvány" guid="{6D4B996F-8915-4E78-98C2-E7EAE9C4580C}" mergeInterval="0" personalView="1" maximized="1" windowWidth="1020" windowHeight="597" tabRatio="738" activeSheetId="8"/>
    <customWorkbookView name="Szakács Eszter - Egyéni látvány" guid="{186732C5-520C-4E06-B066-B4F3F0A3E322}" mergeInterval="0" personalView="1" maximized="1" windowWidth="1020" windowHeight="594" tabRatio="738" activeSheetId="2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5" i="140" l="1"/>
  <c r="E85" i="140"/>
  <c r="D85" i="140"/>
  <c r="C85" i="140"/>
  <c r="B85" i="140"/>
  <c r="G84" i="140"/>
  <c r="G83" i="140"/>
  <c r="F82" i="140"/>
  <c r="E82" i="140"/>
  <c r="D82" i="140"/>
  <c r="C82" i="140"/>
  <c r="B82" i="140"/>
  <c r="G81" i="140"/>
  <c r="G80" i="140"/>
  <c r="G78" i="140"/>
  <c r="G77" i="140"/>
  <c r="F76" i="140"/>
  <c r="E76" i="140"/>
  <c r="B76" i="140"/>
  <c r="G75" i="140"/>
  <c r="F72" i="140"/>
  <c r="E72" i="140"/>
  <c r="D72" i="140"/>
  <c r="C72" i="140"/>
  <c r="B72" i="140"/>
  <c r="G71" i="140"/>
  <c r="G72" i="140" s="1"/>
  <c r="G70" i="140"/>
  <c r="F68" i="140"/>
  <c r="E68" i="140"/>
  <c r="D68" i="140"/>
  <c r="C68" i="140"/>
  <c r="B68" i="140"/>
  <c r="G67" i="140"/>
  <c r="G66" i="140"/>
  <c r="G65" i="140"/>
  <c r="D62" i="140"/>
  <c r="F61" i="140"/>
  <c r="E61" i="140"/>
  <c r="C61" i="140"/>
  <c r="B61" i="140"/>
  <c r="G60" i="140"/>
  <c r="G59" i="140"/>
  <c r="G58" i="140"/>
  <c r="F57" i="140"/>
  <c r="E57" i="140"/>
  <c r="G57" i="140" s="1"/>
  <c r="C57" i="140"/>
  <c r="B57" i="140"/>
  <c r="G56" i="140"/>
  <c r="G55" i="140"/>
  <c r="G54" i="140"/>
  <c r="F51" i="140"/>
  <c r="E51" i="140"/>
  <c r="C51" i="140"/>
  <c r="B51" i="140"/>
  <c r="G50" i="140"/>
  <c r="G49" i="140"/>
  <c r="G48" i="140"/>
  <c r="G47" i="140"/>
  <c r="G46" i="140"/>
  <c r="G45" i="140"/>
  <c r="G44" i="140"/>
  <c r="G43" i="140"/>
  <c r="F40" i="140"/>
  <c r="E40" i="140"/>
  <c r="D40" i="140"/>
  <c r="C40" i="140"/>
  <c r="G39" i="140"/>
  <c r="G38" i="140"/>
  <c r="G37" i="140"/>
  <c r="G34" i="140"/>
  <c r="G31" i="140"/>
  <c r="G30" i="140"/>
  <c r="G29" i="140"/>
  <c r="G28" i="140"/>
  <c r="G26" i="140"/>
  <c r="G25" i="140"/>
  <c r="G24" i="140"/>
  <c r="G23" i="140"/>
  <c r="G19" i="140"/>
  <c r="B19" i="140"/>
  <c r="B40" i="140" s="1"/>
  <c r="G17" i="140"/>
  <c r="F14" i="140"/>
  <c r="E14" i="140"/>
  <c r="D14" i="140"/>
  <c r="C14" i="140"/>
  <c r="B14" i="140"/>
  <c r="G13" i="140"/>
  <c r="G12" i="140"/>
  <c r="G11" i="140"/>
  <c r="G10" i="140"/>
  <c r="G9" i="140"/>
  <c r="G8" i="140"/>
  <c r="G7" i="140"/>
  <c r="G6" i="140"/>
  <c r="E86" i="140" l="1"/>
  <c r="G61" i="140"/>
  <c r="D86" i="140"/>
  <c r="F62" i="140"/>
  <c r="F73" i="140" s="1"/>
  <c r="G40" i="140"/>
  <c r="B62" i="140"/>
  <c r="B73" i="140" s="1"/>
  <c r="D73" i="140"/>
  <c r="D87" i="140" s="1"/>
  <c r="C86" i="140"/>
  <c r="F86" i="140"/>
  <c r="C62" i="140"/>
  <c r="C73" i="140" s="1"/>
  <c r="B86" i="140"/>
  <c r="G82" i="140"/>
  <c r="G14" i="140"/>
  <c r="G68" i="140"/>
  <c r="G85" i="140"/>
  <c r="G76" i="140"/>
  <c r="G51" i="140"/>
  <c r="E62" i="140"/>
  <c r="E73" i="140" s="1"/>
  <c r="E87" i="140" s="1"/>
  <c r="G62" i="140" l="1"/>
  <c r="C87" i="140"/>
  <c r="F87" i="140"/>
  <c r="G73" i="140"/>
  <c r="G86" i="140"/>
  <c r="B87" i="140"/>
  <c r="N45" i="139"/>
  <c r="M45" i="139"/>
  <c r="L45" i="139"/>
  <c r="K45" i="139"/>
  <c r="J45" i="139"/>
  <c r="I45" i="139"/>
  <c r="H45" i="139"/>
  <c r="F45" i="139"/>
  <c r="E44" i="139"/>
  <c r="G44" i="139" s="1"/>
  <c r="D44" i="139"/>
  <c r="C44" i="139"/>
  <c r="B44" i="139"/>
  <c r="E43" i="139"/>
  <c r="G43" i="139" s="1"/>
  <c r="D43" i="139"/>
  <c r="C43" i="139"/>
  <c r="B43" i="139"/>
  <c r="E41" i="139"/>
  <c r="G41" i="139" s="1"/>
  <c r="D41" i="139"/>
  <c r="C41" i="139"/>
  <c r="B41" i="139"/>
  <c r="E39" i="139"/>
  <c r="G39" i="139" s="1"/>
  <c r="D39" i="139"/>
  <c r="C39" i="139"/>
  <c r="B39" i="139"/>
  <c r="E37" i="139"/>
  <c r="G37" i="139" s="1"/>
  <c r="D37" i="139"/>
  <c r="C37" i="139"/>
  <c r="B37" i="139"/>
  <c r="N35" i="139"/>
  <c r="M35" i="139"/>
  <c r="L35" i="139"/>
  <c r="K35" i="139"/>
  <c r="J35" i="139"/>
  <c r="I35" i="139"/>
  <c r="H35" i="139"/>
  <c r="F35" i="139"/>
  <c r="E34" i="139"/>
  <c r="G34" i="139" s="1"/>
  <c r="D34" i="139"/>
  <c r="C34" i="139"/>
  <c r="B34" i="139"/>
  <c r="E33" i="139"/>
  <c r="G33" i="139" s="1"/>
  <c r="D33" i="139"/>
  <c r="C33" i="139"/>
  <c r="B33" i="139"/>
  <c r="E32" i="139"/>
  <c r="G32" i="139" s="1"/>
  <c r="D32" i="139"/>
  <c r="C32" i="139"/>
  <c r="B32" i="139"/>
  <c r="E31" i="139"/>
  <c r="G31" i="139" s="1"/>
  <c r="D31" i="139"/>
  <c r="C31" i="139"/>
  <c r="B31" i="139"/>
  <c r="E27" i="139"/>
  <c r="G27" i="139" s="1"/>
  <c r="D27" i="139"/>
  <c r="C27" i="139"/>
  <c r="B27" i="139"/>
  <c r="N26" i="139"/>
  <c r="N28" i="139" s="1"/>
  <c r="M26" i="139"/>
  <c r="M28" i="139" s="1"/>
  <c r="L26" i="139"/>
  <c r="L28" i="139" s="1"/>
  <c r="K26" i="139"/>
  <c r="K28" i="139" s="1"/>
  <c r="J26" i="139"/>
  <c r="J28" i="139" s="1"/>
  <c r="I26" i="139"/>
  <c r="I28" i="139" s="1"/>
  <c r="H26" i="139"/>
  <c r="H28" i="139" s="1"/>
  <c r="F26" i="139"/>
  <c r="F28" i="139" s="1"/>
  <c r="E25" i="139"/>
  <c r="G25" i="139" s="1"/>
  <c r="D25" i="139"/>
  <c r="C25" i="139"/>
  <c r="B25" i="139"/>
  <c r="E24" i="139"/>
  <c r="G24" i="139" s="1"/>
  <c r="D24" i="139"/>
  <c r="C24" i="139"/>
  <c r="B24" i="139"/>
  <c r="E23" i="139"/>
  <c r="G23" i="139" s="1"/>
  <c r="D23" i="139"/>
  <c r="C23" i="139"/>
  <c r="B23" i="139"/>
  <c r="E22" i="139"/>
  <c r="G22" i="139" s="1"/>
  <c r="D22" i="139"/>
  <c r="C22" i="139"/>
  <c r="B22" i="139"/>
  <c r="E21" i="139"/>
  <c r="G21" i="139" s="1"/>
  <c r="D21" i="139"/>
  <c r="C21" i="139"/>
  <c r="B21" i="139"/>
  <c r="E20" i="139"/>
  <c r="G20" i="139" s="1"/>
  <c r="D20" i="139"/>
  <c r="C20" i="139"/>
  <c r="B20" i="139"/>
  <c r="E19" i="139"/>
  <c r="G19" i="139" s="1"/>
  <c r="D19" i="139"/>
  <c r="C19" i="139"/>
  <c r="B19" i="139"/>
  <c r="E18" i="139"/>
  <c r="G18" i="139" s="1"/>
  <c r="D18" i="139"/>
  <c r="C18" i="139"/>
  <c r="B18" i="139"/>
  <c r="E17" i="139"/>
  <c r="G17" i="139" s="1"/>
  <c r="D17" i="139"/>
  <c r="C17" i="139"/>
  <c r="B17" i="139"/>
  <c r="E16" i="139"/>
  <c r="G16" i="139" s="1"/>
  <c r="D16" i="139"/>
  <c r="C16" i="139"/>
  <c r="B16" i="139"/>
  <c r="E15" i="139"/>
  <c r="G15" i="139" s="1"/>
  <c r="D15" i="139"/>
  <c r="C15" i="139"/>
  <c r="B15" i="139"/>
  <c r="E14" i="139"/>
  <c r="G14" i="139" s="1"/>
  <c r="D14" i="139"/>
  <c r="C14" i="139"/>
  <c r="B14" i="139"/>
  <c r="E13" i="139"/>
  <c r="G13" i="139" s="1"/>
  <c r="D13" i="139"/>
  <c r="C13" i="139"/>
  <c r="B13" i="139"/>
  <c r="E12" i="139"/>
  <c r="G12" i="139" s="1"/>
  <c r="D12" i="139"/>
  <c r="C12" i="139"/>
  <c r="B12" i="139"/>
  <c r="E11" i="139"/>
  <c r="G11" i="139" s="1"/>
  <c r="D11" i="139"/>
  <c r="C11" i="139"/>
  <c r="B11" i="139"/>
  <c r="E10" i="139"/>
  <c r="G10" i="139" s="1"/>
  <c r="D10" i="139"/>
  <c r="C10" i="139"/>
  <c r="B10" i="139"/>
  <c r="E9" i="139"/>
  <c r="G9" i="139" s="1"/>
  <c r="D9" i="139"/>
  <c r="C9" i="139"/>
  <c r="B9" i="139"/>
  <c r="E8" i="139"/>
  <c r="D8" i="139"/>
  <c r="C8" i="139"/>
  <c r="B8" i="139"/>
  <c r="B45" i="139" l="1"/>
  <c r="M46" i="139"/>
  <c r="C45" i="139"/>
  <c r="D45" i="139"/>
  <c r="L46" i="139"/>
  <c r="E35" i="139"/>
  <c r="N46" i="139"/>
  <c r="N47" i="139" s="1"/>
  <c r="N49" i="139" s="1"/>
  <c r="F46" i="139"/>
  <c r="F47" i="139" s="1"/>
  <c r="F49" i="139" s="1"/>
  <c r="E26" i="139"/>
  <c r="E28" i="139" s="1"/>
  <c r="I46" i="139"/>
  <c r="I47" i="139" s="1"/>
  <c r="I49" i="139" s="1"/>
  <c r="B35" i="139"/>
  <c r="B46" i="139" s="1"/>
  <c r="J46" i="139"/>
  <c r="J47" i="139" s="1"/>
  <c r="J49" i="139" s="1"/>
  <c r="C35" i="139"/>
  <c r="C46" i="139" s="1"/>
  <c r="C47" i="139" s="1"/>
  <c r="C49" i="139" s="1"/>
  <c r="K46" i="139"/>
  <c r="K47" i="139" s="1"/>
  <c r="K49" i="139" s="1"/>
  <c r="E46" i="139"/>
  <c r="L47" i="139"/>
  <c r="L49" i="139" s="1"/>
  <c r="H46" i="139"/>
  <c r="H47" i="139" s="1"/>
  <c r="H49" i="139" s="1"/>
  <c r="C26" i="139"/>
  <c r="C28" i="139" s="1"/>
  <c r="D35" i="139"/>
  <c r="E45" i="139"/>
  <c r="D26" i="139"/>
  <c r="D28" i="139" s="1"/>
  <c r="B26" i="139"/>
  <c r="B28" i="139" s="1"/>
  <c r="M47" i="139"/>
  <c r="M49" i="139" s="1"/>
  <c r="G87" i="140"/>
  <c r="G45" i="139"/>
  <c r="G35" i="139"/>
  <c r="G8" i="139"/>
  <c r="D46" i="139" l="1"/>
  <c r="B47" i="139"/>
  <c r="B49" i="139" s="1"/>
  <c r="E47" i="139"/>
  <c r="E49" i="139" s="1"/>
  <c r="D47" i="139"/>
  <c r="D49" i="139" s="1"/>
  <c r="G26" i="139"/>
  <c r="G46" i="139"/>
  <c r="G28" i="139" l="1"/>
  <c r="G47" i="139" l="1"/>
  <c r="G49" i="139" l="1"/>
  <c r="AC47" i="138" l="1"/>
  <c r="Z47" i="138"/>
  <c r="P47" i="138"/>
  <c r="M47" i="138"/>
  <c r="I47" i="138"/>
  <c r="F47" i="138"/>
  <c r="C47" i="138"/>
  <c r="AB46" i="138"/>
  <c r="Y46" i="138"/>
  <c r="AA46" i="138" s="1"/>
  <c r="W46" i="138"/>
  <c r="AF46" i="138" s="1"/>
  <c r="V46" i="138"/>
  <c r="S46" i="138"/>
  <c r="O46" i="138"/>
  <c r="Q46" i="138" s="1"/>
  <c r="L46" i="138"/>
  <c r="N46" i="138" s="1"/>
  <c r="H46" i="138"/>
  <c r="J46" i="138" s="1"/>
  <c r="E46" i="138"/>
  <c r="G46" i="138" s="1"/>
  <c r="B46" i="138"/>
  <c r="AF45" i="138"/>
  <c r="AB45" i="138"/>
  <c r="AD45" i="138" s="1"/>
  <c r="Y45" i="138"/>
  <c r="AA45" i="138" s="1"/>
  <c r="V45" i="138"/>
  <c r="X45" i="138" s="1"/>
  <c r="S45" i="138"/>
  <c r="O45" i="138"/>
  <c r="Q45" i="138" s="1"/>
  <c r="L45" i="138"/>
  <c r="N45" i="138" s="1"/>
  <c r="H45" i="138"/>
  <c r="E45" i="138"/>
  <c r="B45" i="138"/>
  <c r="AB43" i="138"/>
  <c r="Y43" i="138"/>
  <c r="AA43" i="138" s="1"/>
  <c r="W43" i="138"/>
  <c r="AF43" i="138" s="1"/>
  <c r="V43" i="138"/>
  <c r="O43" i="138"/>
  <c r="L43" i="138"/>
  <c r="N43" i="138" s="1"/>
  <c r="H43" i="138"/>
  <c r="J43" i="138" s="1"/>
  <c r="E43" i="138"/>
  <c r="G43" i="138" s="1"/>
  <c r="C43" i="138"/>
  <c r="B43" i="138"/>
  <c r="AF41" i="138"/>
  <c r="AB41" i="138"/>
  <c r="Y41" i="138"/>
  <c r="AA41" i="138" s="1"/>
  <c r="V41" i="138"/>
  <c r="X41" i="138" s="1"/>
  <c r="S41" i="138"/>
  <c r="O41" i="138"/>
  <c r="Q41" i="138" s="1"/>
  <c r="L41" i="138"/>
  <c r="N41" i="138" s="1"/>
  <c r="H41" i="138"/>
  <c r="J41" i="138" s="1"/>
  <c r="E41" i="138"/>
  <c r="G41" i="138" s="1"/>
  <c r="B41" i="138"/>
  <c r="AF39" i="138"/>
  <c r="AB39" i="138"/>
  <c r="AD39" i="138" s="1"/>
  <c r="Y39" i="138"/>
  <c r="AA39" i="138" s="1"/>
  <c r="V39" i="138"/>
  <c r="X39" i="138" s="1"/>
  <c r="O39" i="138"/>
  <c r="Q39" i="138" s="1"/>
  <c r="L39" i="138"/>
  <c r="N39" i="138" s="1"/>
  <c r="I39" i="138"/>
  <c r="H39" i="138"/>
  <c r="J39" i="138" s="1"/>
  <c r="E39" i="138"/>
  <c r="G39" i="138" s="1"/>
  <c r="C39" i="138"/>
  <c r="B39" i="138"/>
  <c r="AC37" i="138"/>
  <c r="AC48" i="138" s="1"/>
  <c r="Z37" i="138"/>
  <c r="Z48" i="138" s="1"/>
  <c r="W37" i="138"/>
  <c r="P37" i="138"/>
  <c r="M37" i="138"/>
  <c r="I37" i="138"/>
  <c r="AF36" i="138"/>
  <c r="AB36" i="138"/>
  <c r="AD36" i="138" s="1"/>
  <c r="Y36" i="138"/>
  <c r="V36" i="138"/>
  <c r="X36" i="138" s="1"/>
  <c r="S36" i="138"/>
  <c r="O36" i="138"/>
  <c r="Q36" i="138" s="1"/>
  <c r="L36" i="138"/>
  <c r="N36" i="138" s="1"/>
  <c r="H36" i="138"/>
  <c r="J36" i="138" s="1"/>
  <c r="E36" i="138"/>
  <c r="G36" i="138" s="1"/>
  <c r="B36" i="138"/>
  <c r="D36" i="138" s="1"/>
  <c r="AF35" i="138"/>
  <c r="AB35" i="138"/>
  <c r="AD35" i="138" s="1"/>
  <c r="Y35" i="138"/>
  <c r="AA35" i="138" s="1"/>
  <c r="V35" i="138"/>
  <c r="X35" i="138" s="1"/>
  <c r="S35" i="138"/>
  <c r="AI35" i="138" s="1"/>
  <c r="O35" i="138"/>
  <c r="Q35" i="138" s="1"/>
  <c r="L35" i="138"/>
  <c r="N35" i="138" s="1"/>
  <c r="H35" i="138"/>
  <c r="J35" i="138" s="1"/>
  <c r="E35" i="138"/>
  <c r="G35" i="138" s="1"/>
  <c r="B35" i="138"/>
  <c r="AF34" i="138"/>
  <c r="AB34" i="138"/>
  <c r="AD34" i="138" s="1"/>
  <c r="Y34" i="138"/>
  <c r="AA34" i="138" s="1"/>
  <c r="V34" i="138"/>
  <c r="S34" i="138"/>
  <c r="O34" i="138"/>
  <c r="Q34" i="138" s="1"/>
  <c r="L34" i="138"/>
  <c r="N34" i="138" s="1"/>
  <c r="H34" i="138"/>
  <c r="J34" i="138" s="1"/>
  <c r="E34" i="138"/>
  <c r="B34" i="138"/>
  <c r="D34" i="138" s="1"/>
  <c r="AF33" i="138"/>
  <c r="AB33" i="138"/>
  <c r="AD33" i="138" s="1"/>
  <c r="Y33" i="138"/>
  <c r="AA33" i="138" s="1"/>
  <c r="V33" i="138"/>
  <c r="X33" i="138" s="1"/>
  <c r="O33" i="138"/>
  <c r="L33" i="138"/>
  <c r="N33" i="138" s="1"/>
  <c r="H33" i="138"/>
  <c r="F33" i="138"/>
  <c r="F37" i="138" s="1"/>
  <c r="E33" i="138"/>
  <c r="C33" i="138"/>
  <c r="B33" i="138"/>
  <c r="AB29" i="138"/>
  <c r="AD29" i="138" s="1"/>
  <c r="Y29" i="138"/>
  <c r="AA29" i="138" s="1"/>
  <c r="W29" i="138"/>
  <c r="AF29" i="138" s="1"/>
  <c r="V29" i="138"/>
  <c r="O29" i="138"/>
  <c r="Q29" i="138" s="1"/>
  <c r="L29" i="138"/>
  <c r="N29" i="138" s="1"/>
  <c r="I29" i="138"/>
  <c r="S29" i="138" s="1"/>
  <c r="H29" i="138"/>
  <c r="J29" i="138" s="1"/>
  <c r="E29" i="138"/>
  <c r="G29" i="138" s="1"/>
  <c r="B29" i="138"/>
  <c r="D29" i="138" s="1"/>
  <c r="AC28" i="138"/>
  <c r="AC30" i="138" s="1"/>
  <c r="Z28" i="138"/>
  <c r="Z30" i="138" s="1"/>
  <c r="Z49" i="138" s="1"/>
  <c r="W28" i="138"/>
  <c r="P28" i="138"/>
  <c r="P30" i="138" s="1"/>
  <c r="M28" i="138"/>
  <c r="M30" i="138" s="1"/>
  <c r="AF27" i="138"/>
  <c r="AB27" i="138"/>
  <c r="AD27" i="138" s="1"/>
  <c r="Y27" i="138"/>
  <c r="AA27" i="138" s="1"/>
  <c r="V27" i="138"/>
  <c r="O27" i="138"/>
  <c r="Q27" i="138" s="1"/>
  <c r="L27" i="138"/>
  <c r="N27" i="138" s="1"/>
  <c r="H27" i="138"/>
  <c r="J27" i="138" s="1"/>
  <c r="F27" i="138"/>
  <c r="E27" i="138"/>
  <c r="C27" i="138"/>
  <c r="S27" i="138" s="1"/>
  <c r="AI27" i="138" s="1"/>
  <c r="B27" i="138"/>
  <c r="D27" i="138" s="1"/>
  <c r="AF26" i="138"/>
  <c r="AB26" i="138"/>
  <c r="AD26" i="138" s="1"/>
  <c r="Y26" i="138"/>
  <c r="AA26" i="138" s="1"/>
  <c r="V26" i="138"/>
  <c r="AE26" i="138" s="1"/>
  <c r="O26" i="138"/>
  <c r="L26" i="138"/>
  <c r="N26" i="138" s="1"/>
  <c r="H26" i="138"/>
  <c r="J26" i="138" s="1"/>
  <c r="F26" i="138"/>
  <c r="E26" i="138"/>
  <c r="G26" i="138" s="1"/>
  <c r="C26" i="138"/>
  <c r="B26" i="138"/>
  <c r="AF25" i="138"/>
  <c r="AB25" i="138"/>
  <c r="AD25" i="138" s="1"/>
  <c r="Y25" i="138"/>
  <c r="AA25" i="138" s="1"/>
  <c r="V25" i="138"/>
  <c r="O25" i="138"/>
  <c r="Q25" i="138" s="1"/>
  <c r="L25" i="138"/>
  <c r="N25" i="138" s="1"/>
  <c r="H25" i="138"/>
  <c r="J25" i="138" s="1"/>
  <c r="F25" i="138"/>
  <c r="E25" i="138"/>
  <c r="G25" i="138" s="1"/>
  <c r="C25" i="138"/>
  <c r="B25" i="138"/>
  <c r="AF24" i="138"/>
  <c r="AB24" i="138"/>
  <c r="AD24" i="138" s="1"/>
  <c r="Y24" i="138"/>
  <c r="V24" i="138"/>
  <c r="X24" i="138" s="1"/>
  <c r="O24" i="138"/>
  <c r="Q24" i="138" s="1"/>
  <c r="L24" i="138"/>
  <c r="N24" i="138" s="1"/>
  <c r="H24" i="138"/>
  <c r="J24" i="138" s="1"/>
  <c r="F24" i="138"/>
  <c r="E24" i="138"/>
  <c r="C24" i="138"/>
  <c r="B24" i="138"/>
  <c r="AF23" i="138"/>
  <c r="AB23" i="138"/>
  <c r="AD23" i="138" s="1"/>
  <c r="Y23" i="138"/>
  <c r="AA23" i="138" s="1"/>
  <c r="V23" i="138"/>
  <c r="X23" i="138" s="1"/>
  <c r="O23" i="138"/>
  <c r="Q23" i="138" s="1"/>
  <c r="L23" i="138"/>
  <c r="N23" i="138" s="1"/>
  <c r="H23" i="138"/>
  <c r="J23" i="138" s="1"/>
  <c r="F23" i="138"/>
  <c r="E23" i="138"/>
  <c r="G23" i="138" s="1"/>
  <c r="C23" i="138"/>
  <c r="B23" i="138"/>
  <c r="AF22" i="138"/>
  <c r="AB22" i="138"/>
  <c r="Y22" i="138"/>
  <c r="AA22" i="138" s="1"/>
  <c r="V22" i="138"/>
  <c r="X22" i="138" s="1"/>
  <c r="O22" i="138"/>
  <c r="Q22" i="138" s="1"/>
  <c r="L22" i="138"/>
  <c r="N22" i="138" s="1"/>
  <c r="H22" i="138"/>
  <c r="J22" i="138" s="1"/>
  <c r="F22" i="138"/>
  <c r="E22" i="138"/>
  <c r="C22" i="138"/>
  <c r="B22" i="138"/>
  <c r="D22" i="138" s="1"/>
  <c r="AF21" i="138"/>
  <c r="AB21" i="138"/>
  <c r="AD21" i="138" s="1"/>
  <c r="Y21" i="138"/>
  <c r="AA21" i="138" s="1"/>
  <c r="V21" i="138"/>
  <c r="O21" i="138"/>
  <c r="Q21" i="138" s="1"/>
  <c r="L21" i="138"/>
  <c r="N21" i="138" s="1"/>
  <c r="H21" i="138"/>
  <c r="J21" i="138" s="1"/>
  <c r="F21" i="138"/>
  <c r="E21" i="138"/>
  <c r="C21" i="138"/>
  <c r="B21" i="138"/>
  <c r="AF20" i="138"/>
  <c r="AB20" i="138"/>
  <c r="AD20" i="138" s="1"/>
  <c r="Y20" i="138"/>
  <c r="V20" i="138"/>
  <c r="X20" i="138" s="1"/>
  <c r="O20" i="138"/>
  <c r="Q20" i="138" s="1"/>
  <c r="L20" i="138"/>
  <c r="N20" i="138" s="1"/>
  <c r="H20" i="138"/>
  <c r="J20" i="138" s="1"/>
  <c r="F20" i="138"/>
  <c r="E20" i="138"/>
  <c r="C20" i="138"/>
  <c r="B20" i="138"/>
  <c r="AF19" i="138"/>
  <c r="AB19" i="138"/>
  <c r="AD19" i="138" s="1"/>
  <c r="Y19" i="138"/>
  <c r="AA19" i="138" s="1"/>
  <c r="V19" i="138"/>
  <c r="X19" i="138" s="1"/>
  <c r="S19" i="138"/>
  <c r="O19" i="138"/>
  <c r="Q19" i="138" s="1"/>
  <c r="L19" i="138"/>
  <c r="N19" i="138" s="1"/>
  <c r="H19" i="138"/>
  <c r="J19" i="138" s="1"/>
  <c r="E19" i="138"/>
  <c r="G19" i="138" s="1"/>
  <c r="B19" i="138"/>
  <c r="D19" i="138" s="1"/>
  <c r="AF18" i="138"/>
  <c r="AB18" i="138"/>
  <c r="AD18" i="138" s="1"/>
  <c r="Y18" i="138"/>
  <c r="AA18" i="138" s="1"/>
  <c r="V18" i="138"/>
  <c r="O18" i="138"/>
  <c r="Q18" i="138" s="1"/>
  <c r="L18" i="138"/>
  <c r="N18" i="138" s="1"/>
  <c r="H18" i="138"/>
  <c r="J18" i="138" s="1"/>
  <c r="F18" i="138"/>
  <c r="E18" i="138"/>
  <c r="G18" i="138" s="1"/>
  <c r="C18" i="138"/>
  <c r="S18" i="138" s="1"/>
  <c r="AI18" i="138" s="1"/>
  <c r="B18" i="138"/>
  <c r="AF17" i="138"/>
  <c r="AB17" i="138"/>
  <c r="AD17" i="138" s="1"/>
  <c r="Y17" i="138"/>
  <c r="V17" i="138"/>
  <c r="X17" i="138" s="1"/>
  <c r="O17" i="138"/>
  <c r="Q17" i="138" s="1"/>
  <c r="L17" i="138"/>
  <c r="N17" i="138" s="1"/>
  <c r="H17" i="138"/>
  <c r="J17" i="138" s="1"/>
  <c r="F17" i="138"/>
  <c r="E17" i="138"/>
  <c r="C17" i="138"/>
  <c r="B17" i="138"/>
  <c r="AF16" i="138"/>
  <c r="AB16" i="138"/>
  <c r="AD16" i="138" s="1"/>
  <c r="Y16" i="138"/>
  <c r="AA16" i="138" s="1"/>
  <c r="V16" i="138"/>
  <c r="X16" i="138" s="1"/>
  <c r="O16" i="138"/>
  <c r="Q16" i="138" s="1"/>
  <c r="L16" i="138"/>
  <c r="N16" i="138" s="1"/>
  <c r="H16" i="138"/>
  <c r="J16" i="138" s="1"/>
  <c r="F16" i="138"/>
  <c r="E16" i="138"/>
  <c r="G16" i="138" s="1"/>
  <c r="C16" i="138"/>
  <c r="B16" i="138"/>
  <c r="D16" i="138" s="1"/>
  <c r="AF15" i="138"/>
  <c r="AB15" i="138"/>
  <c r="AD15" i="138" s="1"/>
  <c r="Y15" i="138"/>
  <c r="V15" i="138"/>
  <c r="X15" i="138" s="1"/>
  <c r="O15" i="138"/>
  <c r="Q15" i="138" s="1"/>
  <c r="L15" i="138"/>
  <c r="N15" i="138" s="1"/>
  <c r="H15" i="138"/>
  <c r="J15" i="138" s="1"/>
  <c r="F15" i="138"/>
  <c r="E15" i="138"/>
  <c r="C15" i="138"/>
  <c r="B15" i="138"/>
  <c r="AF14" i="138"/>
  <c r="AB14" i="138"/>
  <c r="AD14" i="138" s="1"/>
  <c r="Y14" i="138"/>
  <c r="AA14" i="138" s="1"/>
  <c r="V14" i="138"/>
  <c r="X14" i="138" s="1"/>
  <c r="O14" i="138"/>
  <c r="Q14" i="138" s="1"/>
  <c r="L14" i="138"/>
  <c r="N14" i="138" s="1"/>
  <c r="H14" i="138"/>
  <c r="J14" i="138" s="1"/>
  <c r="F14" i="138"/>
  <c r="E14" i="138"/>
  <c r="G14" i="138" s="1"/>
  <c r="C14" i="138"/>
  <c r="B14" i="138"/>
  <c r="AF13" i="138"/>
  <c r="AB13" i="138"/>
  <c r="AD13" i="138" s="1"/>
  <c r="Y13" i="138"/>
  <c r="AA13" i="138" s="1"/>
  <c r="V13" i="138"/>
  <c r="O13" i="138"/>
  <c r="Q13" i="138" s="1"/>
  <c r="L13" i="138"/>
  <c r="N13" i="138" s="1"/>
  <c r="I13" i="138"/>
  <c r="I28" i="138" s="1"/>
  <c r="I30" i="138" s="1"/>
  <c r="H13" i="138"/>
  <c r="J13" i="138" s="1"/>
  <c r="F13" i="138"/>
  <c r="E13" i="138"/>
  <c r="C13" i="138"/>
  <c r="B13" i="138"/>
  <c r="AF12" i="138"/>
  <c r="AB12" i="138"/>
  <c r="AD12" i="138" s="1"/>
  <c r="Y12" i="138"/>
  <c r="AA12" i="138" s="1"/>
  <c r="V12" i="138"/>
  <c r="O12" i="138"/>
  <c r="Q12" i="138" s="1"/>
  <c r="L12" i="138"/>
  <c r="N12" i="138" s="1"/>
  <c r="H12" i="138"/>
  <c r="J12" i="138" s="1"/>
  <c r="F12" i="138"/>
  <c r="E12" i="138"/>
  <c r="C12" i="138"/>
  <c r="B12" i="138"/>
  <c r="AF11" i="138"/>
  <c r="AB11" i="138"/>
  <c r="Y11" i="138"/>
  <c r="AA11" i="138" s="1"/>
  <c r="V11" i="138"/>
  <c r="X11" i="138" s="1"/>
  <c r="O11" i="138"/>
  <c r="Q11" i="138" s="1"/>
  <c r="L11" i="138"/>
  <c r="N11" i="138" s="1"/>
  <c r="H11" i="138"/>
  <c r="J11" i="138" s="1"/>
  <c r="F11" i="138"/>
  <c r="E11" i="138"/>
  <c r="C11" i="138"/>
  <c r="B11" i="138"/>
  <c r="D11" i="138" s="1"/>
  <c r="AF10" i="138"/>
  <c r="AB10" i="138"/>
  <c r="Y10" i="138"/>
  <c r="AA10" i="138" s="1"/>
  <c r="V10" i="138"/>
  <c r="X10" i="138" s="1"/>
  <c r="O10" i="138"/>
  <c r="Q10" i="138" s="1"/>
  <c r="L10" i="138"/>
  <c r="N10" i="138" s="1"/>
  <c r="H10" i="138"/>
  <c r="J10" i="138" s="1"/>
  <c r="F10" i="138"/>
  <c r="E10" i="138"/>
  <c r="G10" i="138" s="1"/>
  <c r="C10" i="138"/>
  <c r="S10" i="138" s="1"/>
  <c r="B10" i="138"/>
  <c r="AL47" i="137"/>
  <c r="AI47" i="137"/>
  <c r="Y47" i="137"/>
  <c r="V47" i="137"/>
  <c r="S47" i="137"/>
  <c r="L47" i="137"/>
  <c r="I47" i="137"/>
  <c r="F47" i="137"/>
  <c r="C47" i="137"/>
  <c r="AK46" i="137"/>
  <c r="AM46" i="137" s="1"/>
  <c r="AH46" i="137"/>
  <c r="AJ46" i="137" s="1"/>
  <c r="AB46" i="137"/>
  <c r="X46" i="137"/>
  <c r="Z46" i="137" s="1"/>
  <c r="U46" i="137"/>
  <c r="W46" i="137" s="1"/>
  <c r="R46" i="137"/>
  <c r="O46" i="137"/>
  <c r="AO46" i="137" s="1"/>
  <c r="K46" i="137"/>
  <c r="M46" i="137" s="1"/>
  <c r="H46" i="137"/>
  <c r="J46" i="137" s="1"/>
  <c r="E46" i="137"/>
  <c r="G46" i="137" s="1"/>
  <c r="B46" i="137"/>
  <c r="AK45" i="137"/>
  <c r="AH45" i="137"/>
  <c r="AJ45" i="137" s="1"/>
  <c r="AB45" i="137"/>
  <c r="X45" i="137"/>
  <c r="Z45" i="137" s="1"/>
  <c r="U45" i="137"/>
  <c r="R45" i="137"/>
  <c r="O45" i="137"/>
  <c r="K45" i="137"/>
  <c r="H45" i="137"/>
  <c r="J45" i="137" s="1"/>
  <c r="E45" i="137"/>
  <c r="B45" i="137"/>
  <c r="D45" i="137" s="1"/>
  <c r="AK43" i="137"/>
  <c r="AM43" i="137" s="1"/>
  <c r="AH43" i="137"/>
  <c r="AJ43" i="137" s="1"/>
  <c r="AB43" i="137"/>
  <c r="X43" i="137"/>
  <c r="Z43" i="137" s="1"/>
  <c r="U43" i="137"/>
  <c r="W43" i="137" s="1"/>
  <c r="R43" i="137"/>
  <c r="T43" i="137" s="1"/>
  <c r="O43" i="137"/>
  <c r="K43" i="137"/>
  <c r="M43" i="137" s="1"/>
  <c r="H43" i="137"/>
  <c r="J43" i="137" s="1"/>
  <c r="E43" i="137"/>
  <c r="G43" i="137" s="1"/>
  <c r="B43" i="137"/>
  <c r="D43" i="137" s="1"/>
  <c r="AK41" i="137"/>
  <c r="AM41" i="137" s="1"/>
  <c r="AH41" i="137"/>
  <c r="AJ41" i="137" s="1"/>
  <c r="AB41" i="137"/>
  <c r="X41" i="137"/>
  <c r="U41" i="137"/>
  <c r="W41" i="137" s="1"/>
  <c r="R41" i="137"/>
  <c r="T41" i="137" s="1"/>
  <c r="O41" i="137"/>
  <c r="K41" i="137"/>
  <c r="M41" i="137" s="1"/>
  <c r="H41" i="137"/>
  <c r="J41" i="137" s="1"/>
  <c r="E41" i="137"/>
  <c r="G41" i="137" s="1"/>
  <c r="B41" i="137"/>
  <c r="D41" i="137" s="1"/>
  <c r="AK39" i="137"/>
  <c r="AM39" i="137" s="1"/>
  <c r="AH39" i="137"/>
  <c r="AJ39" i="137" s="1"/>
  <c r="AB39" i="137"/>
  <c r="X39" i="137"/>
  <c r="Z39" i="137" s="1"/>
  <c r="U39" i="137"/>
  <c r="W39" i="137" s="1"/>
  <c r="R39" i="137"/>
  <c r="T39" i="137" s="1"/>
  <c r="O39" i="137"/>
  <c r="K39" i="137"/>
  <c r="H39" i="137"/>
  <c r="J39" i="137" s="1"/>
  <c r="E39" i="137"/>
  <c r="G39" i="137" s="1"/>
  <c r="B39" i="137"/>
  <c r="D39" i="137" s="1"/>
  <c r="AL37" i="137"/>
  <c r="AI37" i="137"/>
  <c r="AI48" i="137" s="1"/>
  <c r="Y37" i="137"/>
  <c r="V37" i="137"/>
  <c r="S37" i="137"/>
  <c r="L37" i="137"/>
  <c r="I37" i="137"/>
  <c r="F37" i="137"/>
  <c r="C37" i="137"/>
  <c r="AK36" i="137"/>
  <c r="AM36" i="137" s="1"/>
  <c r="AH36" i="137"/>
  <c r="AJ36" i="137" s="1"/>
  <c r="AB36" i="137"/>
  <c r="X36" i="137"/>
  <c r="Z36" i="137" s="1"/>
  <c r="U36" i="137"/>
  <c r="W36" i="137" s="1"/>
  <c r="R36" i="137"/>
  <c r="T36" i="137" s="1"/>
  <c r="O36" i="137"/>
  <c r="K36" i="137"/>
  <c r="M36" i="137" s="1"/>
  <c r="H36" i="137"/>
  <c r="J36" i="137" s="1"/>
  <c r="E36" i="137"/>
  <c r="G36" i="137" s="1"/>
  <c r="B36" i="137"/>
  <c r="D36" i="137" s="1"/>
  <c r="AK35" i="137"/>
  <c r="AM35" i="137" s="1"/>
  <c r="AH35" i="137"/>
  <c r="AJ35" i="137" s="1"/>
  <c r="AB35" i="137"/>
  <c r="X35" i="137"/>
  <c r="Z35" i="137" s="1"/>
  <c r="U35" i="137"/>
  <c r="R35" i="137"/>
  <c r="T35" i="137" s="1"/>
  <c r="O35" i="137"/>
  <c r="K35" i="137"/>
  <c r="M35" i="137" s="1"/>
  <c r="H35" i="137"/>
  <c r="J35" i="137" s="1"/>
  <c r="E35" i="137"/>
  <c r="G35" i="137" s="1"/>
  <c r="B35" i="137"/>
  <c r="AK34" i="137"/>
  <c r="AM34" i="137" s="1"/>
  <c r="AH34" i="137"/>
  <c r="AJ34" i="137" s="1"/>
  <c r="AB34" i="137"/>
  <c r="X34" i="137"/>
  <c r="Z34" i="137" s="1"/>
  <c r="U34" i="137"/>
  <c r="W34" i="137" s="1"/>
  <c r="R34" i="137"/>
  <c r="O34" i="137"/>
  <c r="AO34" i="137" s="1"/>
  <c r="K34" i="137"/>
  <c r="M34" i="137" s="1"/>
  <c r="H34" i="137"/>
  <c r="J34" i="137" s="1"/>
  <c r="E34" i="137"/>
  <c r="G34" i="137" s="1"/>
  <c r="B34" i="137"/>
  <c r="D34" i="137" s="1"/>
  <c r="AK33" i="137"/>
  <c r="AH33" i="137"/>
  <c r="AJ33" i="137" s="1"/>
  <c r="AB33" i="137"/>
  <c r="X33" i="137"/>
  <c r="U33" i="137"/>
  <c r="W33" i="137" s="1"/>
  <c r="R33" i="137"/>
  <c r="O33" i="137"/>
  <c r="K33" i="137"/>
  <c r="M33" i="137" s="1"/>
  <c r="H33" i="137"/>
  <c r="J33" i="137" s="1"/>
  <c r="E33" i="137"/>
  <c r="B33" i="137"/>
  <c r="D33" i="137" s="1"/>
  <c r="AK29" i="137"/>
  <c r="AM29" i="137" s="1"/>
  <c r="AH29" i="137"/>
  <c r="AJ29" i="137" s="1"/>
  <c r="AB29" i="137"/>
  <c r="X29" i="137"/>
  <c r="Z29" i="137" s="1"/>
  <c r="U29" i="137"/>
  <c r="W29" i="137" s="1"/>
  <c r="R29" i="137"/>
  <c r="T29" i="137" s="1"/>
  <c r="O29" i="137"/>
  <c r="K29" i="137"/>
  <c r="M29" i="137" s="1"/>
  <c r="H29" i="137"/>
  <c r="J29" i="137" s="1"/>
  <c r="E29" i="137"/>
  <c r="G29" i="137" s="1"/>
  <c r="B29" i="137"/>
  <c r="D29" i="137" s="1"/>
  <c r="AL28" i="137"/>
  <c r="AL30" i="137" s="1"/>
  <c r="AI28" i="137"/>
  <c r="AI30" i="137" s="1"/>
  <c r="Y28" i="137"/>
  <c r="Y30" i="137" s="1"/>
  <c r="V28" i="137"/>
  <c r="V30" i="137" s="1"/>
  <c r="S28" i="137"/>
  <c r="S30" i="137" s="1"/>
  <c r="L28" i="137"/>
  <c r="L30" i="137" s="1"/>
  <c r="I28" i="137"/>
  <c r="I30" i="137" s="1"/>
  <c r="F28" i="137"/>
  <c r="F30" i="137" s="1"/>
  <c r="C28" i="137"/>
  <c r="C30" i="137" s="1"/>
  <c r="AK27" i="137"/>
  <c r="AM27" i="137" s="1"/>
  <c r="AH27" i="137"/>
  <c r="AJ27" i="137" s="1"/>
  <c r="AB27" i="137"/>
  <c r="X27" i="137"/>
  <c r="Z27" i="137" s="1"/>
  <c r="U27" i="137"/>
  <c r="R27" i="137"/>
  <c r="T27" i="137" s="1"/>
  <c r="O27" i="137"/>
  <c r="K27" i="137"/>
  <c r="M27" i="137" s="1"/>
  <c r="H27" i="137"/>
  <c r="J27" i="137" s="1"/>
  <c r="E27" i="137"/>
  <c r="G27" i="137" s="1"/>
  <c r="B27" i="137"/>
  <c r="D27" i="137" s="1"/>
  <c r="AK26" i="137"/>
  <c r="AM26" i="137" s="1"/>
  <c r="AH26" i="137"/>
  <c r="AJ26" i="137" s="1"/>
  <c r="AB26" i="137"/>
  <c r="X26" i="137"/>
  <c r="U26" i="137"/>
  <c r="W26" i="137" s="1"/>
  <c r="R26" i="137"/>
  <c r="T26" i="137" s="1"/>
  <c r="O26" i="137"/>
  <c r="K26" i="137"/>
  <c r="M26" i="137" s="1"/>
  <c r="H26" i="137"/>
  <c r="J26" i="137" s="1"/>
  <c r="E26" i="137"/>
  <c r="G26" i="137" s="1"/>
  <c r="B26" i="137"/>
  <c r="AK25" i="137"/>
  <c r="AM25" i="137" s="1"/>
  <c r="AH25" i="137"/>
  <c r="AJ25" i="137" s="1"/>
  <c r="AB25" i="137"/>
  <c r="X25" i="137"/>
  <c r="Z25" i="137" s="1"/>
  <c r="U25" i="137"/>
  <c r="W25" i="137" s="1"/>
  <c r="R25" i="137"/>
  <c r="T25" i="137" s="1"/>
  <c r="O25" i="137"/>
  <c r="K25" i="137"/>
  <c r="M25" i="137" s="1"/>
  <c r="H25" i="137"/>
  <c r="J25" i="137" s="1"/>
  <c r="E25" i="137"/>
  <c r="G25" i="137" s="1"/>
  <c r="B25" i="137"/>
  <c r="D25" i="137" s="1"/>
  <c r="AK24" i="137"/>
  <c r="AM24" i="137" s="1"/>
  <c r="AH24" i="137"/>
  <c r="AJ24" i="137" s="1"/>
  <c r="AB24" i="137"/>
  <c r="X24" i="137"/>
  <c r="Z24" i="137" s="1"/>
  <c r="U24" i="137"/>
  <c r="W24" i="137" s="1"/>
  <c r="R24" i="137"/>
  <c r="T24" i="137" s="1"/>
  <c r="O24" i="137"/>
  <c r="K24" i="137"/>
  <c r="M24" i="137" s="1"/>
  <c r="H24" i="137"/>
  <c r="J24" i="137" s="1"/>
  <c r="E24" i="137"/>
  <c r="G24" i="137" s="1"/>
  <c r="B24" i="137"/>
  <c r="D24" i="137" s="1"/>
  <c r="AK23" i="137"/>
  <c r="AM23" i="137" s="1"/>
  <c r="AH23" i="137"/>
  <c r="AJ23" i="137" s="1"/>
  <c r="AB23" i="137"/>
  <c r="AE23" i="137" s="1"/>
  <c r="X23" i="137"/>
  <c r="Z23" i="137" s="1"/>
  <c r="U23" i="137"/>
  <c r="R23" i="137"/>
  <c r="T23" i="137" s="1"/>
  <c r="O23" i="137"/>
  <c r="K23" i="137"/>
  <c r="M23" i="137" s="1"/>
  <c r="H23" i="137"/>
  <c r="J23" i="137" s="1"/>
  <c r="E23" i="137"/>
  <c r="G23" i="137" s="1"/>
  <c r="B23" i="137"/>
  <c r="AK22" i="137"/>
  <c r="AM22" i="137" s="1"/>
  <c r="AH22" i="137"/>
  <c r="AJ22" i="137" s="1"/>
  <c r="AB22" i="137"/>
  <c r="X22" i="137"/>
  <c r="Z22" i="137" s="1"/>
  <c r="U22" i="137"/>
  <c r="W22" i="137" s="1"/>
  <c r="R22" i="137"/>
  <c r="O22" i="137"/>
  <c r="AO22" i="137" s="1"/>
  <c r="K22" i="137"/>
  <c r="M22" i="137" s="1"/>
  <c r="H22" i="137"/>
  <c r="J22" i="137" s="1"/>
  <c r="E22" i="137"/>
  <c r="G22" i="137" s="1"/>
  <c r="B22" i="137"/>
  <c r="D22" i="137" s="1"/>
  <c r="AK21" i="137"/>
  <c r="AM21" i="137" s="1"/>
  <c r="AH21" i="137"/>
  <c r="AJ21" i="137" s="1"/>
  <c r="AB21" i="137"/>
  <c r="X21" i="137"/>
  <c r="Z21" i="137" s="1"/>
  <c r="U21" i="137"/>
  <c r="W21" i="137" s="1"/>
  <c r="R21" i="137"/>
  <c r="O21" i="137"/>
  <c r="K21" i="137"/>
  <c r="M21" i="137" s="1"/>
  <c r="H21" i="137"/>
  <c r="J21" i="137" s="1"/>
  <c r="E21" i="137"/>
  <c r="G21" i="137" s="1"/>
  <c r="B21" i="137"/>
  <c r="D21" i="137" s="1"/>
  <c r="AK20" i="137"/>
  <c r="AM20" i="137" s="1"/>
  <c r="AH20" i="137"/>
  <c r="AJ20" i="137" s="1"/>
  <c r="AB20" i="137"/>
  <c r="X20" i="137"/>
  <c r="Z20" i="137" s="1"/>
  <c r="U20" i="137"/>
  <c r="W20" i="137" s="1"/>
  <c r="R20" i="137"/>
  <c r="T20" i="137" s="1"/>
  <c r="O20" i="137"/>
  <c r="K20" i="137"/>
  <c r="M20" i="137" s="1"/>
  <c r="H20" i="137"/>
  <c r="J20" i="137" s="1"/>
  <c r="E20" i="137"/>
  <c r="G20" i="137" s="1"/>
  <c r="B20" i="137"/>
  <c r="D20" i="137" s="1"/>
  <c r="AK19" i="137"/>
  <c r="AM19" i="137" s="1"/>
  <c r="AH19" i="137"/>
  <c r="AJ19" i="137" s="1"/>
  <c r="AB19" i="137"/>
  <c r="X19" i="137"/>
  <c r="U19" i="137"/>
  <c r="W19" i="137" s="1"/>
  <c r="R19" i="137"/>
  <c r="T19" i="137" s="1"/>
  <c r="O19" i="137"/>
  <c r="K19" i="137"/>
  <c r="M19" i="137" s="1"/>
  <c r="H19" i="137"/>
  <c r="J19" i="137" s="1"/>
  <c r="E19" i="137"/>
  <c r="G19" i="137" s="1"/>
  <c r="B19" i="137"/>
  <c r="D19" i="137" s="1"/>
  <c r="AK18" i="137"/>
  <c r="AM18" i="137" s="1"/>
  <c r="AH18" i="137"/>
  <c r="AJ18" i="137" s="1"/>
  <c r="AB18" i="137"/>
  <c r="X18" i="137"/>
  <c r="U18" i="137"/>
  <c r="W18" i="137" s="1"/>
  <c r="R18" i="137"/>
  <c r="T18" i="137" s="1"/>
  <c r="O18" i="137"/>
  <c r="K18" i="137"/>
  <c r="M18" i="137" s="1"/>
  <c r="H18" i="137"/>
  <c r="J18" i="137" s="1"/>
  <c r="E18" i="137"/>
  <c r="G18" i="137" s="1"/>
  <c r="B18" i="137"/>
  <c r="D18" i="137" s="1"/>
  <c r="AK17" i="137"/>
  <c r="AM17" i="137" s="1"/>
  <c r="AH17" i="137"/>
  <c r="AJ17" i="137" s="1"/>
  <c r="AB17" i="137"/>
  <c r="X17" i="137"/>
  <c r="Z17" i="137" s="1"/>
  <c r="U17" i="137"/>
  <c r="W17" i="137" s="1"/>
  <c r="R17" i="137"/>
  <c r="T17" i="137" s="1"/>
  <c r="O17" i="137"/>
  <c r="K17" i="137"/>
  <c r="M17" i="137" s="1"/>
  <c r="H17" i="137"/>
  <c r="E17" i="137"/>
  <c r="G17" i="137" s="1"/>
  <c r="B17" i="137"/>
  <c r="D17" i="137" s="1"/>
  <c r="AK16" i="137"/>
  <c r="AM16" i="137" s="1"/>
  <c r="AH16" i="137"/>
  <c r="AJ16" i="137" s="1"/>
  <c r="AB16" i="137"/>
  <c r="X16" i="137"/>
  <c r="Z16" i="137" s="1"/>
  <c r="U16" i="137"/>
  <c r="W16" i="137" s="1"/>
  <c r="R16" i="137"/>
  <c r="T16" i="137" s="1"/>
  <c r="O16" i="137"/>
  <c r="K16" i="137"/>
  <c r="M16" i="137" s="1"/>
  <c r="H16" i="137"/>
  <c r="J16" i="137" s="1"/>
  <c r="E16" i="137"/>
  <c r="G16" i="137" s="1"/>
  <c r="B16" i="137"/>
  <c r="AK15" i="137"/>
  <c r="AM15" i="137" s="1"/>
  <c r="AH15" i="137"/>
  <c r="AJ15" i="137" s="1"/>
  <c r="AB15" i="137"/>
  <c r="X15" i="137"/>
  <c r="Z15" i="137" s="1"/>
  <c r="U15" i="137"/>
  <c r="W15" i="137" s="1"/>
  <c r="R15" i="137"/>
  <c r="O15" i="137"/>
  <c r="K15" i="137"/>
  <c r="M15" i="137" s="1"/>
  <c r="H15" i="137"/>
  <c r="J15" i="137" s="1"/>
  <c r="E15" i="137"/>
  <c r="G15" i="137" s="1"/>
  <c r="B15" i="137"/>
  <c r="AK14" i="137"/>
  <c r="AM14" i="137" s="1"/>
  <c r="AH14" i="137"/>
  <c r="AJ14" i="137" s="1"/>
  <c r="AB14" i="137"/>
  <c r="X14" i="137"/>
  <c r="Z14" i="137" s="1"/>
  <c r="U14" i="137"/>
  <c r="R14" i="137"/>
  <c r="T14" i="137" s="1"/>
  <c r="O14" i="137"/>
  <c r="AO14" i="137" s="1"/>
  <c r="K14" i="137"/>
  <c r="M14" i="137" s="1"/>
  <c r="H14" i="137"/>
  <c r="J14" i="137" s="1"/>
  <c r="E14" i="137"/>
  <c r="G14" i="137" s="1"/>
  <c r="B14" i="137"/>
  <c r="AK13" i="137"/>
  <c r="AM13" i="137" s="1"/>
  <c r="AH13" i="137"/>
  <c r="AJ13" i="137" s="1"/>
  <c r="AB13" i="137"/>
  <c r="X13" i="137"/>
  <c r="Z13" i="137" s="1"/>
  <c r="U13" i="137"/>
  <c r="R13" i="137"/>
  <c r="T13" i="137" s="1"/>
  <c r="O13" i="137"/>
  <c r="K13" i="137"/>
  <c r="M13" i="137" s="1"/>
  <c r="H13" i="137"/>
  <c r="J13" i="137" s="1"/>
  <c r="E13" i="137"/>
  <c r="G13" i="137" s="1"/>
  <c r="B13" i="137"/>
  <c r="D13" i="137" s="1"/>
  <c r="AK12" i="137"/>
  <c r="AM12" i="137" s="1"/>
  <c r="AH12" i="137"/>
  <c r="AJ12" i="137" s="1"/>
  <c r="AB12" i="137"/>
  <c r="X12" i="137"/>
  <c r="Z12" i="137" s="1"/>
  <c r="U12" i="137"/>
  <c r="W12" i="137" s="1"/>
  <c r="R12" i="137"/>
  <c r="O12" i="137"/>
  <c r="K12" i="137"/>
  <c r="M12" i="137" s="1"/>
  <c r="H12" i="137"/>
  <c r="J12" i="137" s="1"/>
  <c r="E12" i="137"/>
  <c r="G12" i="137" s="1"/>
  <c r="B12" i="137"/>
  <c r="D12" i="137" s="1"/>
  <c r="AK11" i="137"/>
  <c r="AM11" i="137" s="1"/>
  <c r="AH11" i="137"/>
  <c r="AJ11" i="137" s="1"/>
  <c r="AB11" i="137"/>
  <c r="X11" i="137"/>
  <c r="Z11" i="137" s="1"/>
  <c r="U11" i="137"/>
  <c r="W11" i="137" s="1"/>
  <c r="R11" i="137"/>
  <c r="O11" i="137"/>
  <c r="K11" i="137"/>
  <c r="M11" i="137" s="1"/>
  <c r="H11" i="137"/>
  <c r="J11" i="137" s="1"/>
  <c r="E11" i="137"/>
  <c r="G11" i="137" s="1"/>
  <c r="B11" i="137"/>
  <c r="D11" i="137" s="1"/>
  <c r="AK10" i="137"/>
  <c r="AM10" i="137" s="1"/>
  <c r="AH10" i="137"/>
  <c r="AB10" i="137"/>
  <c r="X10" i="137"/>
  <c r="U10" i="137"/>
  <c r="W10" i="137" s="1"/>
  <c r="R10" i="137"/>
  <c r="T10" i="137" s="1"/>
  <c r="O10" i="137"/>
  <c r="K10" i="137"/>
  <c r="H10" i="137"/>
  <c r="E10" i="137"/>
  <c r="G10" i="137" s="1"/>
  <c r="B10" i="137"/>
  <c r="D10" i="137" s="1"/>
  <c r="N8" i="64"/>
  <c r="N7" i="64"/>
  <c r="AK47" i="137" l="1"/>
  <c r="G17" i="138"/>
  <c r="D26" i="138"/>
  <c r="E37" i="137"/>
  <c r="AG39" i="138"/>
  <c r="S47" i="138"/>
  <c r="AB37" i="137"/>
  <c r="AB48" i="137" s="1"/>
  <c r="AO13" i="137"/>
  <c r="AO21" i="137"/>
  <c r="K47" i="137"/>
  <c r="AE46" i="137"/>
  <c r="AI41" i="138"/>
  <c r="AE12" i="137"/>
  <c r="AA23" i="137"/>
  <c r="O47" i="137"/>
  <c r="S22" i="138"/>
  <c r="AI22" i="138" s="1"/>
  <c r="AI34" i="138"/>
  <c r="AI46" i="138"/>
  <c r="C48" i="137"/>
  <c r="AL48" i="137"/>
  <c r="S14" i="138"/>
  <c r="AI14" i="138" s="1"/>
  <c r="H47" i="138"/>
  <c r="H48" i="138" s="1"/>
  <c r="AA27" i="137"/>
  <c r="AC29" i="137"/>
  <c r="AA11" i="137"/>
  <c r="N14" i="137"/>
  <c r="N46" i="137"/>
  <c r="N41" i="137"/>
  <c r="N23" i="137"/>
  <c r="AN23" i="137" s="1"/>
  <c r="P43" i="137"/>
  <c r="AG14" i="138"/>
  <c r="R45" i="138"/>
  <c r="P27" i="137"/>
  <c r="AA34" i="137"/>
  <c r="AC41" i="137"/>
  <c r="AE12" i="138"/>
  <c r="AE19" i="138"/>
  <c r="E47" i="138"/>
  <c r="N15" i="137"/>
  <c r="AN15" i="137" s="1"/>
  <c r="R23" i="138"/>
  <c r="F48" i="138"/>
  <c r="D39" i="138"/>
  <c r="T39" i="138" s="1"/>
  <c r="C28" i="138"/>
  <c r="C30" i="138" s="1"/>
  <c r="H37" i="138"/>
  <c r="I48" i="138"/>
  <c r="I49" i="138" s="1"/>
  <c r="S16" i="138"/>
  <c r="AI16" i="138" s="1"/>
  <c r="R35" i="138"/>
  <c r="P48" i="138"/>
  <c r="P49" i="138" s="1"/>
  <c r="W47" i="138"/>
  <c r="W48" i="138" s="1"/>
  <c r="AA47" i="138"/>
  <c r="X26" i="138"/>
  <c r="S12" i="138"/>
  <c r="AI12" i="138" s="1"/>
  <c r="S15" i="138"/>
  <c r="AI15" i="138" s="1"/>
  <c r="S21" i="138"/>
  <c r="AI21" i="138" s="1"/>
  <c r="AE22" i="138"/>
  <c r="S24" i="138"/>
  <c r="AI24" i="138" s="1"/>
  <c r="S26" i="138"/>
  <c r="AI26" i="138" s="1"/>
  <c r="AI29" i="138"/>
  <c r="D35" i="138"/>
  <c r="AI36" i="138"/>
  <c r="G13" i="138"/>
  <c r="AG16" i="138"/>
  <c r="AJ16" i="138" s="1"/>
  <c r="G27" i="138"/>
  <c r="T27" i="138" s="1"/>
  <c r="G15" i="138"/>
  <c r="G21" i="138"/>
  <c r="G24" i="138"/>
  <c r="D33" i="138"/>
  <c r="T16" i="138"/>
  <c r="R43" i="138"/>
  <c r="O28" i="138"/>
  <c r="O30" i="138" s="1"/>
  <c r="D23" i="138"/>
  <c r="T23" i="138" s="1"/>
  <c r="R26" i="138"/>
  <c r="AH26" i="138" s="1"/>
  <c r="R34" i="138"/>
  <c r="AE41" i="138"/>
  <c r="Q43" i="138"/>
  <c r="Y47" i="138"/>
  <c r="R19" i="138"/>
  <c r="AH19" i="138" s="1"/>
  <c r="G34" i="138"/>
  <c r="T34" i="138" s="1"/>
  <c r="X43" i="138"/>
  <c r="AE45" i="138"/>
  <c r="AH45" i="138" s="1"/>
  <c r="AF28" i="138"/>
  <c r="AF30" i="138" s="1"/>
  <c r="AE16" i="138"/>
  <c r="S20" i="138"/>
  <c r="AI20" i="138" s="1"/>
  <c r="S23" i="138"/>
  <c r="AI23" i="138" s="1"/>
  <c r="R27" i="138"/>
  <c r="W30" i="138"/>
  <c r="W49" i="138" s="1"/>
  <c r="AE29" i="138"/>
  <c r="E37" i="138"/>
  <c r="AE39" i="138"/>
  <c r="N47" i="138"/>
  <c r="AF47" i="138"/>
  <c r="X46" i="138"/>
  <c r="G11" i="138"/>
  <c r="T11" i="138" s="1"/>
  <c r="G20" i="138"/>
  <c r="AE35" i="138"/>
  <c r="B47" i="138"/>
  <c r="L47" i="138"/>
  <c r="S11" i="138"/>
  <c r="AI11" i="138" s="1"/>
  <c r="AE11" i="138"/>
  <c r="S13" i="138"/>
  <c r="AI13" i="138" s="1"/>
  <c r="AG23" i="138"/>
  <c r="AE25" i="138"/>
  <c r="AI45" i="138"/>
  <c r="AI47" i="138" s="1"/>
  <c r="AD11" i="138"/>
  <c r="AG11" i="138" s="1"/>
  <c r="S17" i="138"/>
  <c r="AI17" i="138" s="1"/>
  <c r="AD22" i="138"/>
  <c r="AG22" i="138" s="1"/>
  <c r="AE23" i="138"/>
  <c r="S25" i="138"/>
  <c r="AI25" i="138" s="1"/>
  <c r="J33" i="138"/>
  <c r="J37" i="138" s="1"/>
  <c r="S39" i="138"/>
  <c r="AI39" i="138" s="1"/>
  <c r="AA10" i="137"/>
  <c r="P19" i="137"/>
  <c r="AA13" i="137"/>
  <c r="AA15" i="137"/>
  <c r="AA16" i="137"/>
  <c r="AD16" i="137" s="1"/>
  <c r="AA18" i="137"/>
  <c r="AE34" i="137"/>
  <c r="AE36" i="137"/>
  <c r="AO39" i="137"/>
  <c r="AA19" i="137"/>
  <c r="AA29" i="137"/>
  <c r="AE47" i="137"/>
  <c r="AO35" i="137"/>
  <c r="AO10" i="137"/>
  <c r="AO11" i="137"/>
  <c r="AO12" i="137"/>
  <c r="AE13" i="137"/>
  <c r="AC20" i="137"/>
  <c r="AO23" i="137"/>
  <c r="N26" i="137"/>
  <c r="AB47" i="137"/>
  <c r="P20" i="137"/>
  <c r="W27" i="137"/>
  <c r="AC27" i="137" s="1"/>
  <c r="AM45" i="137"/>
  <c r="AM47" i="137" s="1"/>
  <c r="I48" i="137"/>
  <c r="I49" i="137" s="1"/>
  <c r="N17" i="137"/>
  <c r="L48" i="137"/>
  <c r="L49" i="137" s="1"/>
  <c r="AE15" i="137"/>
  <c r="AE22" i="137"/>
  <c r="AE24" i="137"/>
  <c r="D26" i="137"/>
  <c r="P26" i="137" s="1"/>
  <c r="E47" i="137"/>
  <c r="E48" i="137" s="1"/>
  <c r="Z47" i="137"/>
  <c r="AJ37" i="137"/>
  <c r="AJ47" i="137"/>
  <c r="W13" i="137"/>
  <c r="AC13" i="137" s="1"/>
  <c r="T15" i="137"/>
  <c r="AC15" i="137" s="1"/>
  <c r="J17" i="137"/>
  <c r="P17" i="137" s="1"/>
  <c r="P29" i="137"/>
  <c r="AO16" i="137"/>
  <c r="Z18" i="137"/>
  <c r="AC18" i="137" s="1"/>
  <c r="AA20" i="137"/>
  <c r="N16" i="137"/>
  <c r="AK37" i="137"/>
  <c r="AK48" i="137" s="1"/>
  <c r="F48" i="137"/>
  <c r="F49" i="137" s="1"/>
  <c r="AE17" i="137"/>
  <c r="N25" i="137"/>
  <c r="O37" i="137"/>
  <c r="AM33" i="137"/>
  <c r="AM37" i="137" s="1"/>
  <c r="S48" i="137"/>
  <c r="S49" i="137" s="1"/>
  <c r="H47" i="137"/>
  <c r="AH47" i="137"/>
  <c r="P21" i="137"/>
  <c r="J37" i="137"/>
  <c r="H28" i="137"/>
  <c r="H30" i="137" s="1"/>
  <c r="Z19" i="137"/>
  <c r="AC19" i="137" s="1"/>
  <c r="D23" i="137"/>
  <c r="P23" i="137" s="1"/>
  <c r="AB28" i="137"/>
  <c r="AB30" i="137" s="1"/>
  <c r="AE11" i="137"/>
  <c r="AE16" i="137"/>
  <c r="AA26" i="137"/>
  <c r="X47" i="137"/>
  <c r="M37" i="137"/>
  <c r="T11" i="137"/>
  <c r="AC11" i="137" s="1"/>
  <c r="AC17" i="137"/>
  <c r="AO24" i="137"/>
  <c r="AE25" i="137"/>
  <c r="AI49" i="137"/>
  <c r="AA33" i="137"/>
  <c r="N35" i="137"/>
  <c r="AA35" i="137"/>
  <c r="AD35" i="137" s="1"/>
  <c r="V48" i="137"/>
  <c r="AA41" i="137"/>
  <c r="AD41" i="137" s="1"/>
  <c r="M45" i="137"/>
  <c r="M47" i="137" s="1"/>
  <c r="D46" i="137"/>
  <c r="D47" i="137" s="1"/>
  <c r="K28" i="137"/>
  <c r="K30" i="137" s="1"/>
  <c r="AA14" i="137"/>
  <c r="AE35" i="137"/>
  <c r="P41" i="137"/>
  <c r="AC43" i="137"/>
  <c r="AE14" i="137"/>
  <c r="N19" i="137"/>
  <c r="AN19" i="137" s="1"/>
  <c r="AA22" i="137"/>
  <c r="AC25" i="137"/>
  <c r="C49" i="137"/>
  <c r="AL49" i="137"/>
  <c r="U37" i="137"/>
  <c r="D35" i="137"/>
  <c r="D37" i="137" s="1"/>
  <c r="W35" i="137"/>
  <c r="AC35" i="137" s="1"/>
  <c r="AO36" i="137"/>
  <c r="Y48" i="137"/>
  <c r="Y49" i="137" s="1"/>
  <c r="P12" i="137"/>
  <c r="M10" i="137"/>
  <c r="M28" i="137" s="1"/>
  <c r="M30" i="137" s="1"/>
  <c r="D15" i="137"/>
  <c r="P15" i="137" s="1"/>
  <c r="V49" i="137"/>
  <c r="D16" i="137"/>
  <c r="P16" i="137" s="1"/>
  <c r="E28" i="137"/>
  <c r="E30" i="137" s="1"/>
  <c r="N12" i="137"/>
  <c r="AA12" i="137"/>
  <c r="P18" i="137"/>
  <c r="N20" i="137"/>
  <c r="AA21" i="137"/>
  <c r="N36" i="137"/>
  <c r="B37" i="137"/>
  <c r="AH37" i="137"/>
  <c r="N39" i="137"/>
  <c r="AE39" i="137"/>
  <c r="N28" i="138"/>
  <c r="N30" i="138" s="1"/>
  <c r="D37" i="138"/>
  <c r="AG33" i="138"/>
  <c r="AA36" i="138"/>
  <c r="AA37" i="138" s="1"/>
  <c r="AE36" i="138"/>
  <c r="B28" i="138"/>
  <c r="B30" i="138" s="1"/>
  <c r="R10" i="138"/>
  <c r="G12" i="138"/>
  <c r="X12" i="138"/>
  <c r="AG12" i="138" s="1"/>
  <c r="R13" i="138"/>
  <c r="R15" i="138"/>
  <c r="G22" i="138"/>
  <c r="T22" i="138" s="1"/>
  <c r="R22" i="138"/>
  <c r="X25" i="138"/>
  <c r="AG25" i="138" s="1"/>
  <c r="Q26" i="138"/>
  <c r="Q28" i="138" s="1"/>
  <c r="Q30" i="138" s="1"/>
  <c r="E28" i="138"/>
  <c r="E30" i="138" s="1"/>
  <c r="T29" i="138"/>
  <c r="R29" i="138"/>
  <c r="Y37" i="138"/>
  <c r="Y48" i="138" s="1"/>
  <c r="AE33" i="138"/>
  <c r="AB37" i="138"/>
  <c r="S43" i="138"/>
  <c r="AI43" i="138" s="1"/>
  <c r="D43" i="138"/>
  <c r="D46" i="138"/>
  <c r="T46" i="138" s="1"/>
  <c r="R11" i="138"/>
  <c r="AI10" i="138"/>
  <c r="R16" i="138"/>
  <c r="AE18" i="138"/>
  <c r="X18" i="138"/>
  <c r="AG18" i="138" s="1"/>
  <c r="T19" i="138"/>
  <c r="X27" i="138"/>
  <c r="AG27" i="138" s="1"/>
  <c r="AE27" i="138"/>
  <c r="Y28" i="138"/>
  <c r="Y30" i="138" s="1"/>
  <c r="T35" i="138"/>
  <c r="AG45" i="138"/>
  <c r="D10" i="138"/>
  <c r="H28" i="138"/>
  <c r="H30" i="138" s="1"/>
  <c r="D13" i="138"/>
  <c r="D15" i="138"/>
  <c r="AI19" i="138"/>
  <c r="D20" i="138"/>
  <c r="R20" i="138"/>
  <c r="AC49" i="138"/>
  <c r="AD37" i="138"/>
  <c r="AE34" i="138"/>
  <c r="V37" i="138"/>
  <c r="X34" i="138"/>
  <c r="AG34" i="138" s="1"/>
  <c r="AE43" i="138"/>
  <c r="AD43" i="138"/>
  <c r="AG26" i="138"/>
  <c r="AG35" i="138"/>
  <c r="R41" i="138"/>
  <c r="G45" i="138"/>
  <c r="G47" i="138" s="1"/>
  <c r="AE10" i="138"/>
  <c r="R12" i="138"/>
  <c r="AH12" i="138" s="1"/>
  <c r="AE14" i="138"/>
  <c r="D17" i="138"/>
  <c r="T17" i="138" s="1"/>
  <c r="R17" i="138"/>
  <c r="AG19" i="138"/>
  <c r="D24" i="138"/>
  <c r="R24" i="138"/>
  <c r="L37" i="138"/>
  <c r="T36" i="138"/>
  <c r="AD46" i="138"/>
  <c r="AD47" i="138" s="1"/>
  <c r="AE46" i="138"/>
  <c r="AB47" i="138"/>
  <c r="AA17" i="138"/>
  <c r="AG17" i="138" s="1"/>
  <c r="AE17" i="138"/>
  <c r="F28" i="138"/>
  <c r="F30" i="138" s="1"/>
  <c r="J28" i="138"/>
  <c r="J30" i="138" s="1"/>
  <c r="AE13" i="138"/>
  <c r="AE15" i="138"/>
  <c r="AA20" i="138"/>
  <c r="AG20" i="138" s="1"/>
  <c r="AE20" i="138"/>
  <c r="B37" i="138"/>
  <c r="R33" i="138"/>
  <c r="N37" i="138"/>
  <c r="N48" i="138" s="1"/>
  <c r="R36" i="138"/>
  <c r="L28" i="138"/>
  <c r="L30" i="138" s="1"/>
  <c r="AB28" i="138"/>
  <c r="AB30" i="138" s="1"/>
  <c r="AD10" i="138"/>
  <c r="X13" i="138"/>
  <c r="AG13" i="138" s="1"/>
  <c r="AA15" i="138"/>
  <c r="AE21" i="138"/>
  <c r="X21" i="138"/>
  <c r="AG21" i="138" s="1"/>
  <c r="AA24" i="138"/>
  <c r="AG24" i="138" s="1"/>
  <c r="AE24" i="138"/>
  <c r="C37" i="138"/>
  <c r="C48" i="138" s="1"/>
  <c r="C49" i="138" s="1"/>
  <c r="S33" i="138"/>
  <c r="O37" i="138"/>
  <c r="Q33" i="138"/>
  <c r="Q37" i="138" s="1"/>
  <c r="R39" i="138"/>
  <c r="Q47" i="138"/>
  <c r="R46" i="138"/>
  <c r="V47" i="138"/>
  <c r="R25" i="138"/>
  <c r="J45" i="138"/>
  <c r="J47" i="138" s="1"/>
  <c r="R18" i="138"/>
  <c r="R21" i="138"/>
  <c r="D41" i="138"/>
  <c r="T41" i="138" s="1"/>
  <c r="AD41" i="138"/>
  <c r="AG41" i="138" s="1"/>
  <c r="R14" i="138"/>
  <c r="D25" i="138"/>
  <c r="T25" i="138" s="1"/>
  <c r="AJ25" i="138" s="1"/>
  <c r="G33" i="138"/>
  <c r="AF37" i="138"/>
  <c r="M48" i="138"/>
  <c r="M49" i="138" s="1"/>
  <c r="O47" i="138"/>
  <c r="D12" i="138"/>
  <c r="D18" i="138"/>
  <c r="T18" i="138" s="1"/>
  <c r="D21" i="138"/>
  <c r="X29" i="138"/>
  <c r="AG29" i="138" s="1"/>
  <c r="V28" i="138"/>
  <c r="V30" i="138" s="1"/>
  <c r="D14" i="138"/>
  <c r="T14" i="138" s="1"/>
  <c r="D45" i="138"/>
  <c r="P13" i="137"/>
  <c r="AM28" i="137"/>
  <c r="AM30" i="137" s="1"/>
  <c r="P11" i="137"/>
  <c r="O28" i="137"/>
  <c r="AC36" i="137"/>
  <c r="AC39" i="137"/>
  <c r="AO45" i="137"/>
  <c r="AO47" i="137" s="1"/>
  <c r="T12" i="137"/>
  <c r="AC12" i="137" s="1"/>
  <c r="W14" i="137"/>
  <c r="AC14" i="137" s="1"/>
  <c r="T21" i="137"/>
  <c r="AC21" i="137" s="1"/>
  <c r="Z26" i="137"/>
  <c r="AC26" i="137" s="1"/>
  <c r="G33" i="137"/>
  <c r="P36" i="137"/>
  <c r="AE45" i="137"/>
  <c r="AA46" i="137"/>
  <c r="AD46" i="137" s="1"/>
  <c r="G28" i="137"/>
  <c r="G30" i="137" s="1"/>
  <c r="R28" i="137"/>
  <c r="R30" i="137" s="1"/>
  <c r="P25" i="137"/>
  <c r="X37" i="137"/>
  <c r="AO33" i="137"/>
  <c r="T46" i="137"/>
  <c r="AC46" i="137" s="1"/>
  <c r="AK28" i="137"/>
  <c r="AK30" i="137" s="1"/>
  <c r="R37" i="137"/>
  <c r="AA45" i="137"/>
  <c r="R47" i="137"/>
  <c r="J10" i="137"/>
  <c r="AE10" i="137"/>
  <c r="N13" i="137"/>
  <c r="D14" i="137"/>
  <c r="P14" i="137" s="1"/>
  <c r="AC16" i="137"/>
  <c r="P22" i="137"/>
  <c r="T22" i="137"/>
  <c r="AC22" i="137" s="1"/>
  <c r="W23" i="137"/>
  <c r="AC23" i="137" s="1"/>
  <c r="AE26" i="137"/>
  <c r="AO26" i="137"/>
  <c r="N27" i="137"/>
  <c r="U28" i="137"/>
  <c r="U30" i="137" s="1"/>
  <c r="AE29" i="137"/>
  <c r="AO29" i="137"/>
  <c r="T34" i="137"/>
  <c r="AC34" i="137" s="1"/>
  <c r="M39" i="137"/>
  <c r="P39" i="137" s="1"/>
  <c r="AE41" i="137"/>
  <c r="AO41" i="137"/>
  <c r="AA43" i="137"/>
  <c r="T45" i="137"/>
  <c r="N18" i="137"/>
  <c r="AE27" i="137"/>
  <c r="AO27" i="137"/>
  <c r="G45" i="137"/>
  <c r="G47" i="137" s="1"/>
  <c r="U47" i="137"/>
  <c r="X28" i="137"/>
  <c r="X30" i="137" s="1"/>
  <c r="AH28" i="137"/>
  <c r="AH30" i="137" s="1"/>
  <c r="N11" i="137"/>
  <c r="AO15" i="137"/>
  <c r="AE18" i="137"/>
  <c r="AO18" i="137"/>
  <c r="AE21" i="137"/>
  <c r="AC24" i="137"/>
  <c r="N29" i="137"/>
  <c r="H37" i="137"/>
  <c r="H48" i="137" s="1"/>
  <c r="AE43" i="137"/>
  <c r="AO43" i="137"/>
  <c r="J47" i="137"/>
  <c r="AE20" i="137"/>
  <c r="AO20" i="137"/>
  <c r="P34" i="137"/>
  <c r="B28" i="137"/>
  <c r="B30" i="137" s="1"/>
  <c r="N10" i="137"/>
  <c r="Z10" i="137"/>
  <c r="AC10" i="137" s="1"/>
  <c r="AJ10" i="137"/>
  <c r="AJ28" i="137" s="1"/>
  <c r="AJ30" i="137" s="1"/>
  <c r="AE19" i="137"/>
  <c r="AO19" i="137"/>
  <c r="P24" i="137"/>
  <c r="T33" i="137"/>
  <c r="AA39" i="137"/>
  <c r="N43" i="137"/>
  <c r="AA17" i="137"/>
  <c r="N24" i="137"/>
  <c r="AA25" i="137"/>
  <c r="AE33" i="137"/>
  <c r="K37" i="137"/>
  <c r="AA24" i="137"/>
  <c r="AA36" i="137"/>
  <c r="W45" i="137"/>
  <c r="W47" i="137" s="1"/>
  <c r="B47" i="137"/>
  <c r="N22" i="137"/>
  <c r="N34" i="137"/>
  <c r="AO17" i="137"/>
  <c r="N21" i="137"/>
  <c r="AO25" i="137"/>
  <c r="N33" i="137"/>
  <c r="Z33" i="137"/>
  <c r="Z37" i="137" s="1"/>
  <c r="N45" i="137"/>
  <c r="P20" i="2"/>
  <c r="F113" i="11"/>
  <c r="T15" i="138" l="1"/>
  <c r="AF29" i="137"/>
  <c r="AD23" i="137"/>
  <c r="T43" i="138"/>
  <c r="AJ39" i="138"/>
  <c r="P35" i="137"/>
  <c r="X48" i="137"/>
  <c r="AA47" i="137"/>
  <c r="AN35" i="137"/>
  <c r="AE37" i="137"/>
  <c r="AH14" i="138"/>
  <c r="AH46" i="138"/>
  <c r="AH47" i="138" s="1"/>
  <c r="AD14" i="137"/>
  <c r="AD26" i="137"/>
  <c r="AG43" i="138"/>
  <c r="AJ43" i="138" s="1"/>
  <c r="L48" i="138"/>
  <c r="L49" i="138" s="1"/>
  <c r="K48" i="137"/>
  <c r="K49" i="137" s="1"/>
  <c r="AH39" i="138"/>
  <c r="AH21" i="138"/>
  <c r="AD12" i="137"/>
  <c r="AB49" i="137"/>
  <c r="AJ48" i="137"/>
  <c r="AJ49" i="137" s="1"/>
  <c r="AH23" i="138"/>
  <c r="AH43" i="138"/>
  <c r="F49" i="138"/>
  <c r="AN25" i="137"/>
  <c r="AM48" i="137"/>
  <c r="H49" i="137"/>
  <c r="U48" i="137"/>
  <c r="U49" i="137" s="1"/>
  <c r="O48" i="137"/>
  <c r="T13" i="138"/>
  <c r="AJ13" i="138" s="1"/>
  <c r="T21" i="138"/>
  <c r="AJ21" i="138" s="1"/>
  <c r="AF15" i="137"/>
  <c r="J48" i="137"/>
  <c r="AD20" i="137"/>
  <c r="E48" i="138"/>
  <c r="E49" i="138" s="1"/>
  <c r="AD15" i="137"/>
  <c r="AF41" i="137"/>
  <c r="AG46" i="138"/>
  <c r="AG47" i="138" s="1"/>
  <c r="AH18" i="138"/>
  <c r="AF20" i="137"/>
  <c r="B48" i="138"/>
  <c r="B49" i="138" s="1"/>
  <c r="AN20" i="137"/>
  <c r="Z48" i="137"/>
  <c r="AP41" i="137"/>
  <c r="AN14" i="137"/>
  <c r="AJ14" i="138"/>
  <c r="AH34" i="138"/>
  <c r="AH15" i="138"/>
  <c r="AA48" i="138"/>
  <c r="AN26" i="137"/>
  <c r="AN16" i="137"/>
  <c r="E49" i="137"/>
  <c r="AA37" i="137"/>
  <c r="J28" i="137"/>
  <c r="J30" i="137" s="1"/>
  <c r="T12" i="138"/>
  <c r="AJ12" i="138" s="1"/>
  <c r="AH11" i="138"/>
  <c r="X47" i="138"/>
  <c r="AH13" i="138"/>
  <c r="AF48" i="138"/>
  <c r="AF49" i="138" s="1"/>
  <c r="AJ27" i="138"/>
  <c r="AJ11" i="138"/>
  <c r="AH35" i="138"/>
  <c r="AD28" i="138"/>
  <c r="AD30" i="138" s="1"/>
  <c r="T24" i="138"/>
  <c r="AJ24" i="138" s="1"/>
  <c r="AH22" i="138"/>
  <c r="AG36" i="138"/>
  <c r="AJ36" i="138" s="1"/>
  <c r="AA28" i="138"/>
  <c r="AA30" i="138" s="1"/>
  <c r="AH16" i="138"/>
  <c r="AE47" i="138"/>
  <c r="S28" i="138"/>
  <c r="S30" i="138" s="1"/>
  <c r="S49" i="138" s="1"/>
  <c r="AJ22" i="138"/>
  <c r="AH27" i="138"/>
  <c r="AH41" i="138"/>
  <c r="AH29" i="138"/>
  <c r="AJ23" i="138"/>
  <c r="AH20" i="138"/>
  <c r="AJ19" i="138"/>
  <c r="AJ29" i="138"/>
  <c r="AJ41" i="138"/>
  <c r="T20" i="138"/>
  <c r="AJ20" i="138" s="1"/>
  <c r="G28" i="138"/>
  <c r="G30" i="138" s="1"/>
  <c r="Q48" i="138"/>
  <c r="AJ34" i="138"/>
  <c r="R47" i="138"/>
  <c r="Q49" i="138"/>
  <c r="G37" i="138"/>
  <c r="AH25" i="138"/>
  <c r="N49" i="138"/>
  <c r="AN12" i="137"/>
  <c r="AA28" i="137"/>
  <c r="AA30" i="137" s="1"/>
  <c r="AN41" i="137"/>
  <c r="W37" i="137"/>
  <c r="W48" i="137" s="1"/>
  <c r="AP20" i="137"/>
  <c r="B48" i="137"/>
  <c r="B49" i="137" s="1"/>
  <c r="D48" i="137"/>
  <c r="AD19" i="137"/>
  <c r="AD25" i="137"/>
  <c r="T28" i="137"/>
  <c r="T30" i="137" s="1"/>
  <c r="AF16" i="137"/>
  <c r="AP16" i="137"/>
  <c r="AF19" i="137"/>
  <c r="AP19" i="137"/>
  <c r="P46" i="137"/>
  <c r="AF46" i="137" s="1"/>
  <c r="AD39" i="137"/>
  <c r="AE48" i="137"/>
  <c r="AD17" i="137"/>
  <c r="AF21" i="137"/>
  <c r="AF27" i="137"/>
  <c r="AF43" i="137"/>
  <c r="AP29" i="137"/>
  <c r="AH48" i="137"/>
  <c r="AH49" i="137" s="1"/>
  <c r="AO37" i="137"/>
  <c r="AO48" i="137" s="1"/>
  <c r="AN17" i="137"/>
  <c r="AP15" i="137"/>
  <c r="W28" i="137"/>
  <c r="W30" i="137" s="1"/>
  <c r="AP21" i="137"/>
  <c r="AO28" i="137"/>
  <c r="AO30" i="137" s="1"/>
  <c r="AP43" i="137"/>
  <c r="Z28" i="137"/>
  <c r="Z30" i="137" s="1"/>
  <c r="Z49" i="137" s="1"/>
  <c r="AG15" i="138"/>
  <c r="AD48" i="138"/>
  <c r="AH36" i="138"/>
  <c r="AH24" i="138"/>
  <c r="AG10" i="138"/>
  <c r="D28" i="138"/>
  <c r="D30" i="138" s="1"/>
  <c r="T10" i="138"/>
  <c r="Y49" i="138"/>
  <c r="AB48" i="138"/>
  <c r="AB49" i="138" s="1"/>
  <c r="T33" i="138"/>
  <c r="S37" i="138"/>
  <c r="S48" i="138" s="1"/>
  <c r="AI33" i="138"/>
  <c r="H49" i="138"/>
  <c r="AI28" i="138"/>
  <c r="R28" i="138"/>
  <c r="R30" i="138" s="1"/>
  <c r="AH10" i="138"/>
  <c r="AJ18" i="138"/>
  <c r="AE37" i="138"/>
  <c r="AE28" i="138"/>
  <c r="AE30" i="138" s="1"/>
  <c r="T26" i="138"/>
  <c r="AJ26" i="138" s="1"/>
  <c r="J48" i="138"/>
  <c r="J49" i="138" s="1"/>
  <c r="AH17" i="138"/>
  <c r="V48" i="138"/>
  <c r="V49" i="138" s="1"/>
  <c r="AJ15" i="138"/>
  <c r="X28" i="138"/>
  <c r="X30" i="138" s="1"/>
  <c r="AH33" i="138"/>
  <c r="R37" i="138"/>
  <c r="D47" i="138"/>
  <c r="D48" i="138" s="1"/>
  <c r="T45" i="138"/>
  <c r="G48" i="138"/>
  <c r="O48" i="138"/>
  <c r="O49" i="138" s="1"/>
  <c r="AJ17" i="138"/>
  <c r="AJ35" i="138"/>
  <c r="X37" i="138"/>
  <c r="X48" i="138" s="1"/>
  <c r="AP39" i="137"/>
  <c r="AF39" i="137"/>
  <c r="AP23" i="137"/>
  <c r="AF23" i="137"/>
  <c r="T37" i="137"/>
  <c r="AC33" i="137"/>
  <c r="AP18" i="137"/>
  <c r="P10" i="137"/>
  <c r="AN22" i="137"/>
  <c r="AD22" i="137"/>
  <c r="N47" i="137"/>
  <c r="AN45" i="137"/>
  <c r="AD45" i="137"/>
  <c r="AC28" i="137"/>
  <c r="AC30" i="137" s="1"/>
  <c r="AD24" i="137"/>
  <c r="AN24" i="137"/>
  <c r="M48" i="137"/>
  <c r="M49" i="137" s="1"/>
  <c r="G37" i="137"/>
  <c r="G48" i="137" s="1"/>
  <c r="G49" i="137" s="1"/>
  <c r="P33" i="137"/>
  <c r="AD43" i="137"/>
  <c r="AN43" i="137"/>
  <c r="AF24" i="137"/>
  <c r="AP24" i="137"/>
  <c r="N28" i="137"/>
  <c r="AD10" i="137"/>
  <c r="AN10" i="137"/>
  <c r="T47" i="137"/>
  <c r="AC45" i="137"/>
  <c r="AK49" i="137"/>
  <c r="AN36" i="137"/>
  <c r="O30" i="137"/>
  <c r="AE28" i="137"/>
  <c r="AF18" i="137"/>
  <c r="N37" i="137"/>
  <c r="AD33" i="137"/>
  <c r="AN33" i="137"/>
  <c r="AD11" i="137"/>
  <c r="AN11" i="137"/>
  <c r="AF14" i="137"/>
  <c r="AP14" i="137"/>
  <c r="AP25" i="137"/>
  <c r="AF25" i="137"/>
  <c r="AD36" i="137"/>
  <c r="AN39" i="137"/>
  <c r="AF13" i="137"/>
  <c r="AP13" i="137"/>
  <c r="AN34" i="137"/>
  <c r="AD34" i="137"/>
  <c r="P45" i="137"/>
  <c r="AF22" i="137"/>
  <c r="AP22" i="137"/>
  <c r="AD29" i="137"/>
  <c r="AN29" i="137"/>
  <c r="AD18" i="137"/>
  <c r="AN18" i="137"/>
  <c r="AD27" i="137"/>
  <c r="AN27" i="137"/>
  <c r="AN13" i="137"/>
  <c r="AD13" i="137"/>
  <c r="AF36" i="137"/>
  <c r="AP36" i="137"/>
  <c r="AP11" i="137"/>
  <c r="AF11" i="137"/>
  <c r="AP12" i="137"/>
  <c r="AP17" i="137"/>
  <c r="AF17" i="137"/>
  <c r="AP35" i="137"/>
  <c r="AF35" i="137"/>
  <c r="R48" i="137"/>
  <c r="R49" i="137" s="1"/>
  <c r="AD21" i="137"/>
  <c r="AN21" i="137"/>
  <c r="AF34" i="137"/>
  <c r="AP34" i="137"/>
  <c r="AF26" i="137"/>
  <c r="AP26" i="137"/>
  <c r="X49" i="137"/>
  <c r="AP27" i="137"/>
  <c r="D28" i="137"/>
  <c r="D30" i="137" s="1"/>
  <c r="AM49" i="137"/>
  <c r="AN46" i="137"/>
  <c r="AF12" i="137"/>
  <c r="F83" i="11"/>
  <c r="F45" i="11"/>
  <c r="K10" i="64"/>
  <c r="K7" i="64"/>
  <c r="L8" i="64"/>
  <c r="N8" i="63"/>
  <c r="K7" i="63"/>
  <c r="AA48" i="137" l="1"/>
  <c r="AD47" i="137"/>
  <c r="G49" i="138"/>
  <c r="AJ46" i="138"/>
  <c r="AA49" i="137"/>
  <c r="J49" i="137"/>
  <c r="W49" i="137"/>
  <c r="AA49" i="138"/>
  <c r="AD49" i="138"/>
  <c r="X49" i="138"/>
  <c r="AE48" i="138"/>
  <c r="AE49" i="138" s="1"/>
  <c r="AG37" i="138"/>
  <c r="AG48" i="138" s="1"/>
  <c r="R48" i="138"/>
  <c r="R49" i="138" s="1"/>
  <c r="AG28" i="138"/>
  <c r="AG30" i="138" s="1"/>
  <c r="AN37" i="137"/>
  <c r="AO49" i="137"/>
  <c r="D49" i="137"/>
  <c r="T48" i="137"/>
  <c r="T49" i="137" s="1"/>
  <c r="AP46" i="137"/>
  <c r="AN28" i="137"/>
  <c r="AN30" i="137" s="1"/>
  <c r="AN47" i="137"/>
  <c r="T37" i="138"/>
  <c r="AJ33" i="138"/>
  <c r="AJ45" i="138"/>
  <c r="T47" i="138"/>
  <c r="AI37" i="138"/>
  <c r="T28" i="138"/>
  <c r="T30" i="138" s="1"/>
  <c r="AJ10" i="138"/>
  <c r="AH28" i="138"/>
  <c r="AI30" i="138"/>
  <c r="AH37" i="138"/>
  <c r="D49" i="138"/>
  <c r="AE30" i="137"/>
  <c r="AE49" i="137" s="1"/>
  <c r="O49" i="137"/>
  <c r="AF45" i="137"/>
  <c r="AP45" i="137"/>
  <c r="P47" i="137"/>
  <c r="AD37" i="137"/>
  <c r="AD48" i="137" s="1"/>
  <c r="N48" i="137"/>
  <c r="N30" i="137"/>
  <c r="AD28" i="137"/>
  <c r="P28" i="137"/>
  <c r="AF10" i="137"/>
  <c r="AP10" i="137"/>
  <c r="AP28" i="137" s="1"/>
  <c r="AP30" i="137" s="1"/>
  <c r="AF33" i="137"/>
  <c r="AP33" i="137"/>
  <c r="AP37" i="137" s="1"/>
  <c r="P37" i="137"/>
  <c r="AC47" i="137"/>
  <c r="AC37" i="137"/>
  <c r="G14" i="11"/>
  <c r="F32" i="6"/>
  <c r="F8" i="6"/>
  <c r="G71" i="11"/>
  <c r="G21" i="23"/>
  <c r="G23" i="23" s="1"/>
  <c r="H22" i="23"/>
  <c r="D23" i="23"/>
  <c r="E23" i="23"/>
  <c r="F23" i="23"/>
  <c r="C23" i="23"/>
  <c r="AN48" i="137" l="1"/>
  <c r="AN49" i="137" s="1"/>
  <c r="AG49" i="138"/>
  <c r="AC48" i="137"/>
  <c r="AC49" i="137" s="1"/>
  <c r="AF47" i="137"/>
  <c r="AP47" i="137"/>
  <c r="AP48" i="137" s="1"/>
  <c r="AP49" i="137" s="1"/>
  <c r="AH48" i="138"/>
  <c r="AI48" i="138"/>
  <c r="AJ47" i="138"/>
  <c r="AJ37" i="138"/>
  <c r="AH30" i="138"/>
  <c r="T48" i="138"/>
  <c r="T49" i="138" s="1"/>
  <c r="AJ28" i="138"/>
  <c r="AF37" i="137"/>
  <c r="AF48" i="137" s="1"/>
  <c r="P48" i="137"/>
  <c r="AD30" i="137"/>
  <c r="AD49" i="137" s="1"/>
  <c r="N49" i="137"/>
  <c r="P30" i="137"/>
  <c r="AF28" i="137"/>
  <c r="F17" i="10"/>
  <c r="F7" i="10"/>
  <c r="D22" i="54"/>
  <c r="E22" i="54"/>
  <c r="F22" i="54"/>
  <c r="G22" i="54"/>
  <c r="C22" i="54"/>
  <c r="H7" i="54"/>
  <c r="H8" i="54"/>
  <c r="H9" i="54"/>
  <c r="H10" i="54"/>
  <c r="H11" i="54"/>
  <c r="H12" i="54"/>
  <c r="H13" i="54"/>
  <c r="H14" i="54"/>
  <c r="H15" i="54"/>
  <c r="H16" i="54"/>
  <c r="H17" i="54"/>
  <c r="H18" i="54"/>
  <c r="H19" i="54"/>
  <c r="H20" i="54"/>
  <c r="H6" i="54"/>
  <c r="F23" i="11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H69" i="23"/>
  <c r="F7" i="6"/>
  <c r="G68" i="11"/>
  <c r="G69" i="11"/>
  <c r="AJ30" i="138" l="1"/>
  <c r="AH49" i="138"/>
  <c r="AI49" i="138"/>
  <c r="AJ48" i="138"/>
  <c r="AF30" i="137"/>
  <c r="AF49" i="137" s="1"/>
  <c r="P49" i="137"/>
  <c r="K119" i="52"/>
  <c r="G34" i="52"/>
  <c r="H34" i="52"/>
  <c r="I34" i="52"/>
  <c r="J34" i="52"/>
  <c r="F34" i="52"/>
  <c r="K31" i="52"/>
  <c r="K32" i="52"/>
  <c r="K33" i="52"/>
  <c r="F7" i="8"/>
  <c r="F9" i="8"/>
  <c r="G21" i="8"/>
  <c r="G52" i="23"/>
  <c r="H52" i="23" s="1"/>
  <c r="F20" i="11"/>
  <c r="K94" i="52"/>
  <c r="G21" i="16"/>
  <c r="C22" i="16"/>
  <c r="D22" i="16"/>
  <c r="E22" i="16"/>
  <c r="F22" i="16"/>
  <c r="B22" i="16"/>
  <c r="K81" i="52"/>
  <c r="K82" i="52"/>
  <c r="K83" i="52"/>
  <c r="K84" i="52"/>
  <c r="K85" i="52"/>
  <c r="K86" i="52"/>
  <c r="K87" i="52"/>
  <c r="K88" i="52"/>
  <c r="K89" i="52"/>
  <c r="K90" i="52"/>
  <c r="K91" i="52"/>
  <c r="K92" i="52"/>
  <c r="K93" i="52"/>
  <c r="K95" i="52"/>
  <c r="H35" i="54"/>
  <c r="K108" i="52"/>
  <c r="K109" i="52"/>
  <c r="F46" i="11"/>
  <c r="F8" i="7"/>
  <c r="J9" i="52"/>
  <c r="AJ49" i="138" l="1"/>
  <c r="G19" i="16"/>
  <c r="H27" i="23" l="1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3" i="23"/>
  <c r="H54" i="23"/>
  <c r="H70" i="23"/>
  <c r="H71" i="23"/>
  <c r="H72" i="23"/>
  <c r="H73" i="23"/>
  <c r="H74" i="23"/>
  <c r="H75" i="23"/>
  <c r="H76" i="23"/>
  <c r="H20" i="23"/>
  <c r="H8" i="23"/>
  <c r="H9" i="23"/>
  <c r="H10" i="23"/>
  <c r="H11" i="23"/>
  <c r="H12" i="23"/>
  <c r="H13" i="23"/>
  <c r="H32" i="54"/>
  <c r="H25" i="54"/>
  <c r="H26" i="54"/>
  <c r="H27" i="54"/>
  <c r="H21" i="54"/>
  <c r="H22" i="54" s="1"/>
  <c r="G27" i="17"/>
  <c r="G28" i="17"/>
  <c r="G29" i="17"/>
  <c r="G12" i="128"/>
  <c r="G13" i="128"/>
  <c r="G14" i="128"/>
  <c r="G15" i="128"/>
  <c r="G16" i="128"/>
  <c r="G17" i="128"/>
  <c r="G18" i="128"/>
  <c r="G19" i="128"/>
  <c r="G20" i="128"/>
  <c r="G21" i="128"/>
  <c r="G22" i="128"/>
  <c r="G23" i="128"/>
  <c r="G24" i="128"/>
  <c r="G25" i="128"/>
  <c r="G26" i="128"/>
  <c r="G22" i="11"/>
  <c r="G24" i="11"/>
  <c r="G30" i="11"/>
  <c r="G31" i="11"/>
  <c r="G32" i="11"/>
  <c r="G42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9" i="11"/>
  <c r="G60" i="11"/>
  <c r="G61" i="11"/>
  <c r="G62" i="11"/>
  <c r="G63" i="11"/>
  <c r="G64" i="11"/>
  <c r="G65" i="11"/>
  <c r="G66" i="11"/>
  <c r="G67" i="11"/>
  <c r="G16" i="9"/>
  <c r="G17" i="9"/>
  <c r="G18" i="9"/>
  <c r="G29" i="8"/>
  <c r="G31" i="8"/>
  <c r="G30" i="8"/>
  <c r="G32" i="8"/>
  <c r="G33" i="8"/>
  <c r="G34" i="8"/>
  <c r="K103" i="52"/>
  <c r="K104" i="52"/>
  <c r="K105" i="52"/>
  <c r="K106" i="52"/>
  <c r="K107" i="52"/>
  <c r="K110" i="52"/>
  <c r="K111" i="52"/>
  <c r="K112" i="52"/>
  <c r="K113" i="52"/>
  <c r="K114" i="52"/>
  <c r="K115" i="52"/>
  <c r="K116" i="52"/>
  <c r="K117" i="52"/>
  <c r="K118" i="52"/>
  <c r="K120" i="52"/>
  <c r="K102" i="52"/>
  <c r="K71" i="52"/>
  <c r="K70" i="52"/>
  <c r="K69" i="52"/>
  <c r="K68" i="52"/>
  <c r="K37" i="52"/>
  <c r="K63" i="52"/>
  <c r="K64" i="52"/>
  <c r="K44" i="52"/>
  <c r="K45" i="52"/>
  <c r="K46" i="52"/>
  <c r="K47" i="52"/>
  <c r="K48" i="52"/>
  <c r="K58" i="52"/>
  <c r="K59" i="52"/>
  <c r="K61" i="52"/>
  <c r="K62" i="52"/>
  <c r="K29" i="52"/>
  <c r="I50" i="2"/>
  <c r="I47" i="2"/>
  <c r="Q45" i="2"/>
  <c r="Q46" i="2"/>
  <c r="Q47" i="2"/>
  <c r="G28" i="54" l="1"/>
  <c r="F28" i="54"/>
  <c r="E28" i="54"/>
  <c r="D28" i="54"/>
  <c r="C28" i="54"/>
  <c r="G8" i="128"/>
  <c r="G9" i="128"/>
  <c r="G10" i="128"/>
  <c r="G11" i="128"/>
  <c r="G27" i="128"/>
  <c r="B33" i="6" l="1"/>
  <c r="K97" i="52" l="1"/>
  <c r="G26" i="52"/>
  <c r="H26" i="52"/>
  <c r="I26" i="52"/>
  <c r="F26" i="52"/>
  <c r="G19" i="52"/>
  <c r="H19" i="52"/>
  <c r="I19" i="52"/>
  <c r="F19" i="52"/>
  <c r="L39" i="2" l="1"/>
  <c r="M39" i="2"/>
  <c r="L28" i="2"/>
  <c r="L30" i="2"/>
  <c r="M30" i="2"/>
  <c r="L32" i="2"/>
  <c r="M32" i="2"/>
  <c r="L21" i="2"/>
  <c r="M21" i="2"/>
  <c r="G94" i="11"/>
  <c r="N39" i="2" l="1"/>
  <c r="N30" i="2"/>
  <c r="N32" i="2"/>
  <c r="N21" i="2"/>
  <c r="B75" i="7" l="1"/>
  <c r="L29" i="2" s="1"/>
  <c r="C75" i="7"/>
  <c r="M29" i="2" s="1"/>
  <c r="D75" i="7"/>
  <c r="F12" i="52"/>
  <c r="F15" i="52" s="1"/>
  <c r="F35" i="52" s="1"/>
  <c r="G12" i="52"/>
  <c r="G15" i="52" s="1"/>
  <c r="H12" i="52"/>
  <c r="H15" i="52" s="1"/>
  <c r="L52" i="2"/>
  <c r="M52" i="2"/>
  <c r="N52" i="2"/>
  <c r="D52" i="2"/>
  <c r="E52" i="2"/>
  <c r="F52" i="2"/>
  <c r="C77" i="23"/>
  <c r="L38" i="2" s="1"/>
  <c r="D77" i="23"/>
  <c r="M38" i="2" s="1"/>
  <c r="E77" i="23"/>
  <c r="N38" i="2" s="1"/>
  <c r="L37" i="2"/>
  <c r="M37" i="2"/>
  <c r="N37" i="2"/>
  <c r="C17" i="23"/>
  <c r="L36" i="2" s="1"/>
  <c r="D17" i="23"/>
  <c r="M36" i="2" s="1"/>
  <c r="E17" i="23"/>
  <c r="N36" i="2" s="1"/>
  <c r="C14" i="23"/>
  <c r="D14" i="23"/>
  <c r="E14" i="23"/>
  <c r="C50" i="54"/>
  <c r="D30" i="2" s="1"/>
  <c r="D50" i="54"/>
  <c r="E30" i="2" s="1"/>
  <c r="E50" i="54"/>
  <c r="F30" i="2" s="1"/>
  <c r="C37" i="54"/>
  <c r="D29" i="2" s="1"/>
  <c r="D37" i="54"/>
  <c r="E29" i="2" s="1"/>
  <c r="E37" i="54"/>
  <c r="F29" i="2" s="1"/>
  <c r="D28" i="2"/>
  <c r="E28" i="2"/>
  <c r="F28" i="2"/>
  <c r="D27" i="2"/>
  <c r="E27" i="2"/>
  <c r="F27" i="2"/>
  <c r="B31" i="17"/>
  <c r="L15" i="2" s="1"/>
  <c r="C31" i="17"/>
  <c r="M15" i="2" s="1"/>
  <c r="D31" i="17"/>
  <c r="N15" i="2" s="1"/>
  <c r="B28" i="16"/>
  <c r="C28" i="16"/>
  <c r="D28" i="16"/>
  <c r="B28" i="128"/>
  <c r="L13" i="2" s="1"/>
  <c r="C28" i="128"/>
  <c r="M13" i="2" s="1"/>
  <c r="D28" i="128"/>
  <c r="N13" i="2" s="1"/>
  <c r="B114" i="11"/>
  <c r="L33" i="2" s="1"/>
  <c r="C114" i="11"/>
  <c r="M33" i="2" s="1"/>
  <c r="D114" i="11"/>
  <c r="N33" i="2" s="1"/>
  <c r="B105" i="11"/>
  <c r="C105" i="11"/>
  <c r="D105" i="11"/>
  <c r="B92" i="11"/>
  <c r="C92" i="11"/>
  <c r="D92" i="11"/>
  <c r="B16" i="11"/>
  <c r="C16" i="11"/>
  <c r="D16" i="11"/>
  <c r="B8" i="11"/>
  <c r="C8" i="11"/>
  <c r="D8" i="11"/>
  <c r="B18" i="10"/>
  <c r="C18" i="10"/>
  <c r="D18" i="10"/>
  <c r="B11" i="10"/>
  <c r="B12" i="10" s="1"/>
  <c r="C11" i="10"/>
  <c r="C12" i="10" s="1"/>
  <c r="D11" i="10"/>
  <c r="D12" i="10" s="1"/>
  <c r="N11" i="2" s="1"/>
  <c r="B28" i="9"/>
  <c r="C28" i="9"/>
  <c r="D28" i="9"/>
  <c r="B20" i="9"/>
  <c r="B21" i="9" s="1"/>
  <c r="C20" i="9"/>
  <c r="C21" i="9" s="1"/>
  <c r="D20" i="9"/>
  <c r="D21" i="9" s="1"/>
  <c r="B43" i="8"/>
  <c r="C43" i="8"/>
  <c r="D43" i="8"/>
  <c r="B36" i="8"/>
  <c r="B37" i="8" s="1"/>
  <c r="L9" i="2" s="1"/>
  <c r="C36" i="8"/>
  <c r="C37" i="8" s="1"/>
  <c r="M9" i="2" s="1"/>
  <c r="D36" i="8"/>
  <c r="D37" i="8" s="1"/>
  <c r="B63" i="7"/>
  <c r="C63" i="7"/>
  <c r="D63" i="7"/>
  <c r="B55" i="7"/>
  <c r="B56" i="7" s="1"/>
  <c r="C55" i="7"/>
  <c r="C56" i="7" s="1"/>
  <c r="D55" i="7"/>
  <c r="D56" i="7" s="1"/>
  <c r="B47" i="7"/>
  <c r="B49" i="7" s="1"/>
  <c r="C47" i="7"/>
  <c r="C49" i="7" s="1"/>
  <c r="D47" i="7"/>
  <c r="D49" i="7" s="1"/>
  <c r="B17" i="7"/>
  <c r="B20" i="7" s="1"/>
  <c r="C17" i="7"/>
  <c r="C20" i="7" s="1"/>
  <c r="D17" i="7"/>
  <c r="D20" i="7" s="1"/>
  <c r="B12" i="7"/>
  <c r="C12" i="7"/>
  <c r="D12" i="7"/>
  <c r="C33" i="6"/>
  <c r="M28" i="2" s="1"/>
  <c r="D33" i="6"/>
  <c r="N28" i="2" s="1"/>
  <c r="B9" i="6"/>
  <c r="C9" i="6"/>
  <c r="D9" i="6"/>
  <c r="B25" i="6"/>
  <c r="C25" i="6"/>
  <c r="D25" i="6"/>
  <c r="F134" i="52"/>
  <c r="D11" i="2" s="1"/>
  <c r="G134" i="52"/>
  <c r="E11" i="2" s="1"/>
  <c r="H134" i="52"/>
  <c r="F11" i="2" s="1"/>
  <c r="F121" i="52"/>
  <c r="D10" i="2" s="1"/>
  <c r="G121" i="52"/>
  <c r="E10" i="2" s="1"/>
  <c r="H121" i="52"/>
  <c r="F10" i="2" s="1"/>
  <c r="F99" i="52"/>
  <c r="D9" i="2" s="1"/>
  <c r="G99" i="52"/>
  <c r="E9" i="2" s="1"/>
  <c r="H99" i="52"/>
  <c r="F9" i="2" s="1"/>
  <c r="F65" i="52"/>
  <c r="D8" i="2" s="1"/>
  <c r="G65" i="52"/>
  <c r="E8" i="2" s="1"/>
  <c r="H65" i="52"/>
  <c r="F8" i="2" s="1"/>
  <c r="F50" i="52"/>
  <c r="G50" i="52"/>
  <c r="H50" i="52"/>
  <c r="F38" i="52"/>
  <c r="G38" i="52"/>
  <c r="H38" i="52"/>
  <c r="F41" i="52"/>
  <c r="G41" i="52"/>
  <c r="H41" i="52"/>
  <c r="C106" i="11" l="1"/>
  <c r="C107" i="11" s="1"/>
  <c r="C116" i="11" s="1"/>
  <c r="N31" i="2"/>
  <c r="M31" i="2"/>
  <c r="M34" i="2" s="1"/>
  <c r="N35" i="2"/>
  <c r="N40" i="2" s="1"/>
  <c r="E79" i="23"/>
  <c r="L31" i="2"/>
  <c r="L34" i="2" s="1"/>
  <c r="L35" i="2"/>
  <c r="L40" i="2" s="1"/>
  <c r="C79" i="23"/>
  <c r="M35" i="2"/>
  <c r="M40" i="2" s="1"/>
  <c r="D79" i="23"/>
  <c r="F39" i="52"/>
  <c r="F51" i="52" s="1"/>
  <c r="D7" i="2" s="1"/>
  <c r="D22" i="2" s="1"/>
  <c r="B29" i="16"/>
  <c r="L14" i="2" s="1"/>
  <c r="B106" i="11"/>
  <c r="B107" i="11" s="1"/>
  <c r="L12" i="2" s="1"/>
  <c r="B45" i="8"/>
  <c r="B21" i="7"/>
  <c r="B26" i="6"/>
  <c r="B35" i="6" s="1"/>
  <c r="L11" i="2"/>
  <c r="B20" i="10"/>
  <c r="B64" i="7"/>
  <c r="L10" i="2"/>
  <c r="B30" i="9"/>
  <c r="D51" i="54"/>
  <c r="D45" i="8"/>
  <c r="N9" i="2"/>
  <c r="D30" i="9"/>
  <c r="N10" i="2"/>
  <c r="E41" i="2"/>
  <c r="N7" i="2"/>
  <c r="F41" i="2"/>
  <c r="L7" i="2"/>
  <c r="G35" i="52"/>
  <c r="G39" i="52" s="1"/>
  <c r="G51" i="52" s="1"/>
  <c r="D41" i="2"/>
  <c r="C51" i="54"/>
  <c r="C29" i="16"/>
  <c r="M14" i="2" s="1"/>
  <c r="M11" i="2"/>
  <c r="C20" i="10"/>
  <c r="M10" i="2"/>
  <c r="C30" i="9"/>
  <c r="C45" i="8"/>
  <c r="C64" i="7"/>
  <c r="C21" i="7"/>
  <c r="M7" i="2"/>
  <c r="C26" i="6"/>
  <c r="C35" i="6" s="1"/>
  <c r="N29" i="2"/>
  <c r="N34" i="2" s="1"/>
  <c r="E51" i="54"/>
  <c r="D29" i="16"/>
  <c r="N14" i="2" s="1"/>
  <c r="D106" i="11"/>
  <c r="D107" i="11" s="1"/>
  <c r="D20" i="10"/>
  <c r="D64" i="7"/>
  <c r="D21" i="7"/>
  <c r="D26" i="6"/>
  <c r="D35" i="6" s="1"/>
  <c r="H35" i="52"/>
  <c r="H39" i="52" s="1"/>
  <c r="H51" i="52" s="1"/>
  <c r="M7" i="64"/>
  <c r="H7" i="64"/>
  <c r="G7" i="64"/>
  <c r="I7" i="64"/>
  <c r="N7" i="63"/>
  <c r="M7" i="63"/>
  <c r="L7" i="63"/>
  <c r="J7" i="63"/>
  <c r="K8" i="64"/>
  <c r="J7" i="64"/>
  <c r="L7" i="64"/>
  <c r="F7" i="63"/>
  <c r="G7" i="63"/>
  <c r="G8" i="63"/>
  <c r="F8" i="63"/>
  <c r="C65" i="7" l="1"/>
  <c r="C77" i="7" s="1"/>
  <c r="D65" i="7"/>
  <c r="N8" i="2" s="1"/>
  <c r="N41" i="2"/>
  <c r="L41" i="2"/>
  <c r="M41" i="2"/>
  <c r="B116" i="11"/>
  <c r="B65" i="7"/>
  <c r="L8" i="2" s="1"/>
  <c r="L22" i="2" s="1"/>
  <c r="D116" i="11"/>
  <c r="N12" i="2"/>
  <c r="M12" i="2"/>
  <c r="M8" i="2"/>
  <c r="F135" i="52"/>
  <c r="D55" i="2"/>
  <c r="H135" i="52"/>
  <c r="F7" i="2"/>
  <c r="F22" i="2" s="1"/>
  <c r="F55" i="2" s="1"/>
  <c r="G135" i="52"/>
  <c r="E7" i="2"/>
  <c r="E22" i="2" s="1"/>
  <c r="E55" i="2" s="1"/>
  <c r="D77" i="7" l="1"/>
  <c r="M22" i="2"/>
  <c r="M55" i="2" s="1"/>
  <c r="L55" i="2"/>
  <c r="N22" i="2"/>
  <c r="N55" i="2" s="1"/>
  <c r="B77" i="7"/>
  <c r="G78" i="11"/>
  <c r="G9" i="17" l="1"/>
  <c r="G10" i="17"/>
  <c r="G11" i="17"/>
  <c r="G12" i="17"/>
  <c r="G13" i="17"/>
  <c r="G14" i="17"/>
  <c r="G15" i="17"/>
  <c r="G16" i="17"/>
  <c r="G17" i="17"/>
  <c r="G18" i="17"/>
  <c r="F28" i="16" l="1"/>
  <c r="F28" i="128"/>
  <c r="E28" i="128"/>
  <c r="E114" i="11"/>
  <c r="E18" i="10"/>
  <c r="E28" i="9"/>
  <c r="E43" i="8"/>
  <c r="E75" i="7"/>
  <c r="E16" i="11"/>
  <c r="P21" i="2"/>
  <c r="O21" i="2"/>
  <c r="F105" i="11"/>
  <c r="G14" i="23"/>
  <c r="F14" i="23"/>
  <c r="G103" i="11"/>
  <c r="F16" i="11" l="1"/>
  <c r="Q44" i="2"/>
  <c r="E105" i="11" l="1"/>
  <c r="G104" i="11"/>
  <c r="F28" i="9"/>
  <c r="F18" i="10"/>
  <c r="F75" i="7" l="1"/>
  <c r="F25" i="6"/>
  <c r="E25" i="6"/>
  <c r="G24" i="6"/>
  <c r="G77" i="23"/>
  <c r="H34" i="54"/>
  <c r="F114" i="11"/>
  <c r="F43" i="8"/>
  <c r="G37" i="54" l="1"/>
  <c r="F37" i="54"/>
  <c r="F29" i="16"/>
  <c r="E28" i="16"/>
  <c r="E29" i="16" s="1"/>
  <c r="G16" i="7" l="1"/>
  <c r="F17" i="7"/>
  <c r="E17" i="7"/>
  <c r="N10" i="64" l="1"/>
  <c r="C10" i="64"/>
  <c r="M9" i="64"/>
  <c r="M11" i="64" s="1"/>
  <c r="J9" i="64"/>
  <c r="J11" i="64" s="1"/>
  <c r="I9" i="64"/>
  <c r="I11" i="64" s="1"/>
  <c r="H9" i="64"/>
  <c r="H11" i="64" s="1"/>
  <c r="G9" i="64"/>
  <c r="G11" i="64" s="1"/>
  <c r="F9" i="64"/>
  <c r="F11" i="64" s="1"/>
  <c r="N9" i="64"/>
  <c r="L9" i="64"/>
  <c r="L11" i="64" s="1"/>
  <c r="K9" i="64"/>
  <c r="K11" i="64" s="1"/>
  <c r="E7" i="64"/>
  <c r="E9" i="64" s="1"/>
  <c r="E11" i="64" s="1"/>
  <c r="D7" i="64"/>
  <c r="D9" i="64" s="1"/>
  <c r="D11" i="64" s="1"/>
  <c r="C7" i="64"/>
  <c r="C9" i="64" s="1"/>
  <c r="D9" i="63"/>
  <c r="D11" i="63" s="1"/>
  <c r="L8" i="63"/>
  <c r="L9" i="63" s="1"/>
  <c r="L11" i="63" s="1"/>
  <c r="K8" i="63"/>
  <c r="K9" i="63" s="1"/>
  <c r="K11" i="63" s="1"/>
  <c r="N9" i="63"/>
  <c r="N11" i="63" s="1"/>
  <c r="M9" i="63"/>
  <c r="M11" i="63" s="1"/>
  <c r="J9" i="63"/>
  <c r="J11" i="63" s="1"/>
  <c r="I7" i="63"/>
  <c r="I9" i="63" s="1"/>
  <c r="I11" i="63" s="1"/>
  <c r="H7" i="63"/>
  <c r="H9" i="63" s="1"/>
  <c r="H11" i="63" s="1"/>
  <c r="G9" i="63"/>
  <c r="G11" i="63" s="1"/>
  <c r="F9" i="63"/>
  <c r="F11" i="63" s="1"/>
  <c r="E7" i="63"/>
  <c r="E9" i="63" s="1"/>
  <c r="E11" i="63" s="1"/>
  <c r="C7" i="63"/>
  <c r="C9" i="63" s="1"/>
  <c r="C11" i="63" s="1"/>
  <c r="K17" i="77"/>
  <c r="K13" i="77"/>
  <c r="D17" i="77"/>
  <c r="D13" i="77"/>
  <c r="N11" i="64" l="1"/>
  <c r="C11" i="64"/>
  <c r="K18" i="77"/>
  <c r="K20" i="77" s="1"/>
  <c r="D18" i="77"/>
  <c r="D20" i="77" s="1"/>
  <c r="G39" i="11"/>
  <c r="G38" i="11"/>
  <c r="Q17" i="2" l="1"/>
  <c r="Q18" i="2"/>
  <c r="Q19" i="2"/>
  <c r="Q20" i="2"/>
  <c r="I45" i="2"/>
  <c r="I46" i="2"/>
  <c r="I48" i="2"/>
  <c r="I49" i="2"/>
  <c r="I51" i="2"/>
  <c r="I44" i="2"/>
  <c r="H78" i="23"/>
  <c r="H26" i="23"/>
  <c r="H21" i="23"/>
  <c r="H19" i="23"/>
  <c r="H16" i="23"/>
  <c r="H7" i="23"/>
  <c r="H42" i="54"/>
  <c r="H44" i="54"/>
  <c r="H46" i="54"/>
  <c r="H47" i="54"/>
  <c r="H48" i="54"/>
  <c r="H49" i="54"/>
  <c r="H40" i="54"/>
  <c r="H36" i="54"/>
  <c r="H31" i="54"/>
  <c r="H24" i="54"/>
  <c r="H28" i="54" s="1"/>
  <c r="G8" i="17"/>
  <c r="G19" i="17"/>
  <c r="G20" i="17"/>
  <c r="G21" i="17"/>
  <c r="G22" i="17"/>
  <c r="G23" i="17"/>
  <c r="G24" i="17"/>
  <c r="G25" i="17"/>
  <c r="G26" i="17"/>
  <c r="G30" i="17"/>
  <c r="G7" i="17"/>
  <c r="G24" i="16"/>
  <c r="G25" i="16"/>
  <c r="G27" i="16"/>
  <c r="G23" i="16"/>
  <c r="G20" i="16"/>
  <c r="G14" i="16"/>
  <c r="G15" i="16"/>
  <c r="G16" i="16"/>
  <c r="G17" i="16"/>
  <c r="G18" i="16"/>
  <c r="G13" i="16"/>
  <c r="G12" i="16"/>
  <c r="G8" i="16"/>
  <c r="G9" i="16"/>
  <c r="G10" i="16"/>
  <c r="G11" i="16"/>
  <c r="G7" i="16"/>
  <c r="G7" i="128"/>
  <c r="G113" i="11"/>
  <c r="G112" i="11"/>
  <c r="G95" i="11"/>
  <c r="G96" i="11"/>
  <c r="G97" i="11"/>
  <c r="G98" i="11"/>
  <c r="G100" i="11"/>
  <c r="G101" i="11"/>
  <c r="G102" i="11"/>
  <c r="G73" i="11"/>
  <c r="G74" i="11"/>
  <c r="G75" i="11"/>
  <c r="G76" i="11"/>
  <c r="G77" i="11"/>
  <c r="G79" i="11"/>
  <c r="G80" i="11"/>
  <c r="G81" i="11"/>
  <c r="G82" i="11"/>
  <c r="G83" i="11"/>
  <c r="G85" i="11"/>
  <c r="G86" i="11"/>
  <c r="G87" i="11"/>
  <c r="G88" i="11"/>
  <c r="G89" i="11"/>
  <c r="G91" i="11"/>
  <c r="G72" i="11"/>
  <c r="G70" i="11"/>
  <c r="G58" i="11"/>
  <c r="G56" i="11"/>
  <c r="G43" i="11"/>
  <c r="G41" i="11"/>
  <c r="G33" i="11"/>
  <c r="G34" i="11"/>
  <c r="G35" i="11"/>
  <c r="G36" i="11"/>
  <c r="G40" i="11"/>
  <c r="G37" i="11"/>
  <c r="G29" i="11"/>
  <c r="G28" i="11"/>
  <c r="G25" i="11"/>
  <c r="G26" i="11"/>
  <c r="G27" i="11"/>
  <c r="G23" i="11"/>
  <c r="G21" i="11"/>
  <c r="G20" i="11"/>
  <c r="G19" i="11"/>
  <c r="G18" i="11"/>
  <c r="G11" i="11"/>
  <c r="G12" i="11"/>
  <c r="G13" i="11"/>
  <c r="G15" i="11"/>
  <c r="G10" i="11"/>
  <c r="G7" i="11"/>
  <c r="G6" i="11"/>
  <c r="G17" i="10"/>
  <c r="G18" i="10" s="1"/>
  <c r="G10" i="10"/>
  <c r="G9" i="10"/>
  <c r="G7" i="10"/>
  <c r="G27" i="9"/>
  <c r="G28" i="9" s="1"/>
  <c r="G11" i="9"/>
  <c r="G12" i="9"/>
  <c r="G13" i="9"/>
  <c r="G14" i="9"/>
  <c r="G15" i="9"/>
  <c r="G19" i="9"/>
  <c r="G10" i="9"/>
  <c r="G9" i="9"/>
  <c r="G7" i="9"/>
  <c r="G42" i="8"/>
  <c r="G43" i="8" s="1"/>
  <c r="G25" i="8"/>
  <c r="G26" i="8"/>
  <c r="G27" i="8"/>
  <c r="G28" i="8"/>
  <c r="G35" i="8"/>
  <c r="G24" i="8"/>
  <c r="G23" i="8"/>
  <c r="G12" i="8"/>
  <c r="G13" i="8"/>
  <c r="G14" i="8"/>
  <c r="G15" i="8"/>
  <c r="G16" i="8"/>
  <c r="G17" i="8"/>
  <c r="G18" i="8"/>
  <c r="G19" i="8"/>
  <c r="G20" i="8"/>
  <c r="G22" i="8"/>
  <c r="G11" i="8"/>
  <c r="G10" i="8"/>
  <c r="G9" i="8"/>
  <c r="G7" i="8"/>
  <c r="G72" i="7"/>
  <c r="G73" i="7"/>
  <c r="G74" i="7"/>
  <c r="G71" i="7"/>
  <c r="G61" i="7"/>
  <c r="G62" i="7"/>
  <c r="G58" i="7"/>
  <c r="G53" i="7"/>
  <c r="G54" i="7"/>
  <c r="G52" i="7"/>
  <c r="G50" i="7"/>
  <c r="G48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5" i="7"/>
  <c r="G46" i="7"/>
  <c r="G24" i="7"/>
  <c r="G19" i="7"/>
  <c r="G18" i="7"/>
  <c r="G15" i="7"/>
  <c r="G14" i="7"/>
  <c r="G11" i="7"/>
  <c r="G10" i="7"/>
  <c r="G9" i="7"/>
  <c r="G8" i="7"/>
  <c r="G32" i="6"/>
  <c r="G31" i="6"/>
  <c r="G17" i="6"/>
  <c r="G18" i="6"/>
  <c r="G19" i="6"/>
  <c r="G20" i="6"/>
  <c r="G21" i="6"/>
  <c r="G22" i="6"/>
  <c r="G23" i="6"/>
  <c r="G16" i="6"/>
  <c r="G15" i="6"/>
  <c r="G14" i="6"/>
  <c r="G13" i="6"/>
  <c r="G12" i="6"/>
  <c r="G11" i="6"/>
  <c r="G10" i="6"/>
  <c r="G8" i="6"/>
  <c r="G7" i="6"/>
  <c r="K124" i="52"/>
  <c r="K125" i="52"/>
  <c r="K126" i="52"/>
  <c r="K127" i="52"/>
  <c r="K128" i="52"/>
  <c r="K129" i="52"/>
  <c r="K130" i="52"/>
  <c r="K131" i="52"/>
  <c r="K132" i="52"/>
  <c r="K133" i="52"/>
  <c r="K123" i="52"/>
  <c r="K72" i="52"/>
  <c r="K73" i="52"/>
  <c r="K74" i="52"/>
  <c r="K75" i="52"/>
  <c r="K76" i="52"/>
  <c r="K77" i="52"/>
  <c r="K78" i="52"/>
  <c r="K79" i="52"/>
  <c r="K80" i="52"/>
  <c r="K98" i="52"/>
  <c r="K67" i="52"/>
  <c r="K56" i="52"/>
  <c r="K43" i="52"/>
  <c r="K49" i="52"/>
  <c r="K42" i="52"/>
  <c r="K41" i="52"/>
  <c r="K28" i="52"/>
  <c r="K34" i="52" s="1"/>
  <c r="K22" i="52"/>
  <c r="K23" i="52"/>
  <c r="K24" i="52"/>
  <c r="K21" i="52"/>
  <c r="K18" i="52"/>
  <c r="K14" i="52"/>
  <c r="K13" i="52"/>
  <c r="K11" i="52"/>
  <c r="K10" i="52"/>
  <c r="K9" i="52"/>
  <c r="K8" i="52"/>
  <c r="H23" i="23" l="1"/>
  <c r="G22" i="16"/>
  <c r="G28" i="16"/>
  <c r="G29" i="16" s="1"/>
  <c r="G28" i="128"/>
  <c r="H14" i="23"/>
  <c r="G75" i="7"/>
  <c r="G25" i="6"/>
  <c r="G105" i="11"/>
  <c r="G114" i="11"/>
  <c r="G16" i="11"/>
  <c r="Q21" i="2"/>
  <c r="H77" i="23"/>
  <c r="G17" i="7"/>
  <c r="H37" i="54"/>
  <c r="J26" i="52" l="1"/>
  <c r="C13" i="77" l="1"/>
  <c r="P13" i="2" l="1"/>
  <c r="Q13" i="2" l="1"/>
  <c r="O13" i="2"/>
  <c r="F20" i="7" l="1"/>
  <c r="F8" i="11"/>
  <c r="F12" i="7"/>
  <c r="E12" i="7"/>
  <c r="F9" i="6"/>
  <c r="G9" i="6"/>
  <c r="G20" i="7" l="1"/>
  <c r="F21" i="7"/>
  <c r="G8" i="11"/>
  <c r="G12" i="7"/>
  <c r="F36" i="8"/>
  <c r="F37" i="8" s="1"/>
  <c r="F45" i="8" s="1"/>
  <c r="G21" i="7" l="1"/>
  <c r="F31" i="17"/>
  <c r="F63" i="7" l="1"/>
  <c r="F47" i="7"/>
  <c r="F55" i="7"/>
  <c r="F56" i="7" l="1"/>
  <c r="F77" i="23"/>
  <c r="O38" i="2" s="1"/>
  <c r="O37" i="2"/>
  <c r="F17" i="23"/>
  <c r="O35" i="2"/>
  <c r="E8" i="11"/>
  <c r="C18" i="64"/>
  <c r="C24" i="64"/>
  <c r="C23" i="64"/>
  <c r="C20" i="64"/>
  <c r="C19" i="64"/>
  <c r="C22" i="64"/>
  <c r="C15" i="64"/>
  <c r="O31" i="2"/>
  <c r="F16" i="77"/>
  <c r="G16" i="77" s="1"/>
  <c r="F15" i="77"/>
  <c r="G15" i="77" s="1"/>
  <c r="F14" i="77"/>
  <c r="G14" i="77" s="1"/>
  <c r="F19" i="77"/>
  <c r="G19" i="77" s="1"/>
  <c r="B10" i="63" s="1"/>
  <c r="P37" i="2"/>
  <c r="Q37" i="2"/>
  <c r="F8" i="77"/>
  <c r="M8" i="77"/>
  <c r="N8" i="77" s="1"/>
  <c r="F9" i="77"/>
  <c r="G9" i="77" s="1"/>
  <c r="M9" i="77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E13" i="77"/>
  <c r="J13" i="77"/>
  <c r="L13" i="77"/>
  <c r="M14" i="77"/>
  <c r="N14" i="77" s="1"/>
  <c r="M15" i="77"/>
  <c r="N15" i="77" s="1"/>
  <c r="M16" i="77"/>
  <c r="N16" i="77" s="1"/>
  <c r="C17" i="77"/>
  <c r="E17" i="77"/>
  <c r="J17" i="77"/>
  <c r="L17" i="77"/>
  <c r="M19" i="77"/>
  <c r="N19" i="77" s="1"/>
  <c r="B10" i="64" s="1"/>
  <c r="D16" i="64"/>
  <c r="D17" i="64"/>
  <c r="D18" i="64"/>
  <c r="D19" i="64"/>
  <c r="D20" i="64"/>
  <c r="D21" i="64"/>
  <c r="D22" i="64"/>
  <c r="D23" i="64"/>
  <c r="D24" i="64"/>
  <c r="D25" i="64"/>
  <c r="D26" i="64"/>
  <c r="C16" i="64"/>
  <c r="C21" i="64"/>
  <c r="C25" i="64"/>
  <c r="P35" i="2"/>
  <c r="Q35" i="2"/>
  <c r="G17" i="23"/>
  <c r="H17" i="23"/>
  <c r="P38" i="2"/>
  <c r="G28" i="2"/>
  <c r="H28" i="2"/>
  <c r="G29" i="2"/>
  <c r="H29" i="2"/>
  <c r="I29" i="2"/>
  <c r="F50" i="54"/>
  <c r="G30" i="2" s="1"/>
  <c r="G50" i="54"/>
  <c r="H50" i="54"/>
  <c r="P15" i="2"/>
  <c r="P14" i="2"/>
  <c r="F92" i="11"/>
  <c r="P33" i="2"/>
  <c r="E11" i="10"/>
  <c r="E12" i="10" s="1"/>
  <c r="E20" i="10" s="1"/>
  <c r="F11" i="10"/>
  <c r="F12" i="10" s="1"/>
  <c r="F20" i="10" s="1"/>
  <c r="G11" i="10"/>
  <c r="G12" i="10" s="1"/>
  <c r="G20" i="10" s="1"/>
  <c r="F20" i="9"/>
  <c r="F21" i="9" s="1"/>
  <c r="F30" i="9" s="1"/>
  <c r="Q30" i="2"/>
  <c r="P29" i="2"/>
  <c r="E33" i="6"/>
  <c r="O28" i="2" s="1"/>
  <c r="F33" i="6"/>
  <c r="P28" i="2" s="1"/>
  <c r="G33" i="6"/>
  <c r="I12" i="52"/>
  <c r="J12" i="52"/>
  <c r="J15" i="52" s="1"/>
  <c r="K12" i="52"/>
  <c r="J19" i="52"/>
  <c r="K19" i="52"/>
  <c r="I38" i="52"/>
  <c r="J38" i="52"/>
  <c r="K38" i="52"/>
  <c r="I41" i="52"/>
  <c r="J41" i="52"/>
  <c r="I50" i="52"/>
  <c r="J50" i="52"/>
  <c r="J65" i="52"/>
  <c r="H8" i="2" s="1"/>
  <c r="J99" i="52"/>
  <c r="H9" i="2" s="1"/>
  <c r="I121" i="52"/>
  <c r="G10" i="2" s="1"/>
  <c r="J121" i="52"/>
  <c r="H10" i="2" s="1"/>
  <c r="K121" i="52"/>
  <c r="I10" i="2" s="1"/>
  <c r="J134" i="52"/>
  <c r="H11" i="2" s="1"/>
  <c r="O30" i="2"/>
  <c r="P30" i="2"/>
  <c r="P31" i="2"/>
  <c r="O32" i="2"/>
  <c r="P32" i="2"/>
  <c r="Q32" i="2"/>
  <c r="O39" i="2"/>
  <c r="P39" i="2"/>
  <c r="Q39" i="2"/>
  <c r="G52" i="2"/>
  <c r="H52" i="2"/>
  <c r="P52" i="2"/>
  <c r="Q36" i="2" l="1"/>
  <c r="H79" i="23"/>
  <c r="O36" i="2"/>
  <c r="F79" i="23"/>
  <c r="P36" i="2"/>
  <c r="P40" i="2" s="1"/>
  <c r="G79" i="23"/>
  <c r="K26" i="52"/>
  <c r="I30" i="2"/>
  <c r="H27" i="2"/>
  <c r="C18" i="77"/>
  <c r="C20" i="77" s="1"/>
  <c r="L18" i="77"/>
  <c r="L20" i="77" s="1"/>
  <c r="E9" i="6"/>
  <c r="E26" i="6" s="1"/>
  <c r="E35" i="6" s="1"/>
  <c r="E20" i="7"/>
  <c r="E21" i="7" s="1"/>
  <c r="O33" i="2"/>
  <c r="Q29" i="2"/>
  <c r="Q28" i="2"/>
  <c r="E18" i="77"/>
  <c r="E20" i="77" s="1"/>
  <c r="Q31" i="2"/>
  <c r="Q33" i="2"/>
  <c r="E36" i="8"/>
  <c r="I52" i="2"/>
  <c r="P10" i="2"/>
  <c r="G31" i="17"/>
  <c r="E20" i="9"/>
  <c r="E21" i="9" s="1"/>
  <c r="E30" i="9" s="1"/>
  <c r="G36" i="8"/>
  <c r="G37" i="8" s="1"/>
  <c r="G45" i="8" s="1"/>
  <c r="P11" i="2"/>
  <c r="E31" i="17"/>
  <c r="O15" i="2" s="1"/>
  <c r="O14" i="2"/>
  <c r="G92" i="11"/>
  <c r="G20" i="9"/>
  <c r="G21" i="9" s="1"/>
  <c r="G30" i="9" s="1"/>
  <c r="E63" i="7"/>
  <c r="O11" i="2"/>
  <c r="I65" i="52"/>
  <c r="G8" i="2" s="1"/>
  <c r="M17" i="77"/>
  <c r="G63" i="7"/>
  <c r="G27" i="2"/>
  <c r="I134" i="52"/>
  <c r="G11" i="2" s="1"/>
  <c r="C26" i="64"/>
  <c r="E92" i="11"/>
  <c r="G17" i="77"/>
  <c r="P7" i="2"/>
  <c r="N17" i="77"/>
  <c r="B8" i="64" s="1"/>
  <c r="F106" i="11"/>
  <c r="F107" i="11" s="1"/>
  <c r="F116" i="11" s="1"/>
  <c r="F26" i="6"/>
  <c r="F35" i="6" s="1"/>
  <c r="J35" i="52"/>
  <c r="J39" i="52" s="1"/>
  <c r="J51" i="52" s="1"/>
  <c r="G47" i="7"/>
  <c r="E47" i="7"/>
  <c r="E49" i="7" s="1"/>
  <c r="F49" i="7"/>
  <c r="F64" i="7" s="1"/>
  <c r="G55" i="7"/>
  <c r="E55" i="7"/>
  <c r="E56" i="7" s="1"/>
  <c r="K134" i="52"/>
  <c r="I99" i="52"/>
  <c r="G9" i="2" s="1"/>
  <c r="O52" i="2"/>
  <c r="P34" i="2"/>
  <c r="P9" i="2"/>
  <c r="K65" i="52"/>
  <c r="C17" i="64"/>
  <c r="I15" i="52"/>
  <c r="J18" i="77"/>
  <c r="J20" i="77" s="1"/>
  <c r="D15" i="64"/>
  <c r="E15" i="64" s="1"/>
  <c r="E16" i="64" s="1"/>
  <c r="G8" i="77"/>
  <c r="G13" i="77" s="1"/>
  <c r="B7" i="63" s="1"/>
  <c r="F13" i="77"/>
  <c r="M13" i="77"/>
  <c r="N9" i="77"/>
  <c r="N13" i="77" s="1"/>
  <c r="K50" i="52"/>
  <c r="Q38" i="2"/>
  <c r="K99" i="52"/>
  <c r="H30" i="2"/>
  <c r="I28" i="2"/>
  <c r="Q52" i="2"/>
  <c r="O29" i="2"/>
  <c r="F17" i="77"/>
  <c r="K15" i="52"/>
  <c r="O40" i="2" l="1"/>
  <c r="Q40" i="2"/>
  <c r="B8" i="63"/>
  <c r="D27" i="64"/>
  <c r="H41" i="2"/>
  <c r="G51" i="54"/>
  <c r="C27" i="64"/>
  <c r="I27" i="2"/>
  <c r="I41" i="2" s="1"/>
  <c r="E37" i="8"/>
  <c r="E45" i="8" s="1"/>
  <c r="E106" i="11"/>
  <c r="E107" i="11" s="1"/>
  <c r="E116" i="11" s="1"/>
  <c r="Q34" i="2"/>
  <c r="O7" i="2"/>
  <c r="G26" i="6"/>
  <c r="G35" i="6" s="1"/>
  <c r="G106" i="11"/>
  <c r="G107" i="11" s="1"/>
  <c r="G116" i="11" s="1"/>
  <c r="G56" i="7"/>
  <c r="G41" i="2"/>
  <c r="F51" i="54"/>
  <c r="E17" i="64"/>
  <c r="E18" i="64" s="1"/>
  <c r="E19" i="64" s="1"/>
  <c r="E20" i="64" s="1"/>
  <c r="E21" i="64" s="1"/>
  <c r="E22" i="64" s="1"/>
  <c r="E23" i="64" s="1"/>
  <c r="E24" i="64" s="1"/>
  <c r="E25" i="64" s="1"/>
  <c r="E26" i="64" s="1"/>
  <c r="M18" i="77"/>
  <c r="M20" i="77" s="1"/>
  <c r="P12" i="2"/>
  <c r="I8" i="2"/>
  <c r="G49" i="7"/>
  <c r="E64" i="7"/>
  <c r="F65" i="7"/>
  <c r="F77" i="7" s="1"/>
  <c r="P41" i="2"/>
  <c r="I11" i="2"/>
  <c r="I35" i="52"/>
  <c r="I39" i="52" s="1"/>
  <c r="I51" i="52" s="1"/>
  <c r="G7" i="2" s="1"/>
  <c r="J135" i="52"/>
  <c r="H7" i="2"/>
  <c r="H22" i="2" s="1"/>
  <c r="B7" i="64"/>
  <c r="N18" i="77"/>
  <c r="N20" i="77" s="1"/>
  <c r="Q11" i="2"/>
  <c r="O10" i="2"/>
  <c r="O34" i="2"/>
  <c r="Q15" i="2"/>
  <c r="K35" i="52"/>
  <c r="Q10" i="2"/>
  <c r="H51" i="54"/>
  <c r="I9" i="2"/>
  <c r="F18" i="77"/>
  <c r="F20" i="77" s="1"/>
  <c r="G18" i="77"/>
  <c r="G20" i="77" s="1"/>
  <c r="Q41" i="2" l="1"/>
  <c r="E27" i="64"/>
  <c r="H55" i="2"/>
  <c r="O12" i="2"/>
  <c r="O9" i="2"/>
  <c r="Q14" i="2"/>
  <c r="Q9" i="2"/>
  <c r="G64" i="7"/>
  <c r="Q12" i="2"/>
  <c r="Q7" i="2"/>
  <c r="I135" i="52"/>
  <c r="E65" i="7"/>
  <c r="E77" i="7" s="1"/>
  <c r="P8" i="2"/>
  <c r="B9" i="63"/>
  <c r="K39" i="52"/>
  <c r="O41" i="2"/>
  <c r="B9" i="64"/>
  <c r="G22" i="2"/>
  <c r="P22" i="2" l="1"/>
  <c r="G65" i="7"/>
  <c r="G77" i="7" s="1"/>
  <c r="O8" i="2"/>
  <c r="B11" i="64"/>
  <c r="G55" i="2"/>
  <c r="K51" i="52"/>
  <c r="B11" i="63"/>
  <c r="P55" i="2" l="1"/>
  <c r="Q8" i="2"/>
  <c r="O22" i="2"/>
  <c r="I7" i="2"/>
  <c r="K135" i="52"/>
  <c r="Q22" i="2" l="1"/>
  <c r="I22" i="2"/>
  <c r="O55" i="2"/>
  <c r="Q55" i="2" l="1"/>
  <c r="I55" i="2"/>
</calcChain>
</file>

<file path=xl/sharedStrings.xml><?xml version="1.0" encoding="utf-8"?>
<sst xmlns="http://schemas.openxmlformats.org/spreadsheetml/2006/main" count="1682" uniqueCount="874">
  <si>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</si>
  <si>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</si>
  <si>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</si>
  <si>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</si>
  <si>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</si>
  <si>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</si>
  <si>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</si>
  <si>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</si>
  <si>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</si>
  <si>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Informatikai fejlesztések</t>
  </si>
  <si>
    <t>Környezetvédelmi birság</t>
  </si>
  <si>
    <t>Tartalékok</t>
  </si>
  <si>
    <t xml:space="preserve"> </t>
  </si>
  <si>
    <t>Egyesített Bölcsődei Intézmény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</si>
  <si>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</si>
  <si>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</si>
  <si>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</si>
  <si>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</si>
  <si>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</si>
  <si>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</si>
  <si>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</si>
  <si>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</si>
  <si>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</si>
  <si>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</si>
  <si>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</si>
  <si>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</si>
  <si>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</si>
  <si>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</si>
  <si>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</si>
  <si>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</si>
  <si>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</si>
  <si>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</si>
  <si>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</si>
  <si>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</si>
  <si>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</si>
  <si>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</si>
  <si>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</si>
  <si>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</si>
  <si>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</si>
  <si>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</si>
  <si>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</si>
  <si>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</si>
  <si>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</si>
  <si>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</si>
  <si>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</si>
  <si>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</si>
  <si>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</si>
  <si>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</si>
  <si>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</si>
  <si>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</si>
  <si>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</si>
  <si>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</si>
  <si>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</si>
  <si>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</si>
  <si>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</si>
  <si>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</si>
  <si>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</si>
  <si>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</si>
  <si>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</si>
  <si>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</si>
  <si>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</si>
  <si>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</si>
  <si>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</si>
  <si>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</si>
  <si>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</si>
  <si>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</si>
  <si>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</si>
  <si>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</si>
  <si>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</si>
  <si>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</si>
  <si>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</si>
  <si>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</si>
  <si>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</si>
  <si>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</si>
  <si>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</si>
  <si>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</si>
  <si>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</si>
  <si>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</si>
  <si>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</si>
  <si>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</si>
  <si>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</si>
  <si>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</si>
  <si>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</si>
  <si>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</si>
  <si>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</si>
  <si>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</si>
  <si>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</si>
  <si>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</si>
  <si>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</si>
  <si>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>Savaria Szimfonikus Zenekar összesen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</si>
  <si>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</si>
  <si>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</si>
  <si>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</si>
  <si>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</si>
  <si>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</si>
  <si>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</si>
  <si>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</si>
  <si>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</si>
  <si>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</si>
  <si>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Mesebolt Bábszínház összesen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</si>
  <si>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</si>
  <si>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</si>
  <si>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</si>
  <si>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</si>
  <si>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</si>
  <si>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</si>
  <si>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</si>
  <si>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</si>
  <si>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</si>
  <si>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Berzsenyi Dániel Könyvtár összesen</t>
  </si>
  <si>
    <t xml:space="preserve">Savaria Múzeum </t>
  </si>
  <si>
    <t>Versenyek, rendezvények, támogatások</t>
  </si>
  <si>
    <t>Önkormányzati napközis tábor megszervezése</t>
  </si>
  <si>
    <t>Bérleti díj</t>
  </si>
  <si>
    <t>Szolgalmi joggal terhelt épületrész karbantartása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</si>
  <si>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</si>
  <si>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</si>
  <si>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</si>
  <si>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</si>
  <si>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Rendőrség támogatása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</si>
  <si>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</si>
  <si>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</si>
  <si>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</si>
  <si>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 xml:space="preserve">Felhalmozási célú maradvány 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</si>
  <si>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</si>
  <si>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</si>
  <si>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</si>
  <si>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</si>
  <si>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</si>
  <si>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</si>
  <si>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</si>
  <si>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</si>
  <si>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</si>
  <si>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</si>
  <si>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</si>
  <si>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</si>
  <si>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</si>
  <si>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</si>
  <si>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</si>
  <si>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</si>
  <si>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</si>
  <si>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</si>
  <si>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</si>
  <si>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</si>
  <si>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</si>
  <si>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</si>
  <si>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</si>
  <si>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Savaria Múzeum összesen</t>
  </si>
  <si>
    <t>Horvát nemzetiségi nap támogatás</t>
  </si>
  <si>
    <t>Közterület foglalás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</si>
  <si>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</si>
  <si>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</si>
  <si>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</si>
  <si>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</si>
  <si>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</si>
  <si>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</si>
  <si>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</si>
  <si>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</si>
  <si>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</si>
  <si>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</si>
  <si>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</si>
  <si>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</si>
  <si>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</si>
  <si>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</si>
  <si>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</si>
  <si>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</si>
  <si>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</si>
  <si>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</si>
  <si>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</si>
  <si>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</si>
  <si>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</si>
  <si>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</si>
  <si>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</si>
  <si>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</si>
  <si>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</si>
  <si>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</si>
  <si>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</si>
  <si>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</si>
  <si>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</si>
  <si>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</si>
  <si>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</si>
  <si>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</si>
  <si>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</si>
  <si>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</si>
  <si>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Helyi iparűzési adó</t>
  </si>
  <si>
    <t>Egyéb működési célú bevétel</t>
  </si>
  <si>
    <t>összesen</t>
  </si>
  <si>
    <t>Út-híd fenntartás</t>
  </si>
  <si>
    <t>Szombathelyi Egészségügyi és Kulturális Intézmények GESZ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</si>
  <si>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</si>
  <si>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</si>
  <si>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</si>
  <si>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</si>
  <si>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</si>
  <si>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</si>
  <si>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</si>
  <si>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</si>
  <si>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</si>
  <si>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</si>
  <si>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</si>
  <si>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</si>
  <si>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</si>
  <si>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</si>
  <si>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ezer forintban</t>
  </si>
  <si>
    <t>Savaria Történelmi Karnevál Közhasznú Közalapítvány működési támogatása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</si>
  <si>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</si>
  <si>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</si>
  <si>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</si>
  <si>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</si>
  <si>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</si>
  <si>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</si>
  <si>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</si>
  <si>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</si>
  <si>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</si>
  <si>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</si>
  <si>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</si>
  <si>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</si>
  <si>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</si>
  <si>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</si>
  <si>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</si>
  <si>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</si>
  <si>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</si>
  <si>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</si>
  <si>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</si>
  <si>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</si>
  <si>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</si>
  <si>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</si>
  <si>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</si>
  <si>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</si>
  <si>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</si>
  <si>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</si>
  <si>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</si>
  <si>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</si>
  <si>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</si>
  <si>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</si>
  <si>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</si>
  <si>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</si>
  <si>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</si>
  <si>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</si>
  <si>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</si>
  <si>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</si>
  <si>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</si>
  <si>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</si>
  <si>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</si>
  <si>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</si>
  <si>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</si>
  <si>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</si>
  <si>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</si>
  <si>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</si>
  <si>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</si>
  <si>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</si>
  <si>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</si>
  <si>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</si>
  <si>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</si>
  <si>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</si>
  <si>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</si>
  <si>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</si>
  <si>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</si>
  <si>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</si>
  <si>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</si>
  <si>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</si>
  <si>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</si>
  <si>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</si>
  <si>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</si>
  <si>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</si>
  <si>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</si>
  <si>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</si>
  <si>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</si>
  <si>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</si>
  <si>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</si>
  <si>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</si>
  <si>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</si>
  <si>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</si>
  <si>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</si>
  <si>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</si>
  <si>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</si>
  <si>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</si>
  <si>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</si>
  <si>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</si>
  <si>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</si>
  <si>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</si>
  <si>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</si>
  <si>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</si>
  <si>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</si>
  <si>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</si>
  <si>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</si>
  <si>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</si>
  <si>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</si>
  <si>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</si>
  <si>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</si>
  <si>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</si>
  <si>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</si>
  <si>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</si>
  <si>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</si>
  <si>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</si>
  <si>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</si>
  <si>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</si>
  <si>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</si>
  <si>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</si>
  <si>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</si>
  <si>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</si>
  <si>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</si>
  <si>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</si>
  <si>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</si>
  <si>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</si>
  <si>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</si>
  <si>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</si>
  <si>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</si>
  <si>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</si>
  <si>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</si>
  <si>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</si>
  <si>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</si>
  <si>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</si>
  <si>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</si>
  <si>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</si>
  <si>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</si>
  <si>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</si>
  <si>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</si>
  <si>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</si>
  <si>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</si>
  <si>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</si>
  <si>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</si>
  <si>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</si>
  <si>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</si>
  <si>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</si>
  <si>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</si>
  <si>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</si>
  <si>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</si>
  <si>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</si>
  <si>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</si>
  <si>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</si>
  <si>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>Vásárok bevétele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</si>
  <si>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</si>
  <si>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</si>
  <si>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</si>
  <si>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eredeti előirányzat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</si>
  <si>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</si>
  <si>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</si>
  <si>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</si>
  <si>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</si>
  <si>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</si>
  <si>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Vas Megyei Tudományos Ismeretterjesztő Egyesület támogatása - közművelődési megállapodás</t>
  </si>
  <si>
    <t>Savaria Városfejlesztési Nonprofit Kft. támogatása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</si>
  <si>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</si>
  <si>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</si>
  <si>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</si>
  <si>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</si>
  <si>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</si>
  <si>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</si>
  <si>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>ezer Ft-ban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</si>
  <si>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</si>
  <si>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</si>
  <si>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</si>
  <si>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Bursa Hungarica felsőoktatási ösztöndíj</t>
  </si>
  <si>
    <t>Köznevelési GAMESZ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</si>
  <si>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</si>
  <si>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</si>
  <si>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</si>
  <si>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</si>
  <si>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</si>
  <si>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</si>
  <si>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</si>
  <si>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</si>
  <si>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</si>
  <si>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Víz használati dij</t>
  </si>
  <si>
    <t>Bűnmegelőzési és katasztrófavédelmi kiadások</t>
  </si>
  <si>
    <t>Szombathely, a segítés városa program</t>
  </si>
  <si>
    <t>Padkarendezés</t>
  </si>
  <si>
    <t>Szegélyek javítása, akadálymentesítés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</si>
  <si>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</si>
  <si>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</si>
  <si>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</si>
  <si>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Önkormányzat egyéb kiadásai (Városüzemeltetési, vagyongazdálkodási kiadások)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</si>
  <si>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</si>
  <si>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</si>
  <si>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</si>
  <si>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</si>
  <si>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</si>
  <si>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</si>
  <si>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Szent Márton Smartcity városkártya és portálrendszer üzemeltetése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</si>
  <si>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</si>
  <si>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</si>
  <si>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</si>
  <si>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Egyéb sportcélú kiadások, támogatások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</si>
  <si>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</si>
  <si>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</si>
  <si>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</si>
  <si>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</si>
  <si>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</si>
  <si>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</si>
  <si>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</si>
  <si>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</si>
  <si>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</si>
  <si>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</si>
  <si>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</si>
  <si>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</si>
  <si>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Zeneművészeti szervek támogatása - Savaria Szimfónikus zenekar központi támogatása</t>
  </si>
  <si>
    <t>Helyi önkormányzatok kiegészítő támogatásai összesen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</si>
  <si>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</si>
  <si>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</si>
  <si>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</si>
  <si>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</si>
  <si>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Szociális ágazati összevont pótlék</t>
  </si>
  <si>
    <t>Központi költségvetés részére visszafizetési kötelezettség</t>
  </si>
  <si>
    <t>Közszolgáltatási szerződés helyi közlekedés</t>
  </si>
  <si>
    <t>Zanati Kulturális Egyesület</t>
  </si>
  <si>
    <t>Óvodai ellátó rendszerben prognosztizált munkaerő-hiány kezelése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</si>
  <si>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</si>
  <si>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</si>
  <si>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JUSTNature projekt</t>
  </si>
  <si>
    <t>Savaria Városfejlesztési Kft. - tagi kölcsön visszatérülése</t>
  </si>
  <si>
    <t>Egyéb kulturális rendezvények</t>
  </si>
  <si>
    <t>Egyéb lakásgazdálkodási és szociális kiadások</t>
  </si>
  <si>
    <t>Szombathelyi Szabadidősport rendezvények</t>
  </si>
  <si>
    <t>Évközi tervezések, útfelújítás tervezések, egyéb tervezések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</si>
  <si>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</si>
  <si>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</si>
  <si>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</si>
  <si>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</si>
  <si>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</si>
  <si>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</si>
  <si>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</si>
  <si>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Vásárokhoz kapcsolódó közterület foglalási díjbevétel</t>
  </si>
  <si>
    <t>Országos tanulmányi versenyeken eredményesen szereplő diákok és tanáraik jutalmazása</t>
  </si>
  <si>
    <t>Fogyatékkal Élőket és Hajléktalanokat Ellátó Nkft. támogatása (célja: tüzifa vásárlás)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</si>
  <si>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</si>
  <si>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</si>
  <si>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Bűnmegelőzési és katasztrófavédelmi kiadások; egyéb kiadások, támogatások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</si>
  <si>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</si>
  <si>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</si>
  <si>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</si>
  <si>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</si>
  <si>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Fogyatékkal Élőket és Hajléktalanokat Ellátó Nkft. támogatása</t>
  </si>
  <si>
    <t xml:space="preserve">Vasi Tekesportért Alapítvány 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</si>
  <si>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</si>
  <si>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</si>
  <si>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</si>
  <si>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</si>
  <si>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</si>
  <si>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t>Csatorna fedél javítások</t>
  </si>
  <si>
    <t>TOP Plusz 1.3.1.-00001 Fenntartható városfejlesztés</t>
  </si>
  <si>
    <t>INTERREG Europe OD4GROWTH pályázat</t>
  </si>
  <si>
    <t xml:space="preserve">Identitás program </t>
  </si>
  <si>
    <t xml:space="preserve">INTERREG Europe OD4GROWTH pályázat </t>
  </si>
  <si>
    <t>Ekata rendszer havi díj</t>
  </si>
  <si>
    <t>VDKSZ  működtetés</t>
  </si>
  <si>
    <t>Szombathelypont működtetés</t>
  </si>
  <si>
    <t>Szociális térkép</t>
  </si>
  <si>
    <t>Egyéb rendezvények</t>
  </si>
  <si>
    <t>2024. évi útfelújítási program</t>
  </si>
  <si>
    <t>Savaria Múzeum</t>
  </si>
  <si>
    <t xml:space="preserve">1000 fa program </t>
  </si>
  <si>
    <t>Fenntarthatósági és klímapolitikai célok megvalósulása</t>
  </si>
  <si>
    <t>Jelzőlámpák üzemeltetése és cseréje</t>
  </si>
  <si>
    <t>Közvilágítási elemek karbantartása, kiegészítése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</si>
  <si>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</si>
  <si>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</si>
  <si>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</si>
  <si>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 xml:space="preserve">Szombathelyi Szépítő Egyesület támogatása </t>
  </si>
  <si>
    <t>Japán nap támogatása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</si>
  <si>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</si>
  <si>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</si>
  <si>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</si>
  <si>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 xml:space="preserve">Segély önkormányzati támogatásból </t>
  </si>
  <si>
    <t>Vas Vármegyei Katasztrófavédelmi Igazgatóság - Tűzoltóság támogatása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</si>
  <si>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</si>
  <si>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</si>
  <si>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</si>
  <si>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</si>
  <si>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</si>
  <si>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t>Weöres Sándor Színház Nkft. összesen</t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</si>
  <si>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</si>
  <si>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 xml:space="preserve">1. Városi kulturális intézmények </t>
  </si>
  <si>
    <t>2. Önkormányzati gazdasági társaságok</t>
  </si>
  <si>
    <t xml:space="preserve">Savaria Turizmus Nkft  támogatása </t>
  </si>
  <si>
    <t>2. Önkormányzati gazdasági társaságok összesen</t>
  </si>
  <si>
    <t>I. VÁROSI KULTURÁLIS INTÉZMÉNYEK ÉS ÖNKORMÁNYZATI GAZDASÁGI TÁRSASÁGOK MINDÖSSZESEN (1+2)</t>
  </si>
  <si>
    <t>ÖNKORMÁNYZATI KULTURÁLIS KIADÁSOK</t>
  </si>
  <si>
    <t>3. Kulturális és civil szervezetek támogatása</t>
  </si>
  <si>
    <t>3. Kulturális és civil szervezetek támogatása összesen</t>
  </si>
  <si>
    <t>4. Kulturális és civil alap</t>
  </si>
  <si>
    <t>II. KULTURÁLIS ÉS CIVIL SZERVEZETEK TÁMOGATÁSA ÉS KULTURÁLIS ÉS CIVIL ALAP MINDÖSSZESEN (3+4)</t>
  </si>
  <si>
    <t>5. Városi nagyrendezvények</t>
  </si>
  <si>
    <t>6. Egyéb kulturális rendezvények, programok</t>
  </si>
  <si>
    <t>6. Egyéb kulturális rendezvények, programok összesen</t>
  </si>
  <si>
    <t>III. KULTURÁLIS RENDEZVÉNYEK MINDÖSSZESEN (5+6)</t>
  </si>
  <si>
    <t>EGYÉB KULTURÁLIS KIADÁSOK</t>
  </si>
  <si>
    <t>V. ÖNKORMÁNYZATI KULTURÁLIS KIADÁSOK MINDÖSSZESEN (II+III+IV)</t>
  </si>
  <si>
    <t>VI. KULTURÁLIS ÁGAZAT MŰKÖDÉSI CÉLÚ KIADÁSOK MINDÖSSZESEN (I+V)</t>
  </si>
  <si>
    <t xml:space="preserve">Nyugat-dunántúli Regionális Hulladékgazdálkodási Önkormányzati Társulástól támogatás </t>
  </si>
  <si>
    <t>JustClimate projekt</t>
  </si>
  <si>
    <t>Interreg CE Program - Green LaMiS projekt</t>
  </si>
  <si>
    <t>Megyei Jogú Városok Szövetsége támogatás</t>
  </si>
  <si>
    <t>Nyugat-dunántúli Regionális Hulladékgazdálkodási Önkormányzati Társulás működési hozzájárulás</t>
  </si>
  <si>
    <t>Fenntartható Energia és Klímavédelmi Cselekvési Terv felülvizsgálata (SECAP)</t>
  </si>
  <si>
    <t>Vízközmű- és szennyvízközmű beruházáshoz kapcsolódóan - gördülő fejlesztési tervmódosítás költségei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</si>
  <si>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</si>
  <si>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Egyéb finanszírozási célú bevétel a 2025. évi költségvetési támogatási előleghez</t>
  </si>
  <si>
    <t>Egyéb finanszírozási célú kiadás - 2025.évi költségvetési támogatási előleg</t>
  </si>
  <si>
    <t>Szolidarítási hozzájárulás</t>
  </si>
  <si>
    <t xml:space="preserve">IV. EGYÉB KULTURÁLIS KIADÁSOK MINDÖSSSZESEN </t>
  </si>
  <si>
    <t>Magyar - magyar közösségi tevékenységek támogatása - Közös értékek találkozása Vajdahunyadon projekt</t>
  </si>
  <si>
    <t>CERV-2023-CITIZENS-TOWN-TT projekt - Testre szabott energia</t>
  </si>
  <si>
    <t>Horizon Europe WeGenerate ("Társ város") projekt</t>
  </si>
  <si>
    <t>Pécsi Tudományegyetem támogatás</t>
  </si>
  <si>
    <t xml:space="preserve">Mesebolt Bábszínház </t>
  </si>
  <si>
    <t xml:space="preserve">Savaria Szimfonikus Zenekar </t>
  </si>
  <si>
    <t>1. Városi kulturális intézmények működési kiadásai össezesen</t>
  </si>
  <si>
    <t>Akadálymentesítési koncepció - szakmérnöki vélemények</t>
  </si>
  <si>
    <t>AGORA Savaria Kulturális és Médiaközpont Nkft. támogatása</t>
  </si>
  <si>
    <t xml:space="preserve">Szombathelyi Egyesített Bölcsődei Intézmény </t>
  </si>
  <si>
    <t>Önkormányzati szociális ágazati kiadások összesen</t>
  </si>
  <si>
    <t>Önkormányzati szociális ágazati kiadások</t>
  </si>
  <si>
    <t>Önkormányzati egyészségügyi ágazati kiadásai</t>
  </si>
  <si>
    <t>Önkormányzati egészségügyi ágazati kiadások összesen</t>
  </si>
  <si>
    <t>Önkormányzati gyermekvédelmi ágazati kiadások</t>
  </si>
  <si>
    <t>Önkormányzati gyermekvédelmi ágazati kiadások összesen</t>
  </si>
  <si>
    <t>JustNature projekt</t>
  </si>
  <si>
    <t>JustNature projekt-fordított ÁFA</t>
  </si>
  <si>
    <t>Sárdi-éri iparterületen megvalósuló útfejlesztéshez kapcsolódó ingatlan kisajátítás kiadásai</t>
  </si>
  <si>
    <t>Szombathelyi Szabadidősport Szövetség támogatása - Városi Kispályás Labdarúgó Bajnokság, Városi Tekebajnokság, Nyári lábtenisz bajnokság, Kispályás labdarúgó bajnokság</t>
  </si>
  <si>
    <t>Települési hulladékkezelés és köztisztasági tevékenység, síkosság mentesítés</t>
  </si>
  <si>
    <t>SPORT ÁGAZAT KIADÁSAI MINDÖSSZESEN</t>
  </si>
  <si>
    <t>Önkormányzati sport kitüntetések</t>
  </si>
  <si>
    <t>Szombathelyi Pingvinek Jégkorong Klub támogatása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</si>
  <si>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</si>
  <si>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</si>
  <si>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Szombathelyi Sportközpont és Sportiskola Nonprofit Kft. támogatása</t>
  </si>
  <si>
    <t>FALCO KC Kft. támogatása</t>
  </si>
  <si>
    <t>Gyermek és ifjúsági sport támogatása</t>
  </si>
  <si>
    <t>Sport ágazat kiadásai</t>
  </si>
  <si>
    <t>ELAMEN Zrt. bérleti díj</t>
  </si>
  <si>
    <t>Haladás 1919 Labdarúgó Kft. támogatása</t>
  </si>
  <si>
    <t xml:space="preserve">Söpte Önkormányzatának járó juttatás SZMJV önkormányzati területek után </t>
  </si>
  <si>
    <t>VASIVÍZ ZRt.- Szombathelyi Fedett Uszoda és Termálfürdő  működési támogatása</t>
  </si>
  <si>
    <t>Vármegyei hatókörű városi múzeumok feladatainak támogatása - Savaria Múzeum feladatainak támogatása</t>
  </si>
  <si>
    <t>Vármegyei hatókörű városi könyvtárak feladatainak támogatása - Berzsenyi Dániel könyvtár feladatainak támogatása</t>
  </si>
  <si>
    <t>Szombathely, Akacs M. u. 7. épület utáni bérleti díjbevétel</t>
  </si>
  <si>
    <t>Vármegyeszékhely megyei jogú városok kulturális feladatainak támogatása</t>
  </si>
  <si>
    <t>Vármegyei hatókörű városi könyvtár kistelepülési könyvtári célú kiegészítő támogatása</t>
  </si>
  <si>
    <t>iSi Automotive Hungary Kft. támogatása a 3H jelű autóbusz járat működtetéséhez</t>
  </si>
  <si>
    <t xml:space="preserve">Polgármesteri Hivatal épület felújítás I. ütem - balesetveszély elhárítása </t>
  </si>
  <si>
    <t>Bartók Béla körút híd cél és fővizsgálat</t>
  </si>
  <si>
    <t>Dobó SE támogatása</t>
  </si>
  <si>
    <t>Tartalék - városi cégek, intézmények, szolgáltatások működésére</t>
  </si>
  <si>
    <t xml:space="preserve">Derkovits Városrészért Kulturális és Szociális Egyesület </t>
  </si>
  <si>
    <t>Közlekedési infrastruktúra fejlesztése, fenntartása</t>
  </si>
  <si>
    <t>Önkormányzat működéséhez kapcsolódó, jogszabályon alapuló kiadások, egyéb kiadások</t>
  </si>
  <si>
    <t>Tartalék - a városi kistelepülési célú könyvtárakat megillető kiegészítő állami támogatás - kötött felhasználású támogatás a Berzsenyi D. könyvtár részére</t>
  </si>
  <si>
    <t xml:space="preserve">Tartalék - kulturális intézményekben és cégekben foglalkoztatottak jogszabály szerinti bérjellegű kiadásaira kapott állami támogatás tartaléka </t>
  </si>
  <si>
    <t>Bölcsődék karbantartási kiadásai, játszótéri eszközök beszerzése, cseréje</t>
  </si>
  <si>
    <t>Javasolt</t>
  </si>
  <si>
    <t>módosítás</t>
  </si>
  <si>
    <t xml:space="preserve">Javasolt </t>
  </si>
  <si>
    <t>2025. évi I.sz.</t>
  </si>
  <si>
    <t>Intranet alapú városi hálózat</t>
  </si>
  <si>
    <t>Pénzügyi megállapodás a MÁV Személyszállítási Zrt-vel - törlesztő részlet</t>
  </si>
  <si>
    <t>Pénzügyi megállapodás a MÁV Személyszállítási Zrt-vel - járulékos kiadások</t>
  </si>
  <si>
    <t>I. Települési önkormányzatok működésének általános támogatása</t>
  </si>
  <si>
    <t>Savaria Szimfónikus Zenekar</t>
  </si>
  <si>
    <t>2025. évi II.sz.</t>
  </si>
  <si>
    <t>Települési önkormányzatok kulturális feladatainak bérjellegű támogatása a 682/2021. (XII.6.) korm.rend.-hez kapcsolódó 20% -  központi támogatás</t>
  </si>
  <si>
    <t>Interreg CE Program - Green LaMiS projekt - ERFA támogatás</t>
  </si>
  <si>
    <t>Környezetvédelmi kiadások összesen</t>
  </si>
  <si>
    <t>SZOCIÁLIS FELHALMOZÁSI CÉLÚ KIADÁSOK ÖSSZESEN</t>
  </si>
  <si>
    <t>GYERMEKVÉDELMI FELHALMOZÁSI CÉLÚ KIADÁSOK ÖSSZESEN</t>
  </si>
  <si>
    <t>Felhalmozáci célú pénzeszköz átvétel az MVM Zrt-től a Kálvária utca közműkivigtelezés utáni helyreállítás céljából megállapodás alapján</t>
  </si>
  <si>
    <t>Kálvária utca közműkivigtelezés utáni helyreállítása megállapodás alapján</t>
  </si>
  <si>
    <t>Energiaügyi Minisztérium "Zöld óvoda" program támogatás (Mocorgó Óvoda)</t>
  </si>
  <si>
    <t>Viktória Football Club támogatása</t>
  </si>
  <si>
    <t>NetZeroCities Tanulóvárosi projekt</t>
  </si>
  <si>
    <t xml:space="preserve"> NetZeroCities Tanulóvárosi projekt</t>
  </si>
  <si>
    <t>HVSE támogatás</t>
  </si>
  <si>
    <t>Pénzeszközátadás Dob.u. felújításához</t>
  </si>
  <si>
    <t>Hajdú utca burkolat javítás, felújítása</t>
  </si>
  <si>
    <t>Egységes ügyiratkezelő szoftver az önkormányzat által müködtetett intézményekben - fordított áfa kiadás</t>
  </si>
  <si>
    <r>
      <t xml:space="preserve">Települési önkormányzatok kulturális feladatainak bérjellegű támogatása </t>
    </r>
    <r>
      <rPr>
        <sz val="12"/>
        <rFont val="Calibri"/>
        <family val="2"/>
        <charset val="238"/>
        <scheme val="minor"/>
      </rPr>
      <t>(682/2021.(XII.6.) korm.rend.szerinti 20% és minimálbér és garantált bérminimum emelés)</t>
    </r>
  </si>
  <si>
    <t>2024. évi teljesítés</t>
  </si>
  <si>
    <t xml:space="preserve">2025. évi </t>
  </si>
  <si>
    <t xml:space="preserve">2025. évi III.sz. </t>
  </si>
  <si>
    <t>2025. évi III.sz.</t>
  </si>
  <si>
    <t>Könyvtári érdekeltségnövelő támogatás</t>
  </si>
  <si>
    <t>Települési önkormányzatok kulturális feladatainak bérjellegű támogatása (kulturális területen biztosítandó kiegészítő támogatás) (68/2023.(III.10.) korm.rend.) - minimálbér és garantált bérminimum emelés</t>
  </si>
  <si>
    <t>Kéményseprő ipari közszolgáltatás ellátásának támogatása</t>
  </si>
  <si>
    <t>Központi támogatás elszámolás alapján</t>
  </si>
  <si>
    <t>Energiaügyi Minisztérium - "Zöld óvoda" program támogatás</t>
  </si>
  <si>
    <t>Interreg CE Program - Green LaMiS projekt - hazai támogatás</t>
  </si>
  <si>
    <t>Magyar-magyar közösségi tevékenységek támogatása - Közös értékek találkozása Vajdahunyadon projekt</t>
  </si>
  <si>
    <t>Támogatások elszámolása - ÁH-on belül</t>
  </si>
  <si>
    <t>Termőföld bérbeadásából származó jövedelemadó</t>
  </si>
  <si>
    <t>Egyéb közhatalmi bevételek</t>
  </si>
  <si>
    <t>Tavak haszonbérbe adása</t>
  </si>
  <si>
    <t>Egyéb különféle működési célú bevételek</t>
  </si>
  <si>
    <t>Továbbszámlázott költségek megtérítése</t>
  </si>
  <si>
    <t>Szombathelyi Neumann J.Ált.Isk.területén 3 db műfüves labdarúgó pálya éves karbantartási, továbbszámlázott költségének megtérítése</t>
  </si>
  <si>
    <t>Biztosító térítése egyéb kártérítés, kötbér</t>
  </si>
  <si>
    <t>Árfolyam nyereség - JUSTNATURE projekthez kapcsolódóan</t>
  </si>
  <si>
    <t>Szent Márton kártya értékesítés</t>
  </si>
  <si>
    <t>Prenor Kft. bérleti díj megtérítése 2022-2023. évekre</t>
  </si>
  <si>
    <t>Háziorvosi életpálya modellhez kapcsolódó visszafizetés</t>
  </si>
  <si>
    <t>PRENOR Kft. Tagi kölcsön, bérleti díj után járó kamatbevétel</t>
  </si>
  <si>
    <t>Szombathelyért Közalapítvány tagi kölcsön visszatérülése</t>
  </si>
  <si>
    <t>PRENOR Kft - tagi kölcsön visszatérülése</t>
  </si>
  <si>
    <t>Támogatások elszámolása államháztartáson kívülről</t>
  </si>
  <si>
    <t>Kéményseprő ipari közszolgáltatási támogatás visszafizetése</t>
  </si>
  <si>
    <t>Adventi vásár díszkivilágítás támogatása</t>
  </si>
  <si>
    <t>EIT Urban Mobility TICER pályázat</t>
  </si>
  <si>
    <t>Just Climate projekt</t>
  </si>
  <si>
    <t>Szombathelyi Turisztikai és Testvérvárosi Egyesület</t>
  </si>
  <si>
    <t>Táncverseny</t>
  </si>
  <si>
    <t>HÁROFIT Közhasznú Egyesület - Családok húsvéti ajándékozása</t>
  </si>
  <si>
    <t>HÁROFIT Közhasznú Egyesület - Rászoruló családoknak nyújtott tanévkezdési támogatás</t>
  </si>
  <si>
    <t>Alpokalja Nagycsaládos Egyesület Szombathely részére támogatás</t>
  </si>
  <si>
    <t>Nemzeti Tudósképző Akadémia program</t>
  </si>
  <si>
    <t>Sebész kongresszus</t>
  </si>
  <si>
    <t>Könyvvizsgálói költség</t>
  </si>
  <si>
    <t>Herényi Kulturális és Sportegyesület - 30 éves jubileumi év</t>
  </si>
  <si>
    <t>Képviselő testület tagjai és a bizottsági tagok jogszabály szerinti juttatásai</t>
  </si>
  <si>
    <t>Nyugdíjas Bérlők Háza - használatba vételi díj visszafizetése</t>
  </si>
  <si>
    <t>Tüzoltó nap - "Tüzoltás-mentés" Alapítvány támogatása</t>
  </si>
  <si>
    <t>ELTE támogatás és gazdaságfejlesztés</t>
  </si>
  <si>
    <t>ELTE támogatás</t>
  </si>
  <si>
    <t>Közbeszerzési kiadások</t>
  </si>
  <si>
    <t xml:space="preserve">Vagyongazdálkodási kiadások - szakértők igénybevétele, ügyvédi munkadíj, egyéb kiadások </t>
  </si>
  <si>
    <t>VASIVÍZ ZRT. - Uszoda fenntartás - központi támogatásból</t>
  </si>
  <si>
    <t>VASIVÍZ ZRT: - elsődleges tevékenység támogatása</t>
  </si>
  <si>
    <t>Prenor tagi kölcsön nyújtása</t>
  </si>
  <si>
    <t>Szombathelyi Haladás Labdarúgó és Sportszolgáltató Kft.</t>
  </si>
  <si>
    <t>Nemzetközi Diákjátékok</t>
  </si>
  <si>
    <t>Olimpikonok támogatása</t>
  </si>
  <si>
    <t>Szombathelyi Futóklub Szabadidő Sport Egyesület támogatása</t>
  </si>
  <si>
    <t>Energiaközösség megvalósításának vizsgálata</t>
  </si>
  <si>
    <t>Derkovits lakótelepen parkoló kialakítása</t>
  </si>
  <si>
    <t>Parkolók kialakítása, javítása (Éhen Gyula téri, Szürcsapó u. 6-8. mögötti, Barátság u. 17-19. melletti, Bartók Béla krt. 40. előtti)</t>
  </si>
  <si>
    <t>Lakáskölcsöntörlesztés</t>
  </si>
  <si>
    <t>Ingatlancseréből származó bevétel</t>
  </si>
  <si>
    <t>Nyugdíjas  Bérlők Háza befizetés</t>
  </si>
  <si>
    <t>Árkádia Üzletház Társasház részére Dolgozók u.1/A előtt buszmegálló felújításához nyújtott támogatás</t>
  </si>
  <si>
    <t>Kukulló Kertbarátok Társasága részére külterületi utak burkolat kialakításához és karbantartásához nyújott támogatás</t>
  </si>
  <si>
    <t>Tömjénhegyi Utcai Úttársaság támogatása</t>
  </si>
  <si>
    <t>Vadvirág utcai Polgárjogi Társaság támogatása - Vadvirág u. helyreállítása céljából</t>
  </si>
  <si>
    <t>Ingatlancsere</t>
  </si>
  <si>
    <t>ITM támogatás - Zanati kerékpárút fejlesztése - hozzájárulás</t>
  </si>
  <si>
    <t xml:space="preserve">Körforgalom (Markusovszky u. - Sugár u. - Horváth Boldizsár krt. - Dr. István Lajos krt.) </t>
  </si>
  <si>
    <t>Trafiboxok beszerzése, telepítése</t>
  </si>
  <si>
    <t>Jedlik Ányos Terv - "A" típusú elektromos autótöltő állomások telepítése pályázat (támogatás+önrész)</t>
  </si>
  <si>
    <t>Ipari park tudományos technológiai parkká minősítés</t>
  </si>
  <si>
    <t>Továbbszámlázandó - Megvalósíthatósági tan.kidolg.-Zöld hidrogénen alapuló ökoszisztémafejl.Szhelyen</t>
  </si>
  <si>
    <t>Egyedi önkormányzati informatikai fejlesztések</t>
  </si>
  <si>
    <t>Analóg térfigyelő kamerák cseréje</t>
  </si>
  <si>
    <t>Költségvetési intézmények informatikai fejlesztése</t>
  </si>
  <si>
    <t>eKata vagyongazdálkodási rendszer intézményi kiterjesztés</t>
  </si>
  <si>
    <t>RRF-1.1.2-21-2021-0007 Demográfiai és köznevelési bölcsődei nevelés fejlesztése - Új bölcsőde építése Szombathely Szentkirályi városrészen - hozzájárulás</t>
  </si>
  <si>
    <t>TOP-6.1.5-2019-00002 Ferenczy u. hiányzó szakaszának építése</t>
  </si>
  <si>
    <t>Egyéb finanszírozási célú bevétel a 2024. évi költségvetési támogatási előleghez</t>
  </si>
  <si>
    <t>Egyéb finanszírozási célú bevétel - Lekötött bankbetét feloldása</t>
  </si>
  <si>
    <t>Egyéb finanszírozási célú kiadás - Lekötött bankbetét elhelyezése</t>
  </si>
  <si>
    <t>Egyéb finanszírozási célú kiadás - 2024. évi költségvetési támogatási előleg</t>
  </si>
  <si>
    <t>Finanszírozási műveletek bevétele összesen</t>
  </si>
  <si>
    <t>Finanszírozási műveletek kiadása összesen</t>
  </si>
  <si>
    <t>TOP – PLUSZ -3.4.1-23-SH1-2024-00006 – Gyermekjóléti és szociális alapszolgáltatások fejlesztése</t>
  </si>
  <si>
    <t>TOP – PLUSZ -3.4.1-23-SH1-2024-00005 – Óvoda fejlesztések Szombathelyen</t>
  </si>
  <si>
    <t>TOP – PLUSZ -3.4.1-23-SH1-2024-00004 – Szociális alapszolgáltatások minőségi fejlesztése</t>
  </si>
  <si>
    <t>TOP – PLUSZ -3.4.1-23-SH1-2024-00001 – Szociális alapszolgáltatások fejlesztése</t>
  </si>
  <si>
    <t>TOP – PLUSZ -3.4.1-23-SH1-2024-00002 – Egészségügyi alapellátás fejlesztése</t>
  </si>
  <si>
    <t>TOP – PLUSZ -6.2.1-23-SH1-2024-00001 – Sárdi-éri iparterület fejlesztése, kivezető út építése</t>
  </si>
  <si>
    <t>TOP – PLUSZ -1.3.2-23-SH1-2025-00010 – Belterületi utak korszerűsítése</t>
  </si>
  <si>
    <t>TOP – PLUSZ -1.3.2-23-SH1-2025-00013 – Közúti infrastruktúra fejlesztése</t>
  </si>
  <si>
    <t xml:space="preserve">Közösségi közlekedés fejlesztése és fenntartása </t>
  </si>
  <si>
    <t xml:space="preserve">Minőségi közétkeztetés biztosítása </t>
  </si>
  <si>
    <t xml:space="preserve">Szombathelyi Fedett Uszoda és Termálfürdő fejlesztése és fenntartása </t>
  </si>
  <si>
    <t>INTERREG VI-A AT-HU program - Közös drogprevenciós képzési program kialakítása és megvalósítása az osztrák-magyar határtérségben  - támogatás és hozzájárulás</t>
  </si>
  <si>
    <t>TOP – PLUSZ -1.3.2-23-SH1-2025-00002 – Kerékpárosbarát fejlesztések a déli városrészen</t>
  </si>
  <si>
    <t>TOP – PLUSZ -1.3.2-23-SH1-2025-00004 – Hunyadi út felújítása Szombathelyen I.ütem</t>
  </si>
  <si>
    <t>Vas Megyei Temetkezési Kft. támogatása</t>
  </si>
  <si>
    <t>TOP – PLUSZ -1.3.2-23-SH1-2025-00001 – Parkolási infrastruktúra- és zöldfejlesztés a Derkovits városrészen</t>
  </si>
  <si>
    <t>Megállapodás alapján helyközi autóbuszjáratok helyi tarifával történő igénybevétele-Szombathely, Petőfi telep</t>
  </si>
  <si>
    <t>TOP – PLUSZ -1.3.2-23-SH1-2025-00008 –Hunyadi utca felújítása Szombathelyen II.ütem</t>
  </si>
  <si>
    <t>TOP – PLUSZ -1.3.2-23-SH1-2025-00012 –Belterületi úthálózat fejlesztése</t>
  </si>
  <si>
    <t>TOP – PLUSZ -1.3.2-23-SH1-2025-00011 –Markusovszky L. u. felújítása</t>
  </si>
  <si>
    <t>Bloomsday fesztivál támogatása</t>
  </si>
  <si>
    <t>Alpok Energia Kereskedelmi és Szolgáltató kft.támogatása</t>
  </si>
  <si>
    <t>Széll K. u. 51. sz. térfigyelő kamera telepítéséhez társasházak hozzájárulása</t>
  </si>
  <si>
    <t>Széll K. u. 51. sz. térfigyelő kamera telepítése</t>
  </si>
  <si>
    <t>Hulladékgazdálkodási feladatok ellátásához kapcsolódó önkormányatot megillető pénzügyi juttatás (MOHU-tól)</t>
  </si>
  <si>
    <t>Hulladékkezelési díj</t>
  </si>
  <si>
    <t>Zöld hidrogénen alapuló ökoszisztéma fejlesztése Szombathelyen</t>
  </si>
  <si>
    <t>Ingatlan cseréből származó áfa bevétel</t>
  </si>
  <si>
    <t>Szalézi Rendház Szombathely támogatása (nyári napközis tábor)</t>
  </si>
  <si>
    <t xml:space="preserve">Közösségi Bérlakás Rendszert népszerűsítő kampány                            </t>
  </si>
  <si>
    <t>Versenyképes Járások Program</t>
  </si>
  <si>
    <t>INTERREG VI-A AT-HU 0200115  program - Közös drogprevenció képzési program és megvalósítása az osztrák-magyar határtérségben</t>
  </si>
  <si>
    <t>Pénzeszköz átadás a Nyugat-dunántúli Vízügyi Igazgatóság részére  - Pap árok mederrendezés</t>
  </si>
  <si>
    <t>Sárdi-éri iparterületen megvalósuló útfejlesztéshez kapcsolódó ingatlan kisajátítás kiadásai - fordított áfa kiadás</t>
  </si>
  <si>
    <t>Állami és önkormányzati adatbázisok használati, továbbvezetési, karbantartási és szolgáltatási díja - fordított áfa kiadás</t>
  </si>
  <si>
    <t xml:space="preserve">2024. évi </t>
  </si>
  <si>
    <t xml:space="preserve"> teljesítés</t>
  </si>
  <si>
    <t>eredeti</t>
  </si>
  <si>
    <t xml:space="preserve"> előirányzat</t>
  </si>
  <si>
    <t>módosított</t>
  </si>
  <si>
    <t>előirányzat</t>
  </si>
  <si>
    <t>teljesítés</t>
  </si>
  <si>
    <r>
      <t>Szombathelyi Egészségügyi és Kulturális Intézmények GESZ</t>
    </r>
    <r>
      <rPr>
        <b/>
        <sz val="16"/>
        <rFont val="Calibri"/>
        <family val="2"/>
        <charset val="238"/>
      </rPr>
      <t xml:space="preserve"> </t>
    </r>
  </si>
  <si>
    <r>
      <t>Szombathelyi Egészségügyi és Kulturális Intézmények GESZ</t>
    </r>
    <r>
      <rPr>
        <sz val="16"/>
        <rFont val="Calibri"/>
        <family val="2"/>
        <charset val="238"/>
      </rPr>
      <t xml:space="preserve"> </t>
    </r>
  </si>
  <si>
    <t>TOP – PLUSZ -3.4.1-23-SH1-2024-00003 – Bölcsődék fejlesztése Szombathelyen</t>
  </si>
  <si>
    <t>Szombathely Megyei Jogú Város Önkormányzata 2025. évi III. számú módosítgott előirányzat felhasználási terve</t>
  </si>
  <si>
    <t>Szombathely Megyei  Jogú Város Önkormányzata 2025. évi III. számú módosított előirányzat felhasználási terve</t>
  </si>
  <si>
    <t xml:space="preserve">2025. évi III. sz. módosított kiadásai kiemelt előirányzatonként </t>
  </si>
  <si>
    <t xml:space="preserve">2025. évi III. sz. módosított bevételei  kiemelt előirányzatonként </t>
  </si>
  <si>
    <t>Költségvetési szervek 2025. évi bevételei</t>
  </si>
  <si>
    <t xml:space="preserve">I N T É Z M É N Y                               </t>
  </si>
  <si>
    <t>Működési célú átvett  pénzeszközök</t>
  </si>
  <si>
    <t>Saját bevételek összesen</t>
  </si>
  <si>
    <t>Előző év költségvetési maradványának igénybevétele</t>
  </si>
  <si>
    <t xml:space="preserve">Központi irányítószervtől kapott támogatás </t>
  </si>
  <si>
    <t xml:space="preserve">     Költségvetési bevételek összesen</t>
  </si>
  <si>
    <t>2025.</t>
  </si>
  <si>
    <t>2025. évi II. sz. módosított előirányzat</t>
  </si>
  <si>
    <t>Javasolt módosítás</t>
  </si>
  <si>
    <t>2025. évi III.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</si>
  <si>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</si>
  <si>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</si>
  <si>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</si>
  <si>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</si>
  <si>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</si>
  <si>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</si>
  <si>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</si>
  <si>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</si>
  <si>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</si>
  <si>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</si>
  <si>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</si>
  <si>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</si>
  <si>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</si>
  <si>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</si>
  <si>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</si>
  <si>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</si>
  <si>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</si>
  <si>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</si>
  <si>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Benczúr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</si>
  <si>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</si>
  <si>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</si>
  <si>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</si>
  <si>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</si>
  <si>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</si>
  <si>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</si>
  <si>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Savaria Szimfonikus Zenekar</t>
  </si>
  <si>
    <t>Berzsenyi Dániel Könyvtár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</si>
  <si>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</si>
  <si>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</si>
  <si>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</si>
  <si>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</si>
  <si>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</si>
  <si>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>Egyéb intézmények</t>
  </si>
  <si>
    <t xml:space="preserve">Összesen                                 </t>
  </si>
  <si>
    <t>Nem oktatási intézmények összesen</t>
  </si>
  <si>
    <t>Intézmények mindösszesen</t>
  </si>
  <si>
    <t>Költségvetési szervek 2025. évi kiadásai</t>
  </si>
  <si>
    <t>I N T É Z M É N Y</t>
  </si>
  <si>
    <t>Beruházás</t>
  </si>
  <si>
    <t>Felújítás</t>
  </si>
  <si>
    <t>Költségvetési kiadások összesen</t>
  </si>
  <si>
    <t>Szociális intézmények</t>
  </si>
  <si>
    <t>Egyéb intézmény</t>
  </si>
  <si>
    <t>Szombathelyi Városi Vásárcsarnok</t>
  </si>
  <si>
    <t>Szombathely Megyei Jogú Város Önkormányzatának</t>
  </si>
  <si>
    <t>2025. évi  engedélyezett létszámelőirányzata</t>
  </si>
  <si>
    <t>fő</t>
  </si>
  <si>
    <t>Intézmény</t>
  </si>
  <si>
    <t>2025. évi I. sz. módosított előirányzat</t>
  </si>
  <si>
    <t>2025. évi III. sz. módosított előirányzat funkciócsoportokba sorolt létszám megoszlása bérrendszerek szerint</t>
  </si>
  <si>
    <t>2024. évi záró előirányzat</t>
  </si>
  <si>
    <t>2025. évi eredeti előirányzat</t>
  </si>
  <si>
    <t>Köztisztviselők</t>
  </si>
  <si>
    <t>Egészségügyi szolgálati jogviszonyban foglalkoztatottak</t>
  </si>
  <si>
    <t>Közalkalmazottak</t>
  </si>
  <si>
    <t>Pedagógus életpálya alapján foglalkoztatottak</t>
  </si>
  <si>
    <t>Munka Törvénykönyve hatálya alá tartozók</t>
  </si>
  <si>
    <t>Választott tisztségviselők</t>
  </si>
  <si>
    <t>ebből: 
közfoglalkoztatottak</t>
  </si>
  <si>
    <t>Ó v o d á k :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</si>
  <si>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</si>
  <si>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</si>
  <si>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</si>
  <si>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</si>
  <si>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</si>
  <si>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</si>
  <si>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 xml:space="preserve">Összesen                                       </t>
  </si>
  <si>
    <t>Szombathely Megyei Jogú Város Önkormányzata általános működésének és ágazati feladatainak támogatása</t>
  </si>
  <si>
    <t>és a helyi önkormányzatok kiegészítő támogatásai</t>
  </si>
  <si>
    <t>MEGNEVEZÉS</t>
  </si>
  <si>
    <t>2024. év  teljesítés</t>
  </si>
  <si>
    <t xml:space="preserve">2025. év  eredeti előirányzat </t>
  </si>
  <si>
    <t xml:space="preserve">2025. év  I. sz. módosított előirányzat </t>
  </si>
  <si>
    <t xml:space="preserve">2025. év  II. sz. módosított előirányzat </t>
  </si>
  <si>
    <t xml:space="preserve">2025. év  III. sz. módosított előirányzat 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</si>
  <si>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</si>
  <si>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</si>
  <si>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</si>
  <si>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</si>
  <si>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</si>
  <si>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</si>
  <si>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</si>
  <si>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</si>
  <si>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</si>
  <si>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</si>
  <si>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</si>
  <si>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</si>
  <si>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</si>
  <si>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</si>
  <si>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</si>
  <si>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1.2.3. Kiegészítő támogatás a pedagógusok és a pedagógus szakképzettséggel rendelkező segítők  minosítésébol adódó többletkiadásaihoz</t>
  </si>
  <si>
    <t>1.2.3.1. Napi 8 órát elérő nyitvatartási idővel rendelkező óvodában foglalkoztatott</t>
  </si>
  <si>
    <t>1.2.3.1.1.Alapfokozatú végzettségű</t>
  </si>
  <si>
    <t>1.2.3.1.1.1. Pedagógus II.kategóriába sorolt pedagógusok , ped.szakképzettséggel rendelkező segítők kiegészítő támogatása</t>
  </si>
  <si>
    <t xml:space="preserve">                               ebből  - óvodák</t>
  </si>
  <si>
    <t xml:space="preserve">                                          -  Egyesített Bölcsődei Intézmény</t>
  </si>
  <si>
    <t>1.2.3.1.1.2. Mesterpedagógus, kutatótanár kategóriába sorolt pedagógusok kiegészítő támogatása</t>
  </si>
  <si>
    <t>1.2.3.1.2. Mesterfokú végzettségű</t>
  </si>
  <si>
    <t>1.2.3.1.2.1. Pedagógus II.kategóriába sorolt pedagógusok , ped.szakképzettséggel rendelkező segítők kiegészítő támogatása</t>
  </si>
  <si>
    <t>1.2.3.1.2.2. Mesterpedagógus, kutatótanár kategóriába sorolt pedagógusok kiegészítő támogatása</t>
  </si>
  <si>
    <t>1.2.4. Nemzetiségi pótlék</t>
  </si>
  <si>
    <t>1.2.4.1. Napi 8 órát elérő nyitvatartási idővel rendelkező óvodában foglalkoztatott</t>
  </si>
  <si>
    <t>1.2.4.1.1.Nemzetiségi pótlékban részesülő pedagógus - pótlék felső határa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</si>
  <si>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</si>
  <si>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</si>
  <si>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</si>
  <si>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</si>
  <si>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</si>
  <si>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</si>
  <si>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</si>
  <si>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</si>
  <si>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</si>
  <si>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</si>
  <si>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</si>
  <si>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</si>
  <si>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</si>
  <si>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>1.3.2.4.2. Házi segítségnyújtás- személyi gondozás -önálló feladatellátás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</si>
  <si>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</si>
  <si>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</si>
  <si>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</si>
  <si>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bértámogatás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</si>
  <si>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</si>
  <si>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</si>
  <si>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</si>
  <si>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1.3.3. Bölcsőde, mini bölcsőde támogatása összesen</t>
  </si>
  <si>
    <t>1.3.4. Települési önkormányzatok által biztosított egyes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</si>
  <si>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</si>
  <si>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</si>
  <si>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egyes szoc.szakosított ellátsok, valamint a gyermekek átmeneti gondozásával kapcsolatos feladatok támogatása összesen</t>
  </si>
  <si>
    <t>1.3. TELEPÜLÉSI ÖNKORMÁNYZATOK EGYES SZOCIÁLIS ÉS GYERMEKJÓLÉTI FELADATAINAK TÁMOGATÁSA ÖSSZESEN</t>
  </si>
  <si>
    <t>1.4. TELEPÜLÉSI ÖNKORMÁNYZATOK GYERMEKÉTKEZTETÉSI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</si>
  <si>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</si>
  <si>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</si>
  <si>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</si>
  <si>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</si>
  <si>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GYERMEKÉTKEZTETÉSI FELADATAINAK TÁMOGATÁSA ÖSSZESEN</t>
  </si>
  <si>
    <t xml:space="preserve">1.5. A TELEPÜLÉSI ÖNKORMÁNYZATOK KULTURÁLIS FELADATAINAK TÁMOGATÁSA </t>
  </si>
  <si>
    <t>1.5.1. Vármegyeszékhely megyei jogú városok kulturális  feladatainak támogatása</t>
  </si>
  <si>
    <t>1.5.5. Vármegyei hatókörű városi könyvtár kistelepülési könyvtári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</si>
  <si>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</si>
  <si>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</si>
  <si>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(Költségvetési törvény 3. melléklet)</t>
  </si>
  <si>
    <t>2.3.2. Szociális ágazati pótlék és egészségügyi kiegészítő pótlék</t>
  </si>
  <si>
    <t>Egyes szociális és gyermekjóléti feldatok működési célú támogatása összesen</t>
  </si>
  <si>
    <t>2.4.2. Vármegyei hatókörű városi múzeumok feladatainak támogatása</t>
  </si>
  <si>
    <t>2.4.3. Vármegyei hatókörű városi  könyvtárak feladatainak támogatása</t>
  </si>
  <si>
    <t>2.4.8.Könyvtári érdekeltségnövelő támogatás</t>
  </si>
  <si>
    <t xml:space="preserve">2.4.7.  Települési önkormányzatok kulturális feladatainak bérjellegű támogatása  </t>
  </si>
  <si>
    <t xml:space="preserve">2.4.6.  Zeneművészeti szervezetek  támogatása  </t>
  </si>
  <si>
    <t>Kulturális feladatok támogatása összesen</t>
  </si>
  <si>
    <t>A kéményseprő ipari közszolgáltatás helyi önkormányzat általi ellátásának támogatása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</si>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</sst>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92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i/>
      <sz val="20"/>
      <name val="Arial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sz val="12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</font>
    <font>
      <i/>
      <sz val="20"/>
      <name val="Calibri"/>
      <family val="2"/>
      <charset val="238"/>
      <scheme val="minor"/>
    </font>
    <font>
      <b/>
      <i/>
      <sz val="18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i/>
      <u/>
      <sz val="14"/>
      <name val="Calibri"/>
      <family val="2"/>
      <charset val="238"/>
      <scheme val="minor"/>
    </font>
    <font>
      <i/>
      <u/>
      <sz val="14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i/>
      <u/>
      <sz val="20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20"/>
      <name val="Times New Roman CE"/>
      <charset val="238"/>
    </font>
    <font>
      <b/>
      <sz val="36"/>
      <name val="Calibri"/>
      <family val="2"/>
      <charset val="238"/>
      <scheme val="minor"/>
    </font>
    <font>
      <b/>
      <sz val="36"/>
      <name val="Arial CE"/>
      <charset val="238"/>
    </font>
    <font>
      <b/>
      <sz val="3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28"/>
      <name val="Arial CE"/>
      <charset val="238"/>
    </font>
    <font>
      <b/>
      <sz val="28"/>
      <color indexed="10"/>
      <name val="Arial CE"/>
      <charset val="238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sz val="36"/>
      <color rgb="FFFF0000"/>
      <name val="Calibri"/>
      <family val="2"/>
      <charset val="238"/>
      <scheme val="minor"/>
    </font>
    <font>
      <sz val="28"/>
      <color indexed="10"/>
      <name val="Calibri"/>
      <family val="2"/>
      <charset val="238"/>
      <scheme val="minor"/>
    </font>
    <font>
      <b/>
      <sz val="26"/>
      <name val="Arial CE"/>
      <family val="2"/>
      <charset val="238"/>
    </font>
    <font>
      <b/>
      <sz val="26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22"/>
      <name val="Calibri"/>
      <family val="2"/>
      <charset val="238"/>
      <scheme val="minor"/>
    </font>
    <font>
      <b/>
      <u/>
      <sz val="26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u/>
      <sz val="28"/>
      <name val="Calibri"/>
      <family val="2"/>
      <charset val="238"/>
      <scheme val="minor"/>
    </font>
    <font>
      <b/>
      <sz val="16"/>
      <color indexed="10"/>
      <name val="Calibri"/>
      <family val="2"/>
      <charset val="238"/>
      <scheme val="minor"/>
    </font>
    <font>
      <b/>
      <sz val="16"/>
      <color indexed="10"/>
      <name val="Arial CE"/>
      <family val="2"/>
      <charset val="238"/>
    </font>
    <font>
      <b/>
      <sz val="26"/>
      <color indexed="10"/>
      <name val="Calibri"/>
      <family val="2"/>
      <charset val="238"/>
      <scheme val="minor"/>
    </font>
    <font>
      <b/>
      <sz val="26"/>
      <color indexed="10"/>
      <name val="Arial CE"/>
      <family val="2"/>
      <charset val="238"/>
    </font>
    <font>
      <b/>
      <sz val="22"/>
      <name val="Calibri"/>
      <family val="2"/>
      <charset val="238"/>
    </font>
    <font>
      <b/>
      <sz val="22"/>
      <color theme="1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22"/>
      <color theme="1"/>
      <name val="Calibri"/>
      <family val="2"/>
      <charset val="238"/>
    </font>
    <font>
      <sz val="22"/>
      <color indexed="8"/>
      <name val="Calibri"/>
      <family val="2"/>
      <charset val="238"/>
    </font>
    <font>
      <sz val="22"/>
      <name val="Calibri"/>
      <family val="2"/>
      <charset val="238"/>
    </font>
    <font>
      <b/>
      <i/>
      <sz val="22"/>
      <name val="Calibri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66FFFF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/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6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8" fillId="6" borderId="0" applyNumberFormat="0" applyBorder="0" applyAlignment="0" applyProtection="0"/>
    <xf numFmtId="0" fontId="16" fillId="8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7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48" fillId="0" borderId="0"/>
    <xf numFmtId="0" fontId="3" fillId="0" borderId="0"/>
    <xf numFmtId="0" fontId="47" fillId="0" borderId="0"/>
    <xf numFmtId="0" fontId="23" fillId="0" borderId="0"/>
    <xf numFmtId="0" fontId="1" fillId="0" borderId="0"/>
  </cellStyleXfs>
  <cellXfs count="1081">
    <xf numFmtId="0" fontId="0" fillId="0" borderId="0" xfId="0"/>
    <xf numFmtId="0" fontId="29" fillId="0" borderId="19" xfId="0" applyFont="1" applyBorder="1" applyAlignment="1">
      <alignment wrapText="1"/>
    </xf>
    <xf numFmtId="0" fontId="30" fillId="0" borderId="0" xfId="0" applyFont="1" applyAlignment="1">
      <alignment wrapText="1"/>
    </xf>
    <xf numFmtId="0" fontId="30" fillId="0" borderId="20" xfId="0" applyFont="1" applyBorder="1" applyAlignment="1">
      <alignment wrapText="1"/>
    </xf>
    <xf numFmtId="0" fontId="29" fillId="0" borderId="19" xfId="0" applyFont="1" applyBorder="1"/>
    <xf numFmtId="0" fontId="29" fillId="0" borderId="0" xfId="0" applyFont="1"/>
    <xf numFmtId="0" fontId="30" fillId="0" borderId="19" xfId="0" applyFont="1" applyBorder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/>
    <xf numFmtId="0" fontId="32" fillId="0" borderId="0" xfId="0" applyFont="1"/>
    <xf numFmtId="3" fontId="34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right"/>
    </xf>
    <xf numFmtId="3" fontId="33" fillId="0" borderId="26" xfId="0" applyNumberFormat="1" applyFont="1" applyBorder="1" applyAlignment="1">
      <alignment horizontal="center"/>
    </xf>
    <xf numFmtId="0" fontId="30" fillId="0" borderId="20" xfId="0" applyFont="1" applyBorder="1"/>
    <xf numFmtId="3" fontId="32" fillId="0" borderId="22" xfId="0" applyNumberFormat="1" applyFont="1" applyBorder="1"/>
    <xf numFmtId="0" fontId="30" fillId="0" borderId="33" xfId="0" applyFont="1" applyBorder="1"/>
    <xf numFmtId="3" fontId="29" fillId="0" borderId="0" xfId="0" applyNumberFormat="1" applyFont="1"/>
    <xf numFmtId="0" fontId="34" fillId="0" borderId="0" xfId="0" applyFont="1" applyAlignment="1">
      <alignment horizontal="left"/>
    </xf>
    <xf numFmtId="0" fontId="34" fillId="0" borderId="41" xfId="0" applyFont="1" applyBorder="1"/>
    <xf numFmtId="0" fontId="30" fillId="0" borderId="0" xfId="48" applyFont="1"/>
    <xf numFmtId="0" fontId="30" fillId="0" borderId="29" xfId="0" applyFont="1" applyBorder="1" applyAlignment="1">
      <alignment horizontal="left"/>
    </xf>
    <xf numFmtId="3" fontId="37" fillId="0" borderId="0" xfId="0" applyNumberFormat="1" applyFont="1"/>
    <xf numFmtId="0" fontId="33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31" fillId="0" borderId="0" xfId="0" applyFont="1"/>
    <xf numFmtId="3" fontId="31" fillId="0" borderId="0" xfId="0" applyNumberFormat="1" applyFont="1"/>
    <xf numFmtId="0" fontId="31" fillId="0" borderId="29" xfId="0" applyFont="1" applyBorder="1"/>
    <xf numFmtId="0" fontId="33" fillId="0" borderId="29" xfId="0" applyFont="1" applyBorder="1"/>
    <xf numFmtId="0" fontId="33" fillId="0" borderId="0" xfId="0" applyFont="1"/>
    <xf numFmtId="0" fontId="33" fillId="0" borderId="24" xfId="0" applyFont="1" applyBorder="1" applyAlignment="1">
      <alignment horizontal="left"/>
    </xf>
    <xf numFmtId="0" fontId="31" fillId="0" borderId="25" xfId="0" applyFont="1" applyBorder="1"/>
    <xf numFmtId="0" fontId="33" fillId="0" borderId="25" xfId="0" applyFont="1" applyBorder="1"/>
    <xf numFmtId="0" fontId="31" fillId="0" borderId="28" xfId="0" applyFont="1" applyBorder="1"/>
    <xf numFmtId="0" fontId="33" fillId="0" borderId="29" xfId="0" applyFont="1" applyBorder="1" applyAlignment="1">
      <alignment horizontal="left"/>
    </xf>
    <xf numFmtId="3" fontId="33" fillId="0" borderId="30" xfId="0" applyNumberFormat="1" applyFont="1" applyBorder="1" applyAlignment="1">
      <alignment horizontal="center"/>
    </xf>
    <xf numFmtId="0" fontId="34" fillId="0" borderId="19" xfId="0" applyFont="1" applyBorder="1"/>
    <xf numFmtId="0" fontId="39" fillId="0" borderId="0" xfId="0" applyFont="1"/>
    <xf numFmtId="0" fontId="40" fillId="0" borderId="0" xfId="0" applyFont="1"/>
    <xf numFmtId="0" fontId="29" fillId="0" borderId="48" xfId="0" applyFont="1" applyBorder="1"/>
    <xf numFmtId="0" fontId="29" fillId="0" borderId="0" xfId="0" applyFont="1" applyAlignment="1">
      <alignment wrapText="1"/>
    </xf>
    <xf numFmtId="0" fontId="29" fillId="0" borderId="50" xfId="0" applyFont="1" applyBorder="1"/>
    <xf numFmtId="0" fontId="29" fillId="0" borderId="50" xfId="0" applyFont="1" applyBorder="1" applyAlignment="1">
      <alignment wrapText="1"/>
    </xf>
    <xf numFmtId="0" fontId="30" fillId="0" borderId="21" xfId="0" applyFont="1" applyBorder="1"/>
    <xf numFmtId="0" fontId="30" fillId="0" borderId="52" xfId="0" applyFont="1" applyBorder="1"/>
    <xf numFmtId="3" fontId="30" fillId="0" borderId="33" xfId="0" applyNumberFormat="1" applyFont="1" applyBorder="1" applyProtection="1">
      <protection locked="0"/>
    </xf>
    <xf numFmtId="3" fontId="30" fillId="0" borderId="20" xfId="0" applyNumberFormat="1" applyFont="1" applyBorder="1" applyAlignment="1" applyProtection="1">
      <alignment wrapText="1"/>
      <protection locked="0"/>
    </xf>
    <xf numFmtId="0" fontId="29" fillId="0" borderId="52" xfId="0" applyFont="1" applyBorder="1"/>
    <xf numFmtId="0" fontId="29" fillId="0" borderId="54" xfId="0" applyFont="1" applyBorder="1"/>
    <xf numFmtId="0" fontId="29" fillId="0" borderId="29" xfId="0" applyFont="1" applyBorder="1" applyAlignment="1">
      <alignment horizontal="left"/>
    </xf>
    <xf numFmtId="0" fontId="34" fillId="0" borderId="29" xfId="0" applyFont="1" applyBorder="1" applyAlignment="1">
      <alignment horizontal="left"/>
    </xf>
    <xf numFmtId="0" fontId="30" fillId="0" borderId="41" xfId="0" applyFont="1" applyBorder="1" applyAlignment="1">
      <alignment horizontal="left"/>
    </xf>
    <xf numFmtId="3" fontId="30" fillId="0" borderId="20" xfId="0" applyNumberFormat="1" applyFont="1" applyBorder="1"/>
    <xf numFmtId="0" fontId="34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55" xfId="0" applyFont="1" applyBorder="1"/>
    <xf numFmtId="0" fontId="29" fillId="0" borderId="54" xfId="0" applyFont="1" applyBorder="1" applyAlignment="1">
      <alignment horizontal="left"/>
    </xf>
    <xf numFmtId="0" fontId="34" fillId="0" borderId="54" xfId="0" applyFont="1" applyBorder="1" applyAlignment="1">
      <alignment horizontal="left"/>
    </xf>
    <xf numFmtId="0" fontId="34" fillId="0" borderId="24" xfId="0" applyFont="1" applyBorder="1"/>
    <xf numFmtId="0" fontId="29" fillId="0" borderId="25" xfId="0" applyFont="1" applyBorder="1"/>
    <xf numFmtId="0" fontId="29" fillId="0" borderId="0" xfId="0" applyFont="1" applyAlignment="1">
      <alignment horizontal="left"/>
    </xf>
    <xf numFmtId="0" fontId="34" fillId="0" borderId="0" xfId="48" applyFont="1" applyAlignment="1">
      <alignment horizontal="left"/>
    </xf>
    <xf numFmtId="0" fontId="34" fillId="0" borderId="44" xfId="0" applyFont="1" applyBorder="1"/>
    <xf numFmtId="0" fontId="29" fillId="0" borderId="41" xfId="0" applyFont="1" applyBorder="1" applyAlignment="1">
      <alignment horizontal="left"/>
    </xf>
    <xf numFmtId="0" fontId="30" fillId="0" borderId="25" xfId="0" applyFont="1" applyBorder="1"/>
    <xf numFmtId="0" fontId="29" fillId="0" borderId="19" xfId="0" applyFont="1" applyBorder="1" applyAlignment="1">
      <alignment horizontal="left"/>
    </xf>
    <xf numFmtId="0" fontId="30" fillId="0" borderId="33" xfId="0" applyFont="1" applyBorder="1" applyAlignment="1">
      <alignment horizontal="left"/>
    </xf>
    <xf numFmtId="0" fontId="29" fillId="0" borderId="33" xfId="0" applyFont="1" applyBorder="1" applyAlignment="1">
      <alignment horizontal="left"/>
    </xf>
    <xf numFmtId="3" fontId="31" fillId="0" borderId="0" xfId="0" applyNumberFormat="1" applyFont="1" applyAlignment="1">
      <alignment horizontal="right"/>
    </xf>
    <xf numFmtId="0" fontId="33" fillId="0" borderId="26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1" fillId="0" borderId="32" xfId="0" applyFont="1" applyBorder="1" applyAlignment="1">
      <alignment wrapText="1"/>
    </xf>
    <xf numFmtId="0" fontId="31" fillId="0" borderId="32" xfId="0" applyFont="1" applyBorder="1" applyAlignment="1">
      <alignment horizontal="justify"/>
    </xf>
    <xf numFmtId="0" fontId="31" fillId="0" borderId="34" xfId="0" applyFont="1" applyBorder="1" applyAlignment="1">
      <alignment horizontal="justify"/>
    </xf>
    <xf numFmtId="3" fontId="33" fillId="0" borderId="0" xfId="0" applyNumberFormat="1" applyFont="1"/>
    <xf numFmtId="0" fontId="33" fillId="0" borderId="24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7" fillId="0" borderId="0" xfId="0" applyFont="1"/>
    <xf numFmtId="0" fontId="34" fillId="0" borderId="0" xfId="0" applyFont="1" applyAlignment="1">
      <alignment horizontal="center"/>
    </xf>
    <xf numFmtId="0" fontId="31" fillId="0" borderId="30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9" fillId="0" borderId="27" xfId="0" applyFont="1" applyBorder="1" applyAlignment="1">
      <alignment horizontal="left"/>
    </xf>
    <xf numFmtId="3" fontId="32" fillId="0" borderId="22" xfId="0" applyNumberFormat="1" applyFont="1" applyBorder="1" applyAlignment="1">
      <alignment wrapText="1"/>
    </xf>
    <xf numFmtId="0" fontId="31" fillId="0" borderId="34" xfId="0" applyFont="1" applyBorder="1"/>
    <xf numFmtId="0" fontId="33" fillId="0" borderId="38" xfId="0" applyFont="1" applyBorder="1"/>
    <xf numFmtId="3" fontId="31" fillId="0" borderId="60" xfId="51" applyNumberFormat="1" applyFont="1" applyBorder="1" applyAlignment="1">
      <alignment horizontal="justify" wrapText="1"/>
    </xf>
    <xf numFmtId="3" fontId="31" fillId="0" borderId="34" xfId="51" applyNumberFormat="1" applyFont="1" applyBorder="1" applyAlignment="1">
      <alignment horizontal="justify" vertical="top" wrapText="1"/>
    </xf>
    <xf numFmtId="0" fontId="33" fillId="0" borderId="42" xfId="0" applyFont="1" applyBorder="1"/>
    <xf numFmtId="3" fontId="31" fillId="0" borderId="22" xfId="51" applyNumberFormat="1" applyFont="1" applyBorder="1" applyAlignment="1">
      <alignment horizontal="justify" vertical="top" wrapText="1"/>
    </xf>
    <xf numFmtId="3" fontId="31" fillId="0" borderId="60" xfId="51" applyNumberFormat="1" applyFont="1" applyBorder="1" applyAlignment="1">
      <alignment horizontal="justify" vertical="top" wrapText="1"/>
    </xf>
    <xf numFmtId="3" fontId="31" fillId="0" borderId="59" xfId="51" applyNumberFormat="1" applyFont="1" applyBorder="1" applyAlignment="1">
      <alignment horizontal="justify" vertical="top" wrapText="1"/>
    </xf>
    <xf numFmtId="0" fontId="33" fillId="0" borderId="44" xfId="0" applyFont="1" applyBorder="1"/>
    <xf numFmtId="0" fontId="33" fillId="0" borderId="19" xfId="0" applyFont="1" applyBorder="1"/>
    <xf numFmtId="0" fontId="34" fillId="0" borderId="38" xfId="0" applyFont="1" applyBorder="1"/>
    <xf numFmtId="0" fontId="33" fillId="0" borderId="0" xfId="0" applyFont="1" applyAlignment="1">
      <alignment horizontal="center"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horizontal="right" wrapText="1"/>
    </xf>
    <xf numFmtId="0" fontId="33" fillId="0" borderId="26" xfId="0" applyFont="1" applyBorder="1" applyAlignment="1">
      <alignment horizontal="center" wrapText="1"/>
    </xf>
    <xf numFmtId="0" fontId="33" fillId="0" borderId="30" xfId="0" applyFont="1" applyBorder="1" applyAlignment="1">
      <alignment horizontal="center" wrapText="1"/>
    </xf>
    <xf numFmtId="0" fontId="31" fillId="27" borderId="32" xfId="0" applyFont="1" applyFill="1" applyBorder="1" applyAlignment="1">
      <alignment horizontal="justify" wrapText="1"/>
    </xf>
    <xf numFmtId="0" fontId="39" fillId="0" borderId="24" xfId="0" applyFont="1" applyBorder="1" applyAlignment="1">
      <alignment wrapText="1"/>
    </xf>
    <xf numFmtId="0" fontId="31" fillId="0" borderId="59" xfId="0" applyFont="1" applyBorder="1" applyAlignment="1">
      <alignment wrapText="1"/>
    </xf>
    <xf numFmtId="0" fontId="31" fillId="0" borderId="35" xfId="0" applyFont="1" applyBorder="1" applyAlignment="1">
      <alignment horizontal="justify" wrapText="1"/>
    </xf>
    <xf numFmtId="0" fontId="31" fillId="0" borderId="32" xfId="0" applyFont="1" applyBorder="1" applyAlignment="1">
      <alignment horizontal="justify" wrapText="1"/>
    </xf>
    <xf numFmtId="0" fontId="33" fillId="0" borderId="55" xfId="0" applyFont="1" applyBorder="1" applyAlignment="1">
      <alignment wrapText="1"/>
    </xf>
    <xf numFmtId="0" fontId="33" fillId="0" borderId="28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24" xfId="0" applyFont="1" applyBorder="1" applyAlignment="1">
      <alignment horizontal="center" wrapText="1"/>
    </xf>
    <xf numFmtId="0" fontId="33" fillId="0" borderId="28" xfId="0" applyFont="1" applyBorder="1" applyAlignment="1">
      <alignment horizontal="center" wrapText="1"/>
    </xf>
    <xf numFmtId="0" fontId="33" fillId="0" borderId="44" xfId="0" applyFont="1" applyBorder="1" applyAlignment="1">
      <alignment wrapText="1"/>
    </xf>
    <xf numFmtId="0" fontId="34" fillId="0" borderId="44" xfId="0" applyFont="1" applyBorder="1" applyAlignment="1">
      <alignment wrapText="1"/>
    </xf>
    <xf numFmtId="0" fontId="32" fillId="0" borderId="32" xfId="0" applyFont="1" applyBorder="1"/>
    <xf numFmtId="0" fontId="31" fillId="0" borderId="0" xfId="0" applyFont="1" applyAlignment="1">
      <alignment horizontal="center" wrapText="1"/>
    </xf>
    <xf numFmtId="0" fontId="29" fillId="0" borderId="0" xfId="0" applyFont="1" applyAlignment="1">
      <alignment horizontal="left" wrapText="1"/>
    </xf>
    <xf numFmtId="0" fontId="40" fillId="0" borderId="0" xfId="0" applyFont="1" applyAlignment="1">
      <alignment horizontal="right" wrapText="1"/>
    </xf>
    <xf numFmtId="3" fontId="30" fillId="0" borderId="0" xfId="0" applyNumberFormat="1" applyFont="1" applyAlignment="1">
      <alignment horizontal="right" wrapText="1"/>
    </xf>
    <xf numFmtId="0" fontId="31" fillId="0" borderId="30" xfId="0" applyFont="1" applyBorder="1" applyAlignment="1">
      <alignment horizontal="left" wrapText="1"/>
    </xf>
    <xf numFmtId="0" fontId="39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right" wrapText="1"/>
    </xf>
    <xf numFmtId="0" fontId="41" fillId="0" borderId="0" xfId="0" applyFont="1" applyAlignment="1">
      <alignment horizontal="right" wrapText="1"/>
    </xf>
    <xf numFmtId="3" fontId="41" fillId="0" borderId="0" xfId="0" applyNumberFormat="1" applyFont="1" applyAlignment="1">
      <alignment horizontal="right" wrapText="1"/>
    </xf>
    <xf numFmtId="0" fontId="34" fillId="0" borderId="44" xfId="0" applyFont="1" applyBorder="1" applyAlignment="1">
      <alignment horizontal="left" wrapText="1"/>
    </xf>
    <xf numFmtId="3" fontId="42" fillId="0" borderId="0" xfId="0" applyNumberFormat="1" applyFont="1"/>
    <xf numFmtId="0" fontId="31" fillId="0" borderId="0" xfId="0" applyFont="1" applyAlignment="1">
      <alignment horizontal="right"/>
    </xf>
    <xf numFmtId="0" fontId="30" fillId="0" borderId="32" xfId="0" applyFont="1" applyBorder="1" applyAlignment="1">
      <alignment wrapText="1"/>
    </xf>
    <xf numFmtId="0" fontId="31" fillId="0" borderId="0" xfId="48" applyFont="1"/>
    <xf numFmtId="0" fontId="43" fillId="0" borderId="0" xfId="48" applyFont="1"/>
    <xf numFmtId="0" fontId="31" fillId="0" borderId="20" xfId="48" applyFont="1" applyBorder="1" applyAlignment="1">
      <alignment horizontal="justify"/>
    </xf>
    <xf numFmtId="0" fontId="33" fillId="0" borderId="0" xfId="48" applyFont="1" applyAlignment="1">
      <alignment horizontal="center"/>
    </xf>
    <xf numFmtId="0" fontId="34" fillId="0" borderId="0" xfId="48" applyFont="1"/>
    <xf numFmtId="0" fontId="34" fillId="0" borderId="0" xfId="48" applyFont="1" applyAlignment="1">
      <alignment horizontal="center"/>
    </xf>
    <xf numFmtId="0" fontId="34" fillId="0" borderId="28" xfId="48" applyFont="1" applyBorder="1" applyAlignment="1">
      <alignment horizontal="center"/>
    </xf>
    <xf numFmtId="0" fontId="34" fillId="0" borderId="29" xfId="48" applyFont="1" applyBorder="1" applyAlignment="1">
      <alignment horizontal="center"/>
    </xf>
    <xf numFmtId="0" fontId="34" fillId="0" borderId="19" xfId="48" applyFont="1" applyBorder="1" applyAlignment="1">
      <alignment horizontal="right"/>
    </xf>
    <xf numFmtId="0" fontId="34" fillId="0" borderId="25" xfId="48" applyFont="1" applyBorder="1"/>
    <xf numFmtId="0" fontId="30" fillId="0" borderId="19" xfId="48" applyFont="1" applyBorder="1" applyAlignment="1">
      <alignment horizontal="right"/>
    </xf>
    <xf numFmtId="0" fontId="30" fillId="0" borderId="66" xfId="48" applyFont="1" applyBorder="1" applyAlignment="1">
      <alignment horizontal="left" wrapText="1"/>
    </xf>
    <xf numFmtId="0" fontId="34" fillId="0" borderId="11" xfId="48" applyFont="1" applyBorder="1" applyAlignment="1">
      <alignment horizontal="right"/>
    </xf>
    <xf numFmtId="0" fontId="34" fillId="0" borderId="50" xfId="48" applyFont="1" applyBorder="1" applyAlignment="1">
      <alignment horizontal="center"/>
    </xf>
    <xf numFmtId="0" fontId="34" fillId="0" borderId="64" xfId="48" applyFont="1" applyBorder="1" applyAlignment="1">
      <alignment horizontal="right"/>
    </xf>
    <xf numFmtId="0" fontId="34" fillId="0" borderId="48" xfId="48" applyFont="1" applyBorder="1"/>
    <xf numFmtId="0" fontId="30" fillId="0" borderId="20" xfId="48" applyFont="1" applyBorder="1"/>
    <xf numFmtId="3" fontId="30" fillId="0" borderId="20" xfId="0" applyNumberFormat="1" applyFont="1" applyBorder="1" applyAlignment="1">
      <alignment horizontal="justify"/>
    </xf>
    <xf numFmtId="0" fontId="34" fillId="0" borderId="50" xfId="48" applyFont="1" applyBorder="1"/>
    <xf numFmtId="0" fontId="29" fillId="0" borderId="19" xfId="48" applyFont="1" applyBorder="1" applyAlignment="1">
      <alignment horizontal="left"/>
    </xf>
    <xf numFmtId="0" fontId="29" fillId="0" borderId="0" xfId="48" applyFont="1"/>
    <xf numFmtId="0" fontId="30" fillId="0" borderId="33" xfId="48" applyFont="1" applyBorder="1"/>
    <xf numFmtId="0" fontId="30" fillId="0" borderId="33" xfId="48" applyFont="1" applyBorder="1" applyAlignment="1">
      <alignment wrapText="1"/>
    </xf>
    <xf numFmtId="3" fontId="30" fillId="0" borderId="0" xfId="0" applyNumberFormat="1" applyFont="1" applyAlignment="1">
      <alignment horizontal="justify"/>
    </xf>
    <xf numFmtId="0" fontId="34" fillId="0" borderId="19" xfId="48" applyFont="1" applyBorder="1"/>
    <xf numFmtId="0" fontId="30" fillId="0" borderId="33" xfId="0" applyFont="1" applyBorder="1" applyAlignment="1">
      <alignment wrapText="1"/>
    </xf>
    <xf numFmtId="0" fontId="30" fillId="0" borderId="20" xfId="48" applyFont="1" applyBorder="1" applyAlignment="1">
      <alignment wrapText="1"/>
    </xf>
    <xf numFmtId="0" fontId="30" fillId="0" borderId="44" xfId="48" applyFont="1" applyBorder="1" applyAlignment="1">
      <alignment horizontal="right"/>
    </xf>
    <xf numFmtId="0" fontId="34" fillId="0" borderId="41" xfId="48" applyFont="1" applyBorder="1"/>
    <xf numFmtId="0" fontId="34" fillId="0" borderId="28" xfId="48" applyFont="1" applyBorder="1" applyAlignment="1">
      <alignment horizontal="right"/>
    </xf>
    <xf numFmtId="0" fontId="34" fillId="0" borderId="44" xfId="48" applyFont="1" applyBorder="1"/>
    <xf numFmtId="0" fontId="30" fillId="0" borderId="45" xfId="48" applyFont="1" applyBorder="1"/>
    <xf numFmtId="0" fontId="31" fillId="0" borderId="0" xfId="50" applyFont="1"/>
    <xf numFmtId="0" fontId="33" fillId="0" borderId="24" xfId="50" applyFont="1" applyBorder="1" applyAlignment="1">
      <alignment horizontal="center"/>
    </xf>
    <xf numFmtId="0" fontId="31" fillId="0" borderId="26" xfId="50" applyFont="1" applyBorder="1" applyAlignment="1">
      <alignment horizontal="center"/>
    </xf>
    <xf numFmtId="0" fontId="31" fillId="0" borderId="19" xfId="50" applyFont="1" applyBorder="1"/>
    <xf numFmtId="0" fontId="31" fillId="0" borderId="28" xfId="50" applyFont="1" applyBorder="1"/>
    <xf numFmtId="0" fontId="31" fillId="0" borderId="30" xfId="50" applyFont="1" applyBorder="1" applyAlignment="1">
      <alignment horizontal="center" vertical="center" wrapText="1"/>
    </xf>
    <xf numFmtId="0" fontId="33" fillId="0" borderId="0" xfId="50" applyFont="1"/>
    <xf numFmtId="0" fontId="34" fillId="0" borderId="44" xfId="50" applyFont="1" applyBorder="1" applyAlignment="1">
      <alignment horizontal="justify"/>
    </xf>
    <xf numFmtId="0" fontId="34" fillId="0" borderId="44" xfId="50" applyFont="1" applyBorder="1"/>
    <xf numFmtId="0" fontId="34" fillId="0" borderId="24" xfId="50" applyFont="1" applyBorder="1" applyAlignment="1">
      <alignment horizontal="justify"/>
    </xf>
    <xf numFmtId="0" fontId="33" fillId="0" borderId="26" xfId="50" applyFont="1" applyBorder="1" applyAlignment="1">
      <alignment horizontal="center"/>
    </xf>
    <xf numFmtId="0" fontId="33" fillId="0" borderId="67" xfId="50" applyFont="1" applyBorder="1" applyAlignment="1">
      <alignment horizontal="center"/>
    </xf>
    <xf numFmtId="0" fontId="33" fillId="0" borderId="27" xfId="50" applyFont="1" applyBorder="1" applyAlignment="1">
      <alignment horizontal="center"/>
    </xf>
    <xf numFmtId="0" fontId="33" fillId="0" borderId="39" xfId="50" applyFont="1" applyBorder="1" applyAlignment="1">
      <alignment horizontal="center"/>
    </xf>
    <xf numFmtId="0" fontId="33" fillId="0" borderId="30" xfId="50" applyFont="1" applyBorder="1" applyAlignment="1">
      <alignment horizontal="center"/>
    </xf>
    <xf numFmtId="0" fontId="33" fillId="0" borderId="30" xfId="50" applyFont="1" applyBorder="1" applyAlignment="1">
      <alignment horizontal="center" vertical="center" wrapText="1"/>
    </xf>
    <xf numFmtId="0" fontId="33" fillId="0" borderId="40" xfId="50" applyFont="1" applyBorder="1" applyAlignment="1">
      <alignment horizontal="center" vertical="center" wrapText="1"/>
    </xf>
    <xf numFmtId="0" fontId="33" fillId="0" borderId="40" xfId="50" applyFont="1" applyBorder="1" applyAlignment="1">
      <alignment horizontal="justify"/>
    </xf>
    <xf numFmtId="0" fontId="33" fillId="0" borderId="19" xfId="50" applyFont="1" applyBorder="1" applyAlignment="1">
      <alignment horizontal="center"/>
    </xf>
    <xf numFmtId="0" fontId="31" fillId="0" borderId="67" xfId="50" applyFont="1" applyBorder="1" applyAlignment="1">
      <alignment horizontal="center"/>
    </xf>
    <xf numFmtId="3" fontId="33" fillId="0" borderId="36" xfId="50" applyNumberFormat="1" applyFont="1" applyBorder="1" applyAlignment="1">
      <alignment horizontal="center"/>
    </xf>
    <xf numFmtId="0" fontId="30" fillId="0" borderId="23" xfId="49" applyFont="1" applyBorder="1"/>
    <xf numFmtId="3" fontId="31" fillId="0" borderId="36" xfId="50" applyNumberFormat="1" applyFont="1" applyBorder="1"/>
    <xf numFmtId="3" fontId="33" fillId="0" borderId="36" xfId="50" applyNumberFormat="1" applyFont="1" applyBorder="1"/>
    <xf numFmtId="3" fontId="33" fillId="0" borderId="27" xfId="50" applyNumberFormat="1" applyFont="1" applyBorder="1" applyAlignment="1">
      <alignment horizontal="center"/>
    </xf>
    <xf numFmtId="3" fontId="31" fillId="0" borderId="27" xfId="50" applyNumberFormat="1" applyFont="1" applyBorder="1"/>
    <xf numFmtId="3" fontId="33" fillId="0" borderId="51" xfId="50" applyNumberFormat="1" applyFont="1" applyBorder="1" applyAlignment="1">
      <alignment horizontal="center"/>
    </xf>
    <xf numFmtId="0" fontId="30" fillId="0" borderId="11" xfId="49" applyFont="1" applyBorder="1"/>
    <xf numFmtId="0" fontId="30" fillId="0" borderId="11" xfId="49" applyFont="1" applyBorder="1" applyAlignment="1">
      <alignment wrapText="1"/>
    </xf>
    <xf numFmtId="3" fontId="31" fillId="0" borderId="51" xfId="50" applyNumberFormat="1" applyFont="1" applyBorder="1"/>
    <xf numFmtId="3" fontId="33" fillId="0" borderId="49" xfId="50" applyNumberFormat="1" applyFont="1" applyBorder="1" applyAlignment="1">
      <alignment horizontal="center"/>
    </xf>
    <xf numFmtId="0" fontId="30" fillId="0" borderId="64" xfId="49" applyFont="1" applyBorder="1"/>
    <xf numFmtId="3" fontId="33" fillId="0" borderId="27" xfId="50" applyNumberFormat="1" applyFont="1" applyBorder="1"/>
    <xf numFmtId="3" fontId="33" fillId="0" borderId="38" xfId="50" applyNumberFormat="1" applyFont="1" applyBorder="1" applyAlignment="1">
      <alignment horizontal="center"/>
    </xf>
    <xf numFmtId="3" fontId="33" fillId="0" borderId="38" xfId="50" applyNumberFormat="1" applyFont="1" applyBorder="1"/>
    <xf numFmtId="3" fontId="33" fillId="0" borderId="71" xfId="50" applyNumberFormat="1" applyFont="1" applyBorder="1" applyAlignment="1">
      <alignment horizontal="center"/>
    </xf>
    <xf numFmtId="0" fontId="30" fillId="0" borderId="24" xfId="49" applyFont="1" applyBorder="1"/>
    <xf numFmtId="3" fontId="31" fillId="0" borderId="26" xfId="50" applyNumberFormat="1" applyFont="1" applyBorder="1"/>
    <xf numFmtId="0" fontId="30" fillId="0" borderId="19" xfId="49" applyFont="1" applyBorder="1"/>
    <xf numFmtId="0" fontId="34" fillId="0" borderId="19" xfId="50" applyFont="1" applyBorder="1" applyAlignment="1">
      <alignment horizontal="justify"/>
    </xf>
    <xf numFmtId="3" fontId="31" fillId="0" borderId="38" xfId="50" applyNumberFormat="1" applyFont="1" applyBorder="1"/>
    <xf numFmtId="3" fontId="31" fillId="0" borderId="39" xfId="50" applyNumberFormat="1" applyFont="1" applyBorder="1"/>
    <xf numFmtId="3" fontId="33" fillId="0" borderId="26" xfId="50" applyNumberFormat="1" applyFont="1" applyBorder="1" applyAlignment="1">
      <alignment horizontal="center"/>
    </xf>
    <xf numFmtId="3" fontId="31" fillId="0" borderId="67" xfId="50" applyNumberFormat="1" applyFont="1" applyBorder="1"/>
    <xf numFmtId="3" fontId="44" fillId="0" borderId="37" xfId="0" applyNumberFormat="1" applyFont="1" applyBorder="1"/>
    <xf numFmtId="3" fontId="45" fillId="0" borderId="26" xfId="0" applyNumberFormat="1" applyFont="1" applyBorder="1"/>
    <xf numFmtId="3" fontId="45" fillId="0" borderId="45" xfId="0" applyNumberFormat="1" applyFont="1" applyBorder="1"/>
    <xf numFmtId="0" fontId="42" fillId="0" borderId="20" xfId="0" applyFont="1" applyBorder="1"/>
    <xf numFmtId="0" fontId="42" fillId="0" borderId="20" xfId="48" applyFont="1" applyBorder="1" applyAlignment="1">
      <alignment horizontal="justify"/>
    </xf>
    <xf numFmtId="3" fontId="45" fillId="0" borderId="0" xfId="0" applyNumberFormat="1" applyFont="1" applyAlignment="1">
      <alignment horizontal="left"/>
    </xf>
    <xf numFmtId="3" fontId="46" fillId="0" borderId="41" xfId="0" applyNumberFormat="1" applyFont="1" applyBorder="1" applyAlignment="1">
      <alignment horizontal="centerContinuous"/>
    </xf>
    <xf numFmtId="3" fontId="45" fillId="0" borderId="41" xfId="0" applyNumberFormat="1" applyFont="1" applyBorder="1" applyAlignment="1">
      <alignment horizontal="centerContinuous"/>
    </xf>
    <xf numFmtId="0" fontId="42" fillId="0" borderId="29" xfId="0" applyFont="1" applyBorder="1" applyAlignment="1">
      <alignment horizontal="left"/>
    </xf>
    <xf numFmtId="3" fontId="42" fillId="0" borderId="29" xfId="0" applyNumberFormat="1" applyFont="1" applyBorder="1"/>
    <xf numFmtId="3" fontId="32" fillId="0" borderId="33" xfId="0" applyNumberFormat="1" applyFont="1" applyBorder="1"/>
    <xf numFmtId="0" fontId="37" fillId="0" borderId="25" xfId="0" applyFont="1" applyBorder="1"/>
    <xf numFmtId="0" fontId="40" fillId="0" borderId="0" xfId="0" applyFont="1" applyAlignment="1">
      <alignment horizontal="left"/>
    </xf>
    <xf numFmtId="0" fontId="30" fillId="0" borderId="57" xfId="0" applyFont="1" applyBorder="1" applyAlignment="1">
      <alignment horizontal="left"/>
    </xf>
    <xf numFmtId="0" fontId="30" fillId="0" borderId="20" xfId="0" applyFont="1" applyBorder="1" applyAlignment="1">
      <alignment vertical="top" wrapText="1"/>
    </xf>
    <xf numFmtId="0" fontId="29" fillId="0" borderId="11" xfId="0" applyFont="1" applyBorder="1"/>
    <xf numFmtId="0" fontId="31" fillId="27" borderId="59" xfId="0" applyFont="1" applyFill="1" applyBorder="1" applyAlignment="1">
      <alignment horizontal="left" wrapText="1"/>
    </xf>
    <xf numFmtId="0" fontId="30" fillId="0" borderId="20" xfId="48" applyFont="1" applyBorder="1" applyAlignment="1">
      <alignment horizontal="justify"/>
    </xf>
    <xf numFmtId="0" fontId="29" fillId="0" borderId="27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33" fillId="0" borderId="38" xfId="0" applyFont="1" applyBorder="1" applyAlignment="1">
      <alignment horizontal="left" wrapText="1"/>
    </xf>
    <xf numFmtId="0" fontId="34" fillId="0" borderId="27" xfId="0" applyFont="1" applyBorder="1" applyAlignment="1">
      <alignment horizontal="center" wrapText="1"/>
    </xf>
    <xf numFmtId="0" fontId="29" fillId="0" borderId="38" xfId="0" applyFont="1" applyBorder="1" applyAlignment="1">
      <alignment horizontal="left"/>
    </xf>
    <xf numFmtId="0" fontId="29" fillId="0" borderId="42" xfId="0" applyFont="1" applyBorder="1" applyAlignment="1">
      <alignment horizontal="center"/>
    </xf>
    <xf numFmtId="0" fontId="33" fillId="0" borderId="30" xfId="0" applyFont="1" applyBorder="1" applyAlignment="1">
      <alignment wrapText="1"/>
    </xf>
    <xf numFmtId="0" fontId="29" fillId="0" borderId="38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42" xfId="0" applyFont="1" applyBorder="1"/>
    <xf numFmtId="0" fontId="34" fillId="0" borderId="30" xfId="0" applyFont="1" applyBorder="1"/>
    <xf numFmtId="0" fontId="34" fillId="0" borderId="42" xfId="0" applyFont="1" applyBorder="1"/>
    <xf numFmtId="0" fontId="30" fillId="0" borderId="57" xfId="48" applyFont="1" applyBorder="1" applyAlignment="1">
      <alignment horizontal="left" wrapText="1"/>
    </xf>
    <xf numFmtId="3" fontId="31" fillId="0" borderId="19" xfId="51" applyNumberFormat="1" applyFont="1" applyBorder="1" applyAlignment="1">
      <alignment horizontal="justify" vertical="top" wrapText="1"/>
    </xf>
    <xf numFmtId="0" fontId="29" fillId="0" borderId="38" xfId="0" applyFont="1" applyBorder="1" applyAlignment="1">
      <alignment horizontal="left" wrapText="1"/>
    </xf>
    <xf numFmtId="0" fontId="29" fillId="0" borderId="38" xfId="0" applyFont="1" applyBorder="1"/>
    <xf numFmtId="0" fontId="39" fillId="0" borderId="27" xfId="0" applyFont="1" applyBorder="1" applyAlignment="1">
      <alignment horizontal="center"/>
    </xf>
    <xf numFmtId="3" fontId="32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0" fontId="33" fillId="27" borderId="58" xfId="0" applyFont="1" applyFill="1" applyBorder="1" applyAlignment="1">
      <alignment horizontal="justify" wrapText="1"/>
    </xf>
    <xf numFmtId="0" fontId="33" fillId="0" borderId="36" xfId="0" applyFont="1" applyBorder="1"/>
    <xf numFmtId="164" fontId="31" fillId="0" borderId="0" xfId="36" applyFont="1"/>
    <xf numFmtId="3" fontId="31" fillId="0" borderId="75" xfId="0" applyNumberFormat="1" applyFont="1" applyBorder="1" applyAlignment="1">
      <alignment horizontal="left" wrapText="1"/>
    </xf>
    <xf numFmtId="0" fontId="34" fillId="0" borderId="29" xfId="48" applyFont="1" applyBorder="1"/>
    <xf numFmtId="3" fontId="39" fillId="0" borderId="0" xfId="0" applyNumberFormat="1" applyFont="1"/>
    <xf numFmtId="0" fontId="29" fillId="0" borderId="48" xfId="0" applyFont="1" applyBorder="1" applyAlignment="1">
      <alignment wrapText="1"/>
    </xf>
    <xf numFmtId="0" fontId="31" fillId="0" borderId="47" xfId="46" applyFont="1" applyBorder="1" applyAlignment="1">
      <alignment wrapText="1"/>
    </xf>
    <xf numFmtId="3" fontId="42" fillId="0" borderId="0" xfId="0" applyNumberFormat="1" applyFont="1" applyAlignment="1">
      <alignment horizontal="right"/>
    </xf>
    <xf numFmtId="3" fontId="42" fillId="0" borderId="46" xfId="0" applyNumberFormat="1" applyFont="1" applyBorder="1"/>
    <xf numFmtId="3" fontId="45" fillId="0" borderId="0" xfId="0" applyNumberFormat="1" applyFont="1"/>
    <xf numFmtId="0" fontId="42" fillId="0" borderId="19" xfId="0" applyFont="1" applyBorder="1"/>
    <xf numFmtId="0" fontId="31" fillId="0" borderId="44" xfId="0" applyFont="1" applyBorder="1" applyAlignment="1">
      <alignment horizontal="justify" wrapText="1"/>
    </xf>
    <xf numFmtId="0" fontId="31" fillId="0" borderId="20" xfId="48" applyFont="1" applyBorder="1" applyAlignment="1">
      <alignment horizontal="left" wrapText="1"/>
    </xf>
    <xf numFmtId="0" fontId="31" fillId="0" borderId="38" xfId="0" applyFont="1" applyBorder="1" applyAlignment="1">
      <alignment horizontal="justify"/>
    </xf>
    <xf numFmtId="0" fontId="31" fillId="27" borderId="38" xfId="0" applyFont="1" applyFill="1" applyBorder="1"/>
    <xf numFmtId="0" fontId="31" fillId="0" borderId="30" xfId="0" applyFont="1" applyBorder="1" applyAlignment="1">
      <alignment horizontal="justify"/>
    </xf>
    <xf numFmtId="0" fontId="31" fillId="0" borderId="26" xfId="0" applyFont="1" applyBorder="1" applyAlignment="1">
      <alignment horizontal="justify"/>
    </xf>
    <xf numFmtId="0" fontId="31" fillId="27" borderId="30" xfId="0" applyFont="1" applyFill="1" applyBorder="1"/>
    <xf numFmtId="0" fontId="31" fillId="0" borderId="51" xfId="0" applyFont="1" applyBorder="1" applyAlignment="1">
      <alignment horizontal="justify"/>
    </xf>
    <xf numFmtId="0" fontId="31" fillId="27" borderId="51" xfId="0" applyFont="1" applyFill="1" applyBorder="1"/>
    <xf numFmtId="0" fontId="31" fillId="0" borderId="19" xfId="0" applyFont="1" applyBorder="1"/>
    <xf numFmtId="0" fontId="31" fillId="0" borderId="0" xfId="0" applyFont="1" applyAlignment="1">
      <alignment horizontal="left"/>
    </xf>
    <xf numFmtId="0" fontId="31" fillId="0" borderId="65" xfId="0" applyFont="1" applyBorder="1" applyAlignment="1">
      <alignment horizontal="left"/>
    </xf>
    <xf numFmtId="0" fontId="31" fillId="0" borderId="19" xfId="0" applyFont="1" applyBorder="1" applyAlignment="1">
      <alignment horizontal="justify"/>
    </xf>
    <xf numFmtId="0" fontId="33" fillId="0" borderId="29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3" fillId="0" borderId="29" xfId="0" applyFont="1" applyBorder="1" applyAlignment="1">
      <alignment horizontal="right" wrapText="1"/>
    </xf>
    <xf numFmtId="0" fontId="34" fillId="0" borderId="0" xfId="0" applyFont="1" applyAlignment="1">
      <alignment horizontal="left" wrapText="1"/>
    </xf>
    <xf numFmtId="3" fontId="29" fillId="0" borderId="0" xfId="0" applyNumberFormat="1" applyFont="1" applyAlignment="1" applyProtection="1">
      <alignment wrapText="1"/>
      <protection locked="0"/>
    </xf>
    <xf numFmtId="3" fontId="29" fillId="0" borderId="48" xfId="0" applyNumberFormat="1" applyFont="1" applyBorder="1" applyAlignment="1" applyProtection="1">
      <alignment wrapText="1"/>
      <protection locked="0"/>
    </xf>
    <xf numFmtId="3" fontId="30" fillId="0" borderId="53" xfId="0" applyNumberFormat="1" applyFont="1" applyBorder="1" applyAlignment="1" applyProtection="1">
      <alignment wrapText="1"/>
      <protection locked="0"/>
    </xf>
    <xf numFmtId="3" fontId="30" fillId="0" borderId="33" xfId="0" applyNumberFormat="1" applyFont="1" applyBorder="1" applyAlignment="1" applyProtection="1">
      <alignment wrapText="1"/>
      <protection locked="0"/>
    </xf>
    <xf numFmtId="3" fontId="29" fillId="0" borderId="50" xfId="0" applyNumberFormat="1" applyFont="1" applyBorder="1" applyAlignment="1">
      <alignment wrapText="1"/>
    </xf>
    <xf numFmtId="3" fontId="29" fillId="0" borderId="48" xfId="0" applyNumberFormat="1" applyFont="1" applyBorder="1" applyAlignment="1">
      <alignment wrapText="1"/>
    </xf>
    <xf numFmtId="3" fontId="29" fillId="0" borderId="50" xfId="0" applyNumberFormat="1" applyFont="1" applyBorder="1" applyAlignment="1" applyProtection="1">
      <alignment wrapText="1"/>
      <protection locked="0"/>
    </xf>
    <xf numFmtId="0" fontId="31" fillId="0" borderId="56" xfId="0" applyFont="1" applyBorder="1" applyAlignment="1">
      <alignment horizontal="left" wrapText="1"/>
    </xf>
    <xf numFmtId="3" fontId="29" fillId="0" borderId="54" xfId="0" applyNumberFormat="1" applyFont="1" applyBorder="1" applyAlignment="1" applyProtection="1">
      <alignment wrapText="1"/>
      <protection locked="0"/>
    </xf>
    <xf numFmtId="0" fontId="34" fillId="0" borderId="29" xfId="0" applyFont="1" applyBorder="1" applyAlignment="1">
      <alignment horizontal="left" wrapText="1"/>
    </xf>
    <xf numFmtId="0" fontId="30" fillId="0" borderId="41" xfId="0" applyFont="1" applyBorder="1" applyAlignment="1">
      <alignment horizontal="left" wrapText="1"/>
    </xf>
    <xf numFmtId="0" fontId="49" fillId="0" borderId="66" xfId="0" applyFont="1" applyBorder="1" applyAlignment="1">
      <alignment wrapText="1"/>
    </xf>
    <xf numFmtId="0" fontId="34" fillId="0" borderId="41" xfId="0" applyFont="1" applyBorder="1" applyAlignment="1">
      <alignment horizontal="left" wrapText="1"/>
    </xf>
    <xf numFmtId="0" fontId="34" fillId="0" borderId="54" xfId="0" applyFont="1" applyBorder="1" applyAlignment="1">
      <alignment horizontal="left" wrapText="1"/>
    </xf>
    <xf numFmtId="0" fontId="29" fillId="0" borderId="25" xfId="0" applyFont="1" applyBorder="1" applyAlignment="1">
      <alignment horizontal="left" wrapText="1"/>
    </xf>
    <xf numFmtId="3" fontId="30" fillId="0" borderId="20" xfId="0" applyNumberFormat="1" applyFont="1" applyBorder="1" applyAlignment="1">
      <alignment wrapText="1"/>
    </xf>
    <xf numFmtId="3" fontId="30" fillId="0" borderId="33" xfId="0" applyNumberFormat="1" applyFont="1" applyBorder="1" applyAlignment="1">
      <alignment wrapText="1"/>
    </xf>
    <xf numFmtId="0" fontId="30" fillId="0" borderId="66" xfId="0" applyFont="1" applyBorder="1" applyAlignment="1">
      <alignment wrapText="1"/>
    </xf>
    <xf numFmtId="0" fontId="29" fillId="0" borderId="39" xfId="0" applyFont="1" applyBorder="1" applyAlignment="1">
      <alignment horizontal="left" wrapText="1"/>
    </xf>
    <xf numFmtId="0" fontId="40" fillId="0" borderId="33" xfId="0" applyFont="1" applyBorder="1" applyAlignment="1">
      <alignment wrapText="1"/>
    </xf>
    <xf numFmtId="0" fontId="40" fillId="0" borderId="20" xfId="0" applyFont="1" applyBorder="1" applyAlignment="1">
      <alignment wrapText="1"/>
    </xf>
    <xf numFmtId="0" fontId="34" fillId="0" borderId="56" xfId="0" applyFont="1" applyBorder="1" applyAlignment="1">
      <alignment horizontal="left" wrapText="1"/>
    </xf>
    <xf numFmtId="0" fontId="30" fillId="0" borderId="20" xfId="0" applyFont="1" applyBorder="1" applyAlignment="1">
      <alignment horizontal="left" wrapText="1"/>
    </xf>
    <xf numFmtId="3" fontId="32" fillId="0" borderId="57" xfId="0" applyNumberFormat="1" applyFont="1" applyBorder="1" applyAlignment="1">
      <alignment wrapText="1"/>
    </xf>
    <xf numFmtId="0" fontId="30" fillId="0" borderId="25" xfId="0" applyFont="1" applyBorder="1" applyAlignment="1">
      <alignment wrapText="1"/>
    </xf>
    <xf numFmtId="3" fontId="34" fillId="0" borderId="0" xfId="0" applyNumberFormat="1" applyFont="1" applyAlignment="1">
      <alignment wrapText="1"/>
    </xf>
    <xf numFmtId="3" fontId="34" fillId="0" borderId="33" xfId="0" applyNumberFormat="1" applyFont="1" applyBorder="1" applyAlignment="1">
      <alignment wrapText="1"/>
    </xf>
    <xf numFmtId="3" fontId="29" fillId="0" borderId="12" xfId="0" applyNumberFormat="1" applyFont="1" applyBorder="1" applyAlignment="1" applyProtection="1">
      <alignment wrapText="1"/>
      <protection locked="0"/>
    </xf>
    <xf numFmtId="3" fontId="30" fillId="0" borderId="20" xfId="0" applyNumberFormat="1" applyFont="1" applyBorder="1" applyProtection="1">
      <protection locked="0"/>
    </xf>
    <xf numFmtId="3" fontId="30" fillId="0" borderId="0" xfId="0" applyNumberFormat="1" applyFont="1" applyProtection="1">
      <protection locked="0"/>
    </xf>
    <xf numFmtId="0" fontId="39" fillId="0" borderId="20" xfId="0" applyFont="1" applyBorder="1"/>
    <xf numFmtId="0" fontId="30" fillId="0" borderId="57" xfId="0" applyFont="1" applyBorder="1" applyAlignment="1">
      <alignment wrapText="1"/>
    </xf>
    <xf numFmtId="3" fontId="32" fillId="0" borderId="20" xfId="0" applyNumberFormat="1" applyFont="1" applyBorder="1"/>
    <xf numFmtId="3" fontId="37" fillId="0" borderId="26" xfId="0" applyNumberFormat="1" applyFont="1" applyBorder="1" applyAlignment="1">
      <alignment horizontal="center"/>
    </xf>
    <xf numFmtId="3" fontId="45" fillId="0" borderId="0" xfId="0" applyNumberFormat="1" applyFont="1" applyAlignment="1">
      <alignment horizontal="center"/>
    </xf>
    <xf numFmtId="0" fontId="45" fillId="0" borderId="24" xfId="0" applyFont="1" applyBorder="1" applyAlignment="1">
      <alignment horizontal="left"/>
    </xf>
    <xf numFmtId="3" fontId="45" fillId="0" borderId="25" xfId="0" applyNumberFormat="1" applyFont="1" applyBorder="1" applyAlignment="1">
      <alignment horizontal="left"/>
    </xf>
    <xf numFmtId="3" fontId="45" fillId="0" borderId="26" xfId="0" applyNumberFormat="1" applyFont="1" applyBorder="1" applyAlignment="1">
      <alignment horizontal="center"/>
    </xf>
    <xf numFmtId="3" fontId="42" fillId="0" borderId="25" xfId="0" applyNumberFormat="1" applyFont="1" applyBorder="1"/>
    <xf numFmtId="0" fontId="45" fillId="0" borderId="19" xfId="0" applyFont="1" applyBorder="1" applyAlignment="1">
      <alignment horizontal="left"/>
    </xf>
    <xf numFmtId="3" fontId="45" fillId="0" borderId="27" xfId="0" applyNumberFormat="1" applyFont="1" applyBorder="1" applyAlignment="1">
      <alignment horizontal="center"/>
    </xf>
    <xf numFmtId="3" fontId="45" fillId="0" borderId="28" xfId="0" applyNumberFormat="1" applyFont="1" applyBorder="1" applyAlignment="1">
      <alignment horizontal="centerContinuous"/>
    </xf>
    <xf numFmtId="3" fontId="45" fillId="0" borderId="29" xfId="0" applyNumberFormat="1" applyFont="1" applyBorder="1" applyAlignment="1">
      <alignment horizontal="centerContinuous"/>
    </xf>
    <xf numFmtId="3" fontId="45" fillId="0" borderId="30" xfId="0" applyNumberFormat="1" applyFont="1" applyBorder="1" applyAlignment="1">
      <alignment horizontal="right"/>
    </xf>
    <xf numFmtId="0" fontId="42" fillId="0" borderId="29" xfId="0" applyFont="1" applyBorder="1"/>
    <xf numFmtId="3" fontId="45" fillId="0" borderId="29" xfId="0" applyNumberFormat="1" applyFont="1" applyBorder="1" applyAlignment="1">
      <alignment horizontal="right"/>
    </xf>
    <xf numFmtId="0" fontId="42" fillId="0" borderId="31" xfId="0" applyFont="1" applyBorder="1"/>
    <xf numFmtId="0" fontId="42" fillId="0" borderId="72" xfId="0" applyFont="1" applyBorder="1"/>
    <xf numFmtId="3" fontId="45" fillId="0" borderId="72" xfId="0" applyNumberFormat="1" applyFont="1" applyBorder="1" applyAlignment="1">
      <alignment horizontal="right"/>
    </xf>
    <xf numFmtId="0" fontId="42" fillId="0" borderId="59" xfId="0" applyFont="1" applyBorder="1"/>
    <xf numFmtId="3" fontId="45" fillId="0" borderId="20" xfId="0" applyNumberFormat="1" applyFont="1" applyBorder="1"/>
    <xf numFmtId="0" fontId="42" fillId="0" borderId="32" xfId="0" applyFont="1" applyBorder="1"/>
    <xf numFmtId="0" fontId="42" fillId="0" borderId="33" xfId="0" applyFont="1" applyBorder="1"/>
    <xf numFmtId="3" fontId="46" fillId="0" borderId="33" xfId="0" applyNumberFormat="1" applyFont="1" applyBorder="1" applyAlignment="1">
      <alignment horizontal="left"/>
    </xf>
    <xf numFmtId="3" fontId="42" fillId="0" borderId="19" xfId="0" applyNumberFormat="1" applyFont="1" applyBorder="1"/>
    <xf numFmtId="3" fontId="45" fillId="0" borderId="33" xfId="0" applyNumberFormat="1" applyFont="1" applyBorder="1"/>
    <xf numFmtId="0" fontId="42" fillId="0" borderId="0" xfId="0" applyFont="1"/>
    <xf numFmtId="3" fontId="42" fillId="0" borderId="33" xfId="0" applyNumberFormat="1" applyFont="1" applyBorder="1"/>
    <xf numFmtId="3" fontId="42" fillId="0" borderId="33" xfId="0" applyNumberFormat="1" applyFont="1" applyBorder="1" applyAlignment="1">
      <alignment horizontal="left"/>
    </xf>
    <xf numFmtId="0" fontId="42" fillId="0" borderId="65" xfId="0" applyFont="1" applyBorder="1"/>
    <xf numFmtId="3" fontId="45" fillId="0" borderId="19" xfId="0" applyNumberFormat="1" applyFont="1" applyBorder="1"/>
    <xf numFmtId="3" fontId="46" fillId="0" borderId="0" xfId="0" applyNumberFormat="1" applyFont="1"/>
    <xf numFmtId="0" fontId="42" fillId="0" borderId="33" xfId="0" applyFont="1" applyBorder="1" applyAlignment="1">
      <alignment wrapText="1"/>
    </xf>
    <xf numFmtId="3" fontId="45" fillId="0" borderId="23" xfId="0" applyNumberFormat="1" applyFont="1" applyBorder="1"/>
    <xf numFmtId="0" fontId="45" fillId="0" borderId="21" xfId="0" applyFont="1" applyBorder="1"/>
    <xf numFmtId="3" fontId="45" fillId="0" borderId="21" xfId="0" applyNumberFormat="1" applyFont="1" applyBorder="1"/>
    <xf numFmtId="0" fontId="44" fillId="0" borderId="54" xfId="0" applyFont="1" applyBorder="1"/>
    <xf numFmtId="3" fontId="45" fillId="0" borderId="55" xfId="0" applyNumberFormat="1" applyFont="1" applyBorder="1" applyAlignment="1">
      <alignment horizontal="left"/>
    </xf>
    <xf numFmtId="3" fontId="45" fillId="0" borderId="54" xfId="0" applyNumberFormat="1" applyFont="1" applyBorder="1" applyAlignment="1">
      <alignment horizontal="centerContinuous"/>
    </xf>
    <xf numFmtId="3" fontId="45" fillId="0" borderId="73" xfId="0" applyNumberFormat="1" applyFont="1" applyBorder="1" applyAlignment="1">
      <alignment horizontal="center"/>
    </xf>
    <xf numFmtId="3" fontId="45" fillId="0" borderId="67" xfId="0" applyNumberFormat="1" applyFont="1" applyBorder="1" applyAlignment="1">
      <alignment horizontal="left"/>
    </xf>
    <xf numFmtId="0" fontId="45" fillId="0" borderId="25" xfId="0" applyFont="1" applyBorder="1" applyAlignment="1">
      <alignment horizontal="left"/>
    </xf>
    <xf numFmtId="3" fontId="45" fillId="0" borderId="39" xfId="0" applyNumberFormat="1" applyFont="1" applyBorder="1" applyAlignment="1">
      <alignment horizontal="left"/>
    </xf>
    <xf numFmtId="0" fontId="45" fillId="0" borderId="0" xfId="0" applyFont="1" applyAlignment="1">
      <alignment horizontal="left"/>
    </xf>
    <xf numFmtId="3" fontId="45" fillId="0" borderId="40" xfId="0" applyNumberFormat="1" applyFont="1" applyBorder="1" applyAlignment="1">
      <alignment horizontal="centerContinuous"/>
    </xf>
    <xf numFmtId="3" fontId="42" fillId="0" borderId="19" xfId="0" applyNumberFormat="1" applyFont="1" applyBorder="1" applyAlignment="1">
      <alignment horizontal="left"/>
    </xf>
    <xf numFmtId="3" fontId="42" fillId="0" borderId="0" xfId="0" applyNumberFormat="1" applyFont="1" applyAlignment="1">
      <alignment horizontal="left"/>
    </xf>
    <xf numFmtId="3" fontId="42" fillId="0" borderId="0" xfId="0" applyNumberFormat="1" applyFont="1" applyAlignment="1">
      <alignment horizontal="centerContinuous"/>
    </xf>
    <xf numFmtId="0" fontId="45" fillId="0" borderId="25" xfId="0" applyFont="1" applyBorder="1"/>
    <xf numFmtId="3" fontId="45" fillId="0" borderId="25" xfId="0" applyNumberFormat="1" applyFont="1" applyBorder="1" applyAlignment="1">
      <alignment horizontal="right"/>
    </xf>
    <xf numFmtId="3" fontId="42" fillId="0" borderId="32" xfId="0" applyNumberFormat="1" applyFont="1" applyBorder="1" applyAlignment="1">
      <alignment horizontal="left"/>
    </xf>
    <xf numFmtId="3" fontId="42" fillId="0" borderId="33" xfId="0" applyNumberFormat="1" applyFont="1" applyBorder="1" applyAlignment="1">
      <alignment horizontal="centerContinuous"/>
    </xf>
    <xf numFmtId="3" fontId="45" fillId="0" borderId="20" xfId="0" applyNumberFormat="1" applyFont="1" applyBorder="1" applyAlignment="1">
      <alignment horizontal="right"/>
    </xf>
    <xf numFmtId="3" fontId="42" fillId="0" borderId="33" xfId="0" applyNumberFormat="1" applyFont="1" applyBorder="1" applyAlignment="1">
      <alignment horizontal="center"/>
    </xf>
    <xf numFmtId="3" fontId="45" fillId="0" borderId="33" xfId="0" applyNumberFormat="1" applyFont="1" applyBorder="1" applyAlignment="1">
      <alignment horizontal="right"/>
    </xf>
    <xf numFmtId="3" fontId="42" fillId="0" borderId="19" xfId="0" applyNumberFormat="1" applyFont="1" applyBorder="1" applyAlignment="1">
      <alignment horizontal="centerContinuous"/>
    </xf>
    <xf numFmtId="3" fontId="45" fillId="0" borderId="19" xfId="0" applyNumberFormat="1" applyFont="1" applyBorder="1" applyAlignment="1">
      <alignment horizontal="centerContinuous"/>
    </xf>
    <xf numFmtId="3" fontId="45" fillId="0" borderId="0" xfId="0" applyNumberFormat="1" applyFont="1" applyAlignment="1">
      <alignment horizontal="centerContinuous"/>
    </xf>
    <xf numFmtId="0" fontId="45" fillId="0" borderId="41" xfId="0" applyFont="1" applyBorder="1"/>
    <xf numFmtId="3" fontId="45" fillId="0" borderId="41" xfId="0" applyNumberFormat="1" applyFont="1" applyBorder="1" applyAlignment="1">
      <alignment horizontal="right"/>
    </xf>
    <xf numFmtId="3" fontId="45" fillId="0" borderId="19" xfId="0" applyNumberFormat="1" applyFont="1" applyBorder="1" applyAlignment="1">
      <alignment horizontal="left"/>
    </xf>
    <xf numFmtId="0" fontId="42" fillId="0" borderId="0" xfId="48" applyFont="1"/>
    <xf numFmtId="3" fontId="42" fillId="0" borderId="0" xfId="0" applyNumberFormat="1" applyFont="1" applyAlignment="1">
      <alignment horizontal="center"/>
    </xf>
    <xf numFmtId="0" fontId="42" fillId="0" borderId="0" xfId="48" applyFont="1" applyAlignment="1">
      <alignment horizontal="left"/>
    </xf>
    <xf numFmtId="0" fontId="45" fillId="0" borderId="50" xfId="0" applyFont="1" applyBorder="1"/>
    <xf numFmtId="3" fontId="45" fillId="0" borderId="50" xfId="0" applyNumberFormat="1" applyFont="1" applyBorder="1" applyAlignment="1">
      <alignment horizontal="right"/>
    </xf>
    <xf numFmtId="3" fontId="45" fillId="0" borderId="44" xfId="0" applyNumberFormat="1" applyFont="1" applyBorder="1"/>
    <xf numFmtId="3" fontId="45" fillId="0" borderId="41" xfId="0" applyNumberFormat="1" applyFont="1" applyBorder="1"/>
    <xf numFmtId="3" fontId="45" fillId="0" borderId="41" xfId="0" applyNumberFormat="1" applyFont="1" applyBorder="1" applyAlignment="1">
      <alignment horizontal="left"/>
    </xf>
    <xf numFmtId="3" fontId="45" fillId="0" borderId="25" xfId="0" applyNumberFormat="1" applyFont="1" applyBorder="1"/>
    <xf numFmtId="3" fontId="45" fillId="0" borderId="15" xfId="0" applyNumberFormat="1" applyFont="1" applyBorder="1"/>
    <xf numFmtId="3" fontId="45" fillId="0" borderId="68" xfId="0" applyNumberFormat="1" applyFont="1" applyBorder="1"/>
    <xf numFmtId="3" fontId="45" fillId="0" borderId="43" xfId="0" applyNumberFormat="1" applyFont="1" applyBorder="1"/>
    <xf numFmtId="3" fontId="45" fillId="0" borderId="43" xfId="0" applyNumberFormat="1" applyFont="1" applyBorder="1" applyAlignment="1">
      <alignment horizontal="left"/>
    </xf>
    <xf numFmtId="0" fontId="42" fillId="28" borderId="20" xfId="48" applyFont="1" applyFill="1" applyBorder="1" applyAlignment="1">
      <alignment horizontal="justify"/>
    </xf>
    <xf numFmtId="0" fontId="42" fillId="0" borderId="33" xfId="48" applyFont="1" applyBorder="1" applyAlignment="1">
      <alignment horizontal="justify"/>
    </xf>
    <xf numFmtId="0" fontId="46" fillId="0" borderId="44" xfId="0" applyFont="1" applyBorder="1"/>
    <xf numFmtId="3" fontId="45" fillId="0" borderId="28" xfId="0" applyNumberFormat="1" applyFont="1" applyBorder="1"/>
    <xf numFmtId="0" fontId="46" fillId="0" borderId="28" xfId="0" applyFont="1" applyBorder="1"/>
    <xf numFmtId="3" fontId="52" fillId="0" borderId="0" xfId="0" applyNumberFormat="1" applyFont="1"/>
    <xf numFmtId="3" fontId="44" fillId="0" borderId="0" xfId="0" applyNumberFormat="1" applyFont="1"/>
    <xf numFmtId="3" fontId="45" fillId="0" borderId="30" xfId="0" applyNumberFormat="1" applyFont="1" applyBorder="1" applyAlignment="1">
      <alignment horizontal="center"/>
    </xf>
    <xf numFmtId="3" fontId="38" fillId="0" borderId="58" xfId="0" applyNumberFormat="1" applyFont="1" applyBorder="1"/>
    <xf numFmtId="3" fontId="38" fillId="0" borderId="22" xfId="0" applyNumberFormat="1" applyFont="1" applyBorder="1"/>
    <xf numFmtId="3" fontId="38" fillId="0" borderId="34" xfId="0" applyNumberFormat="1" applyFont="1" applyBorder="1"/>
    <xf numFmtId="3" fontId="36" fillId="0" borderId="42" xfId="0" applyNumberFormat="1" applyFont="1" applyBorder="1" applyAlignment="1">
      <alignment horizontal="right"/>
    </xf>
    <xf numFmtId="3" fontId="38" fillId="0" borderId="26" xfId="0" applyNumberFormat="1" applyFont="1" applyBorder="1" applyAlignment="1">
      <alignment horizontal="right"/>
    </xf>
    <xf numFmtId="3" fontId="38" fillId="0" borderId="34" xfId="0" applyNumberFormat="1" applyFont="1" applyBorder="1" applyAlignment="1">
      <alignment horizontal="right"/>
    </xf>
    <xf numFmtId="3" fontId="38" fillId="0" borderId="27" xfId="0" applyNumberFormat="1" applyFont="1" applyBorder="1" applyAlignment="1">
      <alignment horizontal="centerContinuous"/>
    </xf>
    <xf numFmtId="3" fontId="38" fillId="0" borderId="27" xfId="0" applyNumberFormat="1" applyFont="1" applyBorder="1" applyAlignment="1">
      <alignment horizontal="right"/>
    </xf>
    <xf numFmtId="3" fontId="36" fillId="0" borderId="27" xfId="0" applyNumberFormat="1" applyFont="1" applyBorder="1" applyAlignment="1">
      <alignment horizontal="centerContinuous"/>
    </xf>
    <xf numFmtId="3" fontId="36" fillId="0" borderId="27" xfId="0" applyNumberFormat="1" applyFont="1" applyBorder="1" applyAlignment="1">
      <alignment horizontal="right"/>
    </xf>
    <xf numFmtId="3" fontId="38" fillId="0" borderId="27" xfId="0" applyNumberFormat="1" applyFont="1" applyBorder="1"/>
    <xf numFmtId="3" fontId="38" fillId="0" borderId="27" xfId="0" applyNumberFormat="1" applyFont="1" applyBorder="1" applyAlignment="1">
      <alignment horizontal="center"/>
    </xf>
    <xf numFmtId="3" fontId="38" fillId="0" borderId="30" xfId="0" applyNumberFormat="1" applyFont="1" applyBorder="1" applyAlignment="1">
      <alignment horizontal="center"/>
    </xf>
    <xf numFmtId="3" fontId="36" fillId="0" borderId="38" xfId="0" applyNumberFormat="1" applyFont="1" applyBorder="1"/>
    <xf numFmtId="3" fontId="34" fillId="0" borderId="26" xfId="0" applyNumberFormat="1" applyFont="1" applyBorder="1" applyAlignment="1">
      <alignment horizontal="center"/>
    </xf>
    <xf numFmtId="3" fontId="34" fillId="0" borderId="27" xfId="0" applyNumberFormat="1" applyFont="1" applyBorder="1" applyAlignment="1">
      <alignment horizontal="center"/>
    </xf>
    <xf numFmtId="3" fontId="34" fillId="0" borderId="30" xfId="0" applyNumberFormat="1" applyFont="1" applyBorder="1" applyAlignment="1">
      <alignment horizontal="center"/>
    </xf>
    <xf numFmtId="3" fontId="37" fillId="0" borderId="30" xfId="0" applyNumberFormat="1" applyFont="1" applyBorder="1" applyAlignment="1">
      <alignment horizontal="center"/>
    </xf>
    <xf numFmtId="3" fontId="38" fillId="0" borderId="58" xfId="0" applyNumberFormat="1" applyFont="1" applyBorder="1" applyAlignment="1">
      <alignment horizontal="right"/>
    </xf>
    <xf numFmtId="3" fontId="38" fillId="0" borderId="22" xfId="0" applyNumberFormat="1" applyFont="1" applyBorder="1" applyAlignment="1">
      <alignment horizontal="right"/>
    </xf>
    <xf numFmtId="3" fontId="38" fillId="0" borderId="35" xfId="0" applyNumberFormat="1" applyFont="1" applyBorder="1"/>
    <xf numFmtId="3" fontId="51" fillId="0" borderId="37" xfId="0" applyNumberFormat="1" applyFont="1" applyBorder="1"/>
    <xf numFmtId="3" fontId="36" fillId="0" borderId="38" xfId="0" applyNumberFormat="1" applyFont="1" applyBorder="1" applyAlignment="1">
      <alignment horizontal="right"/>
    </xf>
    <xf numFmtId="3" fontId="36" fillId="0" borderId="0" xfId="0" applyNumberFormat="1" applyFont="1" applyAlignment="1">
      <alignment horizontal="center"/>
    </xf>
    <xf numFmtId="3" fontId="36" fillId="0" borderId="26" xfId="0" applyNumberFormat="1" applyFont="1" applyBorder="1" applyAlignment="1">
      <alignment horizontal="center"/>
    </xf>
    <xf numFmtId="3" fontId="36" fillId="0" borderId="27" xfId="0" applyNumberFormat="1" applyFont="1" applyBorder="1" applyAlignment="1">
      <alignment horizontal="center"/>
    </xf>
    <xf numFmtId="3" fontId="36" fillId="0" borderId="30" xfId="0" applyNumberFormat="1" applyFont="1" applyBorder="1" applyAlignment="1">
      <alignment horizontal="right"/>
    </xf>
    <xf numFmtId="3" fontId="36" fillId="0" borderId="30" xfId="0" applyNumberFormat="1" applyFont="1" applyBorder="1" applyAlignment="1">
      <alignment horizontal="center"/>
    </xf>
    <xf numFmtId="3" fontId="36" fillId="0" borderId="26" xfId="0" applyNumberFormat="1" applyFont="1" applyBorder="1" applyAlignment="1">
      <alignment horizontal="right"/>
    </xf>
    <xf numFmtId="3" fontId="36" fillId="0" borderId="42" xfId="0" applyNumberFormat="1" applyFont="1" applyBorder="1"/>
    <xf numFmtId="3" fontId="36" fillId="0" borderId="25" xfId="0" applyNumberFormat="1" applyFont="1" applyBorder="1" applyAlignment="1">
      <alignment horizontal="left"/>
    </xf>
    <xf numFmtId="3" fontId="36" fillId="0" borderId="26" xfId="0" applyNumberFormat="1" applyFont="1" applyBorder="1" applyAlignment="1">
      <alignment horizontal="left"/>
    </xf>
    <xf numFmtId="3" fontId="38" fillId="0" borderId="30" xfId="0" applyNumberFormat="1" applyFont="1" applyBorder="1"/>
    <xf numFmtId="0" fontId="39" fillId="0" borderId="19" xfId="0" applyFont="1" applyBorder="1"/>
    <xf numFmtId="0" fontId="35" fillId="0" borderId="0" xfId="0" applyFont="1"/>
    <xf numFmtId="0" fontId="46" fillId="0" borderId="0" xfId="0" applyFont="1"/>
    <xf numFmtId="0" fontId="30" fillId="0" borderId="32" xfId="0" applyFont="1" applyBorder="1"/>
    <xf numFmtId="0" fontId="32" fillId="27" borderId="32" xfId="0" applyFont="1" applyFill="1" applyBorder="1"/>
    <xf numFmtId="0" fontId="32" fillId="27" borderId="59" xfId="0" applyFont="1" applyFill="1" applyBorder="1"/>
    <xf numFmtId="0" fontId="37" fillId="27" borderId="38" xfId="0" applyFont="1" applyFill="1" applyBorder="1"/>
    <xf numFmtId="0" fontId="32" fillId="0" borderId="32" xfId="0" applyFont="1" applyBorder="1" applyAlignment="1">
      <alignment wrapText="1"/>
    </xf>
    <xf numFmtId="0" fontId="32" fillId="0" borderId="34" xfId="0" applyFont="1" applyBorder="1" applyAlignment="1">
      <alignment horizontal="justify"/>
    </xf>
    <xf numFmtId="0" fontId="32" fillId="0" borderId="36" xfId="0" applyFont="1" applyBorder="1" applyAlignment="1">
      <alignment wrapText="1"/>
    </xf>
    <xf numFmtId="0" fontId="37" fillId="0" borderId="42" xfId="0" applyFont="1" applyBorder="1" applyAlignment="1">
      <alignment wrapText="1"/>
    </xf>
    <xf numFmtId="0" fontId="32" fillId="27" borderId="31" xfId="0" applyFont="1" applyFill="1" applyBorder="1"/>
    <xf numFmtId="0" fontId="37" fillId="0" borderId="55" xfId="0" applyFont="1" applyBorder="1"/>
    <xf numFmtId="0" fontId="37" fillId="27" borderId="38" xfId="0" applyFont="1" applyFill="1" applyBorder="1" applyAlignment="1">
      <alignment horizontal="justify"/>
    </xf>
    <xf numFmtId="0" fontId="35" fillId="0" borderId="19" xfId="0" applyFont="1" applyBorder="1" applyAlignment="1">
      <alignment horizontal="justify"/>
    </xf>
    <xf numFmtId="0" fontId="32" fillId="0" borderId="32" xfId="0" applyFont="1" applyBorder="1" applyAlignment="1">
      <alignment horizontal="justify"/>
    </xf>
    <xf numFmtId="0" fontId="32" fillId="0" borderId="34" xfId="0" applyFont="1" applyBorder="1" applyAlignment="1">
      <alignment wrapText="1"/>
    </xf>
    <xf numFmtId="0" fontId="37" fillId="0" borderId="55" xfId="0" applyFont="1" applyBorder="1" applyAlignment="1">
      <alignment horizontal="left"/>
    </xf>
    <xf numFmtId="0" fontId="37" fillId="0" borderId="28" xfId="0" applyFont="1" applyBorder="1" applyAlignment="1">
      <alignment horizontal="left"/>
    </xf>
    <xf numFmtId="0" fontId="37" fillId="0" borderId="26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2" fillId="27" borderId="38" xfId="0" applyFont="1" applyFill="1" applyBorder="1" applyAlignment="1">
      <alignment horizontal="justify"/>
    </xf>
    <xf numFmtId="0" fontId="37" fillId="0" borderId="44" xfId="0" applyFont="1" applyBorder="1"/>
    <xf numFmtId="0" fontId="37" fillId="0" borderId="19" xfId="0" applyFont="1" applyBorder="1"/>
    <xf numFmtId="0" fontId="42" fillId="0" borderId="32" xfId="0" applyFont="1" applyBorder="1" applyAlignment="1">
      <alignment wrapText="1"/>
    </xf>
    <xf numFmtId="0" fontId="45" fillId="0" borderId="44" xfId="0" applyFont="1" applyBorder="1"/>
    <xf numFmtId="0" fontId="37" fillId="0" borderId="28" xfId="0" applyFont="1" applyBorder="1"/>
    <xf numFmtId="0" fontId="37" fillId="0" borderId="24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3" fontId="45" fillId="27" borderId="38" xfId="0" applyNumberFormat="1" applyFont="1" applyFill="1" applyBorder="1" applyAlignment="1">
      <alignment wrapText="1"/>
    </xf>
    <xf numFmtId="3" fontId="46" fillId="0" borderId="19" xfId="0" applyNumberFormat="1" applyFont="1" applyBorder="1" applyAlignment="1">
      <alignment wrapText="1"/>
    </xf>
    <xf numFmtId="0" fontId="42" fillId="0" borderId="44" xfId="0" applyFont="1" applyBorder="1" applyAlignment="1">
      <alignment horizontal="justify" wrapText="1"/>
    </xf>
    <xf numFmtId="0" fontId="30" fillId="0" borderId="71" xfId="0" applyFont="1" applyBorder="1" applyAlignment="1">
      <alignment horizontal="justify" wrapText="1"/>
    </xf>
    <xf numFmtId="0" fontId="30" fillId="27" borderId="22" xfId="0" applyFont="1" applyFill="1" applyBorder="1" applyAlignment="1">
      <alignment horizontal="left" wrapText="1"/>
    </xf>
    <xf numFmtId="0" fontId="34" fillId="0" borderId="42" xfId="0" applyFont="1" applyBorder="1" applyAlignment="1">
      <alignment horizontal="left" wrapText="1"/>
    </xf>
    <xf numFmtId="0" fontId="54" fillId="0" borderId="27" xfId="0" applyFont="1" applyBorder="1" applyAlignment="1">
      <alignment horizontal="left" wrapText="1"/>
    </xf>
    <xf numFmtId="0" fontId="30" fillId="27" borderId="34" xfId="0" applyFont="1" applyFill="1" applyBorder="1" applyAlignment="1">
      <alignment horizontal="left" wrapText="1"/>
    </xf>
    <xf numFmtId="3" fontId="30" fillId="29" borderId="32" xfId="0" applyNumberFormat="1" applyFont="1" applyFill="1" applyBorder="1" applyAlignment="1">
      <alignment wrapText="1"/>
    </xf>
    <xf numFmtId="0" fontId="30" fillId="27" borderId="27" xfId="0" applyFont="1" applyFill="1" applyBorder="1" applyAlignment="1">
      <alignment horizontal="left" wrapText="1"/>
    </xf>
    <xf numFmtId="0" fontId="34" fillId="0" borderId="51" xfId="0" applyFont="1" applyBorder="1" applyAlignment="1">
      <alignment horizontal="left" wrapText="1"/>
    </xf>
    <xf numFmtId="0" fontId="54" fillId="0" borderId="49" xfId="0" applyFont="1" applyBorder="1" applyAlignment="1">
      <alignment horizontal="left" wrapText="1"/>
    </xf>
    <xf numFmtId="0" fontId="30" fillId="0" borderId="22" xfId="0" applyFont="1" applyBorder="1" applyAlignment="1">
      <alignment horizontal="left" wrapText="1"/>
    </xf>
    <xf numFmtId="3" fontId="30" fillId="29" borderId="59" xfId="0" applyNumberFormat="1" applyFont="1" applyFill="1" applyBorder="1" applyAlignment="1">
      <alignment wrapText="1"/>
    </xf>
    <xf numFmtId="0" fontId="30" fillId="0" borderId="34" xfId="0" applyFont="1" applyBorder="1" applyAlignment="1">
      <alignment horizontal="left" wrapText="1"/>
    </xf>
    <xf numFmtId="0" fontId="30" fillId="0" borderId="63" xfId="0" applyFont="1" applyBorder="1" applyAlignment="1">
      <alignment horizontal="left" wrapText="1"/>
    </xf>
    <xf numFmtId="0" fontId="30" fillId="0" borderId="22" xfId="0" applyFont="1" applyBorder="1"/>
    <xf numFmtId="49" fontId="30" fillId="0" borderId="63" xfId="0" applyNumberFormat="1" applyFont="1" applyBorder="1" applyAlignment="1">
      <alignment horizontal="justify" wrapText="1"/>
    </xf>
    <xf numFmtId="0" fontId="55" fillId="0" borderId="27" xfId="0" applyFont="1" applyBorder="1" applyAlignment="1">
      <alignment horizontal="left" wrapText="1"/>
    </xf>
    <xf numFmtId="0" fontId="30" fillId="0" borderId="63" xfId="0" applyFont="1" applyBorder="1"/>
    <xf numFmtId="0" fontId="54" fillId="0" borderId="35" xfId="0" applyFont="1" applyBorder="1" applyAlignment="1">
      <alignment horizontal="left" wrapText="1"/>
    </xf>
    <xf numFmtId="0" fontId="30" fillId="0" borderId="59" xfId="0" applyFont="1" applyBorder="1" applyAlignment="1">
      <alignment horizontal="justify" wrapText="1"/>
    </xf>
    <xf numFmtId="0" fontId="30" fillId="0" borderId="76" xfId="0" applyFont="1" applyBorder="1" applyAlignment="1">
      <alignment wrapText="1"/>
    </xf>
    <xf numFmtId="0" fontId="30" fillId="0" borderId="61" xfId="0" applyFont="1" applyBorder="1" applyAlignment="1">
      <alignment horizontal="left" wrapText="1"/>
    </xf>
    <xf numFmtId="0" fontId="30" fillId="0" borderId="35" xfId="0" applyFont="1" applyBorder="1" applyAlignment="1">
      <alignment horizontal="left" wrapText="1"/>
    </xf>
    <xf numFmtId="0" fontId="54" fillId="0" borderId="26" xfId="0" applyFont="1" applyBorder="1" applyAlignment="1">
      <alignment horizontal="left" wrapText="1"/>
    </xf>
    <xf numFmtId="0" fontId="30" fillId="0" borderId="22" xfId="0" applyFont="1" applyBorder="1" applyAlignment="1">
      <alignment horizontal="left" wrapText="1" shrinkToFit="1"/>
    </xf>
    <xf numFmtId="0" fontId="30" fillId="0" borderId="34" xfId="0" applyFont="1" applyBorder="1" applyAlignment="1">
      <alignment horizontal="left" wrapText="1" shrinkToFit="1"/>
    </xf>
    <xf numFmtId="0" fontId="30" fillId="0" borderId="32" xfId="0" applyFont="1" applyBorder="1" applyAlignment="1">
      <alignment horizontal="justify" wrapText="1"/>
    </xf>
    <xf numFmtId="0" fontId="34" fillId="0" borderId="30" xfId="0" applyFont="1" applyBorder="1" applyAlignment="1">
      <alignment horizontal="left" wrapText="1"/>
    </xf>
    <xf numFmtId="0" fontId="30" fillId="0" borderId="0" xfId="0" applyFont="1" applyAlignment="1">
      <alignment horizontal="left" wrapText="1"/>
    </xf>
    <xf numFmtId="0" fontId="34" fillId="0" borderId="24" xfId="0" applyFont="1" applyBorder="1" applyAlignment="1">
      <alignment horizontal="center" wrapText="1"/>
    </xf>
    <xf numFmtId="0" fontId="30" fillId="0" borderId="28" xfId="0" applyFont="1" applyBorder="1" applyAlignment="1">
      <alignment horizontal="left" wrapText="1"/>
    </xf>
    <xf numFmtId="0" fontId="30" fillId="0" borderId="74" xfId="0" applyFont="1" applyBorder="1" applyAlignment="1">
      <alignment horizontal="justify" wrapText="1"/>
    </xf>
    <xf numFmtId="0" fontId="30" fillId="0" borderId="19" xfId="0" applyFont="1" applyBorder="1" applyAlignment="1">
      <alignment horizontal="left" wrapText="1"/>
    </xf>
    <xf numFmtId="0" fontId="32" fillId="27" borderId="58" xfId="0" applyFont="1" applyFill="1" applyBorder="1"/>
    <xf numFmtId="0" fontId="32" fillId="0" borderId="22" xfId="0" applyFont="1" applyBorder="1"/>
    <xf numFmtId="0" fontId="32" fillId="0" borderId="22" xfId="0" applyFont="1" applyBorder="1" applyAlignment="1">
      <alignment horizontal="justify"/>
    </xf>
    <xf numFmtId="0" fontId="32" fillId="0" borderId="34" xfId="0" applyFont="1" applyBorder="1"/>
    <xf numFmtId="3" fontId="32" fillId="0" borderId="0" xfId="0" applyNumberFormat="1" applyFont="1"/>
    <xf numFmtId="0" fontId="45" fillId="0" borderId="24" xfId="0" applyFont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42" fillId="27" borderId="58" xfId="0" applyFont="1" applyFill="1" applyBorder="1"/>
    <xf numFmtId="3" fontId="42" fillId="27" borderId="22" xfId="0" applyNumberFormat="1" applyFont="1" applyFill="1" applyBorder="1" applyProtection="1">
      <protection locked="0"/>
    </xf>
    <xf numFmtId="0" fontId="42" fillId="27" borderId="63" xfId="0" applyFont="1" applyFill="1" applyBorder="1"/>
    <xf numFmtId="0" fontId="42" fillId="27" borderId="32" xfId="0" applyFont="1" applyFill="1" applyBorder="1"/>
    <xf numFmtId="0" fontId="50" fillId="0" borderId="32" xfId="0" applyFont="1" applyBorder="1"/>
    <xf numFmtId="0" fontId="42" fillId="0" borderId="19" xfId="0" applyFont="1" applyBorder="1" applyAlignment="1">
      <alignment wrapText="1"/>
    </xf>
    <xf numFmtId="0" fontId="46" fillId="0" borderId="44" xfId="0" applyFont="1" applyBorder="1" applyAlignment="1">
      <alignment horizontal="left"/>
    </xf>
    <xf numFmtId="0" fontId="42" fillId="0" borderId="63" xfId="0" applyFont="1" applyBorder="1" applyAlignment="1">
      <alignment wrapText="1"/>
    </xf>
    <xf numFmtId="0" fontId="42" fillId="0" borderId="35" xfId="0" applyFont="1" applyBorder="1"/>
    <xf numFmtId="0" fontId="45" fillId="0" borderId="28" xfId="0" applyFont="1" applyBorder="1" applyAlignment="1">
      <alignment horizontal="left"/>
    </xf>
    <xf numFmtId="3" fontId="45" fillId="0" borderId="26" xfId="0" applyNumberFormat="1" applyFont="1" applyBorder="1" applyAlignment="1">
      <alignment horizontal="center" wrapText="1"/>
    </xf>
    <xf numFmtId="0" fontId="42" fillId="0" borderId="0" xfId="0" applyFont="1" applyAlignment="1">
      <alignment wrapText="1"/>
    </xf>
    <xf numFmtId="3" fontId="45" fillId="0" borderId="30" xfId="0" applyNumberFormat="1" applyFont="1" applyBorder="1" applyAlignment="1">
      <alignment horizontal="center" wrapText="1"/>
    </xf>
    <xf numFmtId="0" fontId="42" fillId="27" borderId="32" xfId="0" applyFont="1" applyFill="1" applyBorder="1" applyAlignment="1">
      <alignment horizontal="left"/>
    </xf>
    <xf numFmtId="0" fontId="42" fillId="27" borderId="32" xfId="0" applyFont="1" applyFill="1" applyBorder="1" applyAlignment="1">
      <alignment horizontal="left" vertical="center" wrapText="1"/>
    </xf>
    <xf numFmtId="0" fontId="42" fillId="27" borderId="32" xfId="0" applyFont="1" applyFill="1" applyBorder="1" applyAlignment="1">
      <alignment horizontal="justify"/>
    </xf>
    <xf numFmtId="0" fontId="42" fillId="27" borderId="32" xfId="0" applyFont="1" applyFill="1" applyBorder="1" applyAlignment="1">
      <alignment horizontal="left" wrapText="1"/>
    </xf>
    <xf numFmtId="0" fontId="42" fillId="29" borderId="63" xfId="0" applyFont="1" applyFill="1" applyBorder="1"/>
    <xf numFmtId="0" fontId="42" fillId="29" borderId="63" xfId="0" applyFont="1" applyFill="1" applyBorder="1" applyAlignment="1">
      <alignment wrapText="1"/>
    </xf>
    <xf numFmtId="0" fontId="45" fillId="0" borderId="44" xfId="0" applyFont="1" applyBorder="1" applyAlignment="1">
      <alignment horizontal="left"/>
    </xf>
    <xf numFmtId="0" fontId="32" fillId="0" borderId="24" xfId="48" applyFont="1" applyBorder="1"/>
    <xf numFmtId="0" fontId="37" fillId="0" borderId="25" xfId="48" applyFont="1" applyBorder="1" applyAlignment="1">
      <alignment horizontal="center"/>
    </xf>
    <xf numFmtId="0" fontId="32" fillId="0" borderId="28" xfId="48" applyFont="1" applyBorder="1"/>
    <xf numFmtId="0" fontId="32" fillId="0" borderId="29" xfId="48" applyFont="1" applyBorder="1" applyAlignment="1">
      <alignment horizontal="center"/>
    </xf>
    <xf numFmtId="0" fontId="37" fillId="0" borderId="24" xfId="48" applyFont="1" applyBorder="1"/>
    <xf numFmtId="0" fontId="32" fillId="0" borderId="25" xfId="48" applyFont="1" applyBorder="1" applyAlignment="1">
      <alignment horizontal="center"/>
    </xf>
    <xf numFmtId="0" fontId="37" fillId="0" borderId="19" xfId="48" applyFont="1" applyBorder="1"/>
    <xf numFmtId="0" fontId="32" fillId="0" borderId="20" xfId="48" applyFont="1" applyBorder="1" applyAlignment="1">
      <alignment wrapText="1"/>
    </xf>
    <xf numFmtId="0" fontId="37" fillId="0" borderId="28" xfId="48" applyFont="1" applyBorder="1"/>
    <xf numFmtId="0" fontId="32" fillId="0" borderId="0" xfId="48" applyFont="1" applyAlignment="1">
      <alignment horizontal="justify"/>
    </xf>
    <xf numFmtId="0" fontId="32" fillId="0" borderId="19" xfId="48" applyFont="1" applyBorder="1" applyAlignment="1">
      <alignment horizontal="right"/>
    </xf>
    <xf numFmtId="0" fontId="32" fillId="0" borderId="20" xfId="48" applyFont="1" applyBorder="1" applyAlignment="1">
      <alignment horizontal="justify"/>
    </xf>
    <xf numFmtId="0" fontId="37" fillId="0" borderId="44" xfId="48" applyFont="1" applyBorder="1"/>
    <xf numFmtId="0" fontId="32" fillId="0" borderId="41" xfId="48" applyFont="1" applyBorder="1" applyAlignment="1">
      <alignment horizontal="center"/>
    </xf>
    <xf numFmtId="0" fontId="37" fillId="0" borderId="64" xfId="48" applyFont="1" applyBorder="1" applyAlignment="1">
      <alignment horizontal="left"/>
    </xf>
    <xf numFmtId="0" fontId="37" fillId="0" borderId="48" xfId="48" applyFont="1" applyBorder="1" applyAlignment="1">
      <alignment horizontal="center"/>
    </xf>
    <xf numFmtId="0" fontId="37" fillId="0" borderId="19" xfId="48" applyFont="1" applyBorder="1" applyAlignment="1">
      <alignment horizontal="left"/>
    </xf>
    <xf numFmtId="0" fontId="37" fillId="0" borderId="0" xfId="48" applyFont="1" applyAlignment="1">
      <alignment horizontal="justify"/>
    </xf>
    <xf numFmtId="0" fontId="32" fillId="0" borderId="20" xfId="48" applyFont="1" applyBorder="1" applyAlignment="1">
      <alignment horizontal="left"/>
    </xf>
    <xf numFmtId="0" fontId="32" fillId="0" borderId="0" xfId="48" applyFont="1" applyAlignment="1">
      <alignment horizontal="left"/>
    </xf>
    <xf numFmtId="0" fontId="37" fillId="0" borderId="65" xfId="48" applyFont="1" applyBorder="1" applyAlignment="1">
      <alignment horizontal="justify"/>
    </xf>
    <xf numFmtId="0" fontId="32" fillId="0" borderId="20" xfId="48" applyFont="1" applyBorder="1" applyAlignment="1">
      <alignment horizontal="left" wrapText="1"/>
    </xf>
    <xf numFmtId="0" fontId="37" fillId="0" borderId="0" xfId="48" applyFont="1" applyAlignment="1">
      <alignment horizontal="left"/>
    </xf>
    <xf numFmtId="0" fontId="32" fillId="0" borderId="0" xfId="0" applyFont="1" applyAlignment="1">
      <alignment horizontal="left"/>
    </xf>
    <xf numFmtId="0" fontId="32" fillId="0" borderId="33" xfId="0" applyFont="1" applyBorder="1" applyAlignment="1">
      <alignment horizontal="left"/>
    </xf>
    <xf numFmtId="0" fontId="36" fillId="0" borderId="0" xfId="48" applyFont="1" applyAlignment="1">
      <alignment horizontal="center"/>
    </xf>
    <xf numFmtId="3" fontId="38" fillId="0" borderId="0" xfId="0" applyNumberFormat="1" applyFont="1"/>
    <xf numFmtId="0" fontId="38" fillId="0" borderId="27" xfId="0" applyFont="1" applyBorder="1"/>
    <xf numFmtId="3" fontId="56" fillId="0" borderId="27" xfId="0" applyNumberFormat="1" applyFont="1" applyBorder="1"/>
    <xf numFmtId="3" fontId="36" fillId="0" borderId="36" xfId="0" applyNumberFormat="1" applyFont="1" applyBorder="1"/>
    <xf numFmtId="3" fontId="38" fillId="0" borderId="22" xfId="48" applyNumberFormat="1" applyFont="1" applyBorder="1" applyAlignment="1">
      <alignment horizontal="right"/>
    </xf>
    <xf numFmtId="3" fontId="36" fillId="0" borderId="45" xfId="0" applyNumberFormat="1" applyFont="1" applyBorder="1"/>
    <xf numFmtId="3" fontId="36" fillId="0" borderId="26" xfId="0" applyNumberFormat="1" applyFont="1" applyBorder="1"/>
    <xf numFmtId="0" fontId="36" fillId="0" borderId="26" xfId="0" applyFont="1" applyBorder="1" applyAlignment="1">
      <alignment horizontal="left"/>
    </xf>
    <xf numFmtId="3" fontId="56" fillId="0" borderId="27" xfId="0" applyNumberFormat="1" applyFont="1" applyBorder="1" applyProtection="1">
      <protection locked="0"/>
    </xf>
    <xf numFmtId="3" fontId="56" fillId="0" borderId="49" xfId="0" applyNumberFormat="1" applyFont="1" applyBorder="1" applyProtection="1">
      <protection locked="0"/>
    </xf>
    <xf numFmtId="3" fontId="56" fillId="0" borderId="51" xfId="0" applyNumberFormat="1" applyFont="1" applyBorder="1" applyProtection="1">
      <protection locked="0"/>
    </xf>
    <xf numFmtId="3" fontId="38" fillId="0" borderId="22" xfId="0" applyNumberFormat="1" applyFont="1" applyBorder="1" applyProtection="1">
      <protection locked="0"/>
    </xf>
    <xf numFmtId="3" fontId="56" fillId="0" borderId="51" xfId="0" applyNumberFormat="1" applyFont="1" applyBorder="1"/>
    <xf numFmtId="3" fontId="56" fillId="0" borderId="49" xfId="0" applyNumberFormat="1" applyFont="1" applyBorder="1"/>
    <xf numFmtId="3" fontId="38" fillId="0" borderId="34" xfId="0" applyNumberFormat="1" applyFont="1" applyBorder="1" applyProtection="1">
      <protection locked="0"/>
    </xf>
    <xf numFmtId="3" fontId="38" fillId="0" borderId="27" xfId="0" applyNumberFormat="1" applyFont="1" applyBorder="1" applyProtection="1">
      <protection locked="0"/>
    </xf>
    <xf numFmtId="3" fontId="38" fillId="0" borderId="49" xfId="0" applyNumberFormat="1" applyFont="1" applyBorder="1"/>
    <xf numFmtId="3" fontId="56" fillId="0" borderId="42" xfId="0" applyNumberFormat="1" applyFont="1" applyBorder="1"/>
    <xf numFmtId="3" fontId="36" fillId="0" borderId="30" xfId="0" applyNumberFormat="1" applyFont="1" applyBorder="1"/>
    <xf numFmtId="3" fontId="36" fillId="0" borderId="42" xfId="0" applyNumberFormat="1" applyFont="1" applyBorder="1" applyProtection="1">
      <protection locked="0"/>
    </xf>
    <xf numFmtId="0" fontId="56" fillId="0" borderId="26" xfId="0" applyFont="1" applyBorder="1" applyAlignment="1">
      <alignment horizontal="left"/>
    </xf>
    <xf numFmtId="0" fontId="56" fillId="0" borderId="27" xfId="0" applyFont="1" applyBorder="1" applyAlignment="1">
      <alignment horizontal="left"/>
    </xf>
    <xf numFmtId="3" fontId="36" fillId="0" borderId="27" xfId="0" applyNumberFormat="1" applyFont="1" applyBorder="1"/>
    <xf numFmtId="3" fontId="36" fillId="0" borderId="38" xfId="0" applyNumberFormat="1" applyFont="1" applyBorder="1" applyProtection="1">
      <protection locked="0"/>
    </xf>
    <xf numFmtId="0" fontId="38" fillId="0" borderId="26" xfId="0" applyFont="1" applyBorder="1"/>
    <xf numFmtId="3" fontId="38" fillId="27" borderId="22" xfId="0" applyNumberFormat="1" applyFont="1" applyFill="1" applyBorder="1"/>
    <xf numFmtId="3" fontId="38" fillId="27" borderId="36" xfId="0" applyNumberFormat="1" applyFont="1" applyFill="1" applyBorder="1"/>
    <xf numFmtId="3" fontId="36" fillId="27" borderId="38" xfId="0" applyNumberFormat="1" applyFont="1" applyFill="1" applyBorder="1"/>
    <xf numFmtId="3" fontId="38" fillId="27" borderId="58" xfId="0" applyNumberFormat="1" applyFont="1" applyFill="1" applyBorder="1"/>
    <xf numFmtId="3" fontId="38" fillId="0" borderId="19" xfId="0" applyNumberFormat="1" applyFont="1" applyBorder="1"/>
    <xf numFmtId="3" fontId="36" fillId="0" borderId="55" xfId="0" applyNumberFormat="1" applyFont="1" applyBorder="1" applyAlignment="1">
      <alignment horizontal="right" wrapText="1"/>
    </xf>
    <xf numFmtId="3" fontId="36" fillId="0" borderId="42" xfId="0" applyNumberFormat="1" applyFont="1" applyBorder="1" applyAlignment="1">
      <alignment horizontal="right" wrapText="1"/>
    </xf>
    <xf numFmtId="3" fontId="38" fillId="27" borderId="27" xfId="0" applyNumberFormat="1" applyFont="1" applyFill="1" applyBorder="1"/>
    <xf numFmtId="3" fontId="36" fillId="0" borderId="55" xfId="0" applyNumberFormat="1" applyFont="1" applyBorder="1"/>
    <xf numFmtId="0" fontId="36" fillId="0" borderId="0" xfId="0" applyFont="1"/>
    <xf numFmtId="3" fontId="36" fillId="0" borderId="0" xfId="0" applyNumberFormat="1" applyFont="1"/>
    <xf numFmtId="3" fontId="38" fillId="27" borderId="0" xfId="0" applyNumberFormat="1" applyFont="1" applyFill="1" applyAlignment="1">
      <alignment horizontal="right"/>
    </xf>
    <xf numFmtId="0" fontId="38" fillId="0" borderId="0" xfId="0" applyFont="1"/>
    <xf numFmtId="3" fontId="38" fillId="0" borderId="26" xfId="0" applyNumberFormat="1" applyFont="1" applyBorder="1"/>
    <xf numFmtId="3" fontId="38" fillId="0" borderId="38" xfId="0" applyNumberFormat="1" applyFont="1" applyBorder="1"/>
    <xf numFmtId="3" fontId="38" fillId="27" borderId="38" xfId="0" applyNumberFormat="1" applyFont="1" applyFill="1" applyBorder="1"/>
    <xf numFmtId="3" fontId="38" fillId="0" borderId="61" xfId="0" applyNumberFormat="1" applyFont="1" applyBorder="1"/>
    <xf numFmtId="3" fontId="56" fillId="0" borderId="27" xfId="0" applyNumberFormat="1" applyFont="1" applyBorder="1" applyAlignment="1">
      <alignment horizontal="left"/>
    </xf>
    <xf numFmtId="3" fontId="36" fillId="0" borderId="49" xfId="0" applyNumberFormat="1" applyFont="1" applyBorder="1" applyAlignment="1">
      <alignment horizontal="center"/>
    </xf>
    <xf numFmtId="3" fontId="38" fillId="0" borderId="22" xfId="51" applyNumberFormat="1" applyFont="1" applyBorder="1" applyAlignment="1">
      <alignment horizontal="right" wrapText="1"/>
    </xf>
    <xf numFmtId="3" fontId="38" fillId="0" borderId="51" xfId="0" applyNumberFormat="1" applyFont="1" applyBorder="1" applyAlignment="1">
      <alignment horizontal="right"/>
    </xf>
    <xf numFmtId="3" fontId="38" fillId="27" borderId="51" xfId="0" applyNumberFormat="1" applyFont="1" applyFill="1" applyBorder="1" applyAlignment="1">
      <alignment horizontal="right"/>
    </xf>
    <xf numFmtId="3" fontId="38" fillId="27" borderId="28" xfId="0" applyNumberFormat="1" applyFont="1" applyFill="1" applyBorder="1" applyAlignment="1">
      <alignment horizontal="right"/>
    </xf>
    <xf numFmtId="3" fontId="38" fillId="0" borderId="30" xfId="0" applyNumberFormat="1" applyFont="1" applyBorder="1" applyAlignment="1">
      <alignment horizontal="right"/>
    </xf>
    <xf numFmtId="3" fontId="36" fillId="0" borderId="44" xfId="0" applyNumberFormat="1" applyFont="1" applyBorder="1"/>
    <xf numFmtId="3" fontId="36" fillId="0" borderId="19" xfId="0" applyNumberFormat="1" applyFont="1" applyBorder="1"/>
    <xf numFmtId="0" fontId="56" fillId="0" borderId="26" xfId="0" applyFont="1" applyBorder="1" applyAlignment="1">
      <alignment wrapText="1"/>
    </xf>
    <xf numFmtId="0" fontId="56" fillId="0" borderId="24" xfId="0" applyFont="1" applyBorder="1" applyAlignment="1">
      <alignment wrapText="1"/>
    </xf>
    <xf numFmtId="3" fontId="38" fillId="27" borderId="22" xfId="0" applyNumberFormat="1" applyFont="1" applyFill="1" applyBorder="1" applyAlignment="1">
      <alignment wrapText="1"/>
    </xf>
    <xf numFmtId="3" fontId="38" fillId="0" borderId="22" xfId="0" applyNumberFormat="1" applyFont="1" applyBorder="1" applyAlignment="1">
      <alignment wrapText="1"/>
    </xf>
    <xf numFmtId="3" fontId="38" fillId="0" borderId="27" xfId="0" applyNumberFormat="1" applyFont="1" applyBorder="1" applyAlignment="1">
      <alignment wrapText="1"/>
    </xf>
    <xf numFmtId="3" fontId="36" fillId="0" borderId="42" xfId="0" applyNumberFormat="1" applyFont="1" applyBorder="1" applyAlignment="1">
      <alignment wrapText="1"/>
    </xf>
    <xf numFmtId="3" fontId="36" fillId="0" borderId="38" xfId="0" applyNumberFormat="1" applyFont="1" applyBorder="1" applyAlignment="1">
      <alignment wrapText="1"/>
    </xf>
    <xf numFmtId="3" fontId="38" fillId="0" borderId="38" xfId="0" applyNumberFormat="1" applyFont="1" applyBorder="1" applyAlignment="1">
      <alignment wrapText="1"/>
    </xf>
    <xf numFmtId="0" fontId="36" fillId="0" borderId="41" xfId="0" applyFont="1" applyBorder="1" applyAlignment="1">
      <alignment wrapText="1"/>
    </xf>
    <xf numFmtId="3" fontId="36" fillId="0" borderId="45" xfId="0" applyNumberFormat="1" applyFont="1" applyBorder="1" applyAlignment="1">
      <alignment wrapText="1"/>
    </xf>
    <xf numFmtId="0" fontId="38" fillId="0" borderId="0" xfId="0" applyFont="1" applyAlignment="1">
      <alignment wrapText="1"/>
    </xf>
    <xf numFmtId="0" fontId="36" fillId="0" borderId="0" xfId="0" applyFont="1" applyAlignment="1">
      <alignment wrapText="1"/>
    </xf>
    <xf numFmtId="3" fontId="38" fillId="27" borderId="0" xfId="0" applyNumberFormat="1" applyFont="1" applyFill="1" applyAlignment="1">
      <alignment horizontal="right" wrapText="1"/>
    </xf>
    <xf numFmtId="3" fontId="38" fillId="27" borderId="27" xfId="0" applyNumberFormat="1" applyFont="1" applyFill="1" applyBorder="1" applyAlignment="1">
      <alignment horizontal="right"/>
    </xf>
    <xf numFmtId="3" fontId="38" fillId="27" borderId="58" xfId="0" applyNumberFormat="1" applyFont="1" applyFill="1" applyBorder="1" applyAlignment="1">
      <alignment horizontal="right"/>
    </xf>
    <xf numFmtId="3" fontId="38" fillId="0" borderId="59" xfId="0" applyNumberFormat="1" applyFont="1" applyBorder="1"/>
    <xf numFmtId="3" fontId="38" fillId="0" borderId="63" xfId="0" applyNumberFormat="1" applyFont="1" applyBorder="1"/>
    <xf numFmtId="3" fontId="36" fillId="0" borderId="62" xfId="0" applyNumberFormat="1" applyFont="1" applyBorder="1"/>
    <xf numFmtId="3" fontId="38" fillId="27" borderId="0" xfId="0" applyNumberFormat="1" applyFont="1" applyFill="1"/>
    <xf numFmtId="3" fontId="38" fillId="0" borderId="71" xfId="0" applyNumberFormat="1" applyFont="1" applyBorder="1" applyAlignment="1">
      <alignment wrapText="1"/>
    </xf>
    <xf numFmtId="3" fontId="38" fillId="27" borderId="27" xfId="0" applyNumberFormat="1" applyFont="1" applyFill="1" applyBorder="1" applyAlignment="1">
      <alignment horizontal="right" wrapText="1"/>
    </xf>
    <xf numFmtId="0" fontId="57" fillId="0" borderId="27" xfId="0" applyFont="1" applyBorder="1" applyAlignment="1">
      <alignment horizontal="right" wrapText="1"/>
    </xf>
    <xf numFmtId="3" fontId="38" fillId="27" borderId="22" xfId="0" applyNumberFormat="1" applyFont="1" applyFill="1" applyBorder="1" applyAlignment="1">
      <alignment horizontal="right" wrapText="1"/>
    </xf>
    <xf numFmtId="3" fontId="36" fillId="0" borderId="51" xfId="0" applyNumberFormat="1" applyFont="1" applyBorder="1" applyAlignment="1">
      <alignment horizontal="right" wrapText="1"/>
    </xf>
    <xf numFmtId="3" fontId="38" fillId="0" borderId="22" xfId="0" applyNumberFormat="1" applyFont="1" applyBorder="1" applyAlignment="1">
      <alignment horizontal="right" wrapText="1"/>
    </xf>
    <xf numFmtId="3" fontId="38" fillId="0" borderId="27" xfId="0" applyNumberFormat="1" applyFont="1" applyBorder="1" applyAlignment="1">
      <alignment horizontal="right" wrapText="1"/>
    </xf>
    <xf numFmtId="3" fontId="38" fillId="0" borderId="35" xfId="0" applyNumberFormat="1" applyFont="1" applyBorder="1" applyAlignment="1">
      <alignment horizontal="right" wrapText="1"/>
    </xf>
    <xf numFmtId="3" fontId="38" fillId="0" borderId="61" xfId="0" applyNumberFormat="1" applyFont="1" applyBorder="1" applyAlignment="1">
      <alignment horizontal="right" wrapText="1"/>
    </xf>
    <xf numFmtId="3" fontId="36" fillId="0" borderId="30" xfId="0" applyNumberFormat="1" applyFont="1" applyBorder="1" applyAlignment="1">
      <alignment horizontal="right" wrapText="1"/>
    </xf>
    <xf numFmtId="3" fontId="38" fillId="0" borderId="71" xfId="0" applyNumberFormat="1" applyFont="1" applyBorder="1" applyAlignment="1">
      <alignment horizontal="right" wrapText="1"/>
    </xf>
    <xf numFmtId="3" fontId="38" fillId="0" borderId="36" xfId="0" applyNumberFormat="1" applyFont="1" applyBorder="1" applyAlignment="1">
      <alignment horizontal="right" wrapText="1"/>
    </xf>
    <xf numFmtId="3" fontId="36" fillId="0" borderId="38" xfId="0" applyNumberFormat="1" applyFont="1" applyBorder="1" applyAlignment="1">
      <alignment horizontal="right" wrapText="1"/>
    </xf>
    <xf numFmtId="0" fontId="38" fillId="0" borderId="0" xfId="0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3" fontId="38" fillId="27" borderId="22" xfId="0" applyNumberFormat="1" applyFont="1" applyFill="1" applyBorder="1" applyProtection="1">
      <protection locked="0"/>
    </xf>
    <xf numFmtId="3" fontId="56" fillId="0" borderId="38" xfId="0" applyNumberFormat="1" applyFont="1" applyBorder="1"/>
    <xf numFmtId="3" fontId="38" fillId="0" borderId="58" xfId="0" applyNumberFormat="1" applyFont="1" applyBorder="1" applyProtection="1">
      <protection locked="0"/>
    </xf>
    <xf numFmtId="3" fontId="38" fillId="0" borderId="35" xfId="0" applyNumberFormat="1" applyFont="1" applyBorder="1" applyProtection="1">
      <protection locked="0"/>
    </xf>
    <xf numFmtId="3" fontId="56" fillId="0" borderId="38" xfId="0" applyNumberFormat="1" applyFont="1" applyBorder="1" applyProtection="1">
      <protection locked="0"/>
    </xf>
    <xf numFmtId="0" fontId="38" fillId="27" borderId="0" xfId="0" applyFont="1" applyFill="1"/>
    <xf numFmtId="3" fontId="38" fillId="27" borderId="22" xfId="46" applyNumberFormat="1" applyFont="1" applyFill="1" applyBorder="1" applyProtection="1">
      <protection locked="0"/>
    </xf>
    <xf numFmtId="3" fontId="38" fillId="27" borderId="34" xfId="46" applyNumberFormat="1" applyFont="1" applyFill="1" applyBorder="1" applyProtection="1">
      <protection locked="0"/>
    </xf>
    <xf numFmtId="3" fontId="38" fillId="27" borderId="34" xfId="0" applyNumberFormat="1" applyFont="1" applyFill="1" applyBorder="1" applyProtection="1">
      <protection locked="0"/>
    </xf>
    <xf numFmtId="3" fontId="38" fillId="27" borderId="0" xfId="0" applyNumberFormat="1" applyFont="1" applyFill="1" applyProtection="1">
      <protection locked="0"/>
    </xf>
    <xf numFmtId="3" fontId="38" fillId="0" borderId="0" xfId="0" applyNumberFormat="1" applyFont="1" applyAlignment="1">
      <alignment wrapText="1"/>
    </xf>
    <xf numFmtId="0" fontId="38" fillId="0" borderId="26" xfId="48" applyFont="1" applyBorder="1" applyAlignment="1">
      <alignment horizontal="center"/>
    </xf>
    <xf numFmtId="3" fontId="38" fillId="0" borderId="22" xfId="48" applyNumberFormat="1" applyFont="1" applyBorder="1"/>
    <xf numFmtId="3" fontId="38" fillId="0" borderId="27" xfId="48" applyNumberFormat="1" applyFont="1" applyBorder="1"/>
    <xf numFmtId="3" fontId="56" fillId="0" borderId="30" xfId="0" applyNumberFormat="1" applyFont="1" applyBorder="1" applyAlignment="1">
      <alignment horizontal="right"/>
    </xf>
    <xf numFmtId="3" fontId="36" fillId="0" borderId="38" xfId="48" applyNumberFormat="1" applyFont="1" applyBorder="1"/>
    <xf numFmtId="3" fontId="38" fillId="0" borderId="34" xfId="48" applyNumberFormat="1" applyFont="1" applyBorder="1"/>
    <xf numFmtId="0" fontId="36" fillId="0" borderId="26" xfId="48" applyFont="1" applyBorder="1" applyAlignment="1">
      <alignment horizontal="center"/>
    </xf>
    <xf numFmtId="0" fontId="36" fillId="0" borderId="27" xfId="48" applyFont="1" applyBorder="1" applyAlignment="1">
      <alignment horizontal="justify"/>
    </xf>
    <xf numFmtId="3" fontId="38" fillId="0" borderId="35" xfId="48" applyNumberFormat="1" applyFont="1" applyBorder="1"/>
    <xf numFmtId="0" fontId="36" fillId="0" borderId="35" xfId="48" applyFont="1" applyBorder="1" applyAlignment="1">
      <alignment horizontal="justify"/>
    </xf>
    <xf numFmtId="3" fontId="36" fillId="0" borderId="51" xfId="48" applyNumberFormat="1" applyFont="1" applyBorder="1"/>
    <xf numFmtId="0" fontId="36" fillId="0" borderId="49" xfId="48" applyFont="1" applyBorder="1" applyAlignment="1">
      <alignment horizontal="left"/>
    </xf>
    <xf numFmtId="0" fontId="36" fillId="0" borderId="27" xfId="48" applyFont="1" applyBorder="1" applyAlignment="1">
      <alignment horizontal="left"/>
    </xf>
    <xf numFmtId="3" fontId="38" fillId="0" borderId="34" xfId="48" applyNumberFormat="1" applyFont="1" applyBorder="1" applyAlignment="1">
      <alignment horizontal="right"/>
    </xf>
    <xf numFmtId="3" fontId="36" fillId="0" borderId="51" xfId="48" applyNumberFormat="1" applyFont="1" applyBorder="1" applyAlignment="1">
      <alignment horizontal="right"/>
    </xf>
    <xf numFmtId="3" fontId="36" fillId="0" borderId="42" xfId="48" applyNumberFormat="1" applyFont="1" applyBorder="1" applyAlignment="1">
      <alignment horizontal="right"/>
    </xf>
    <xf numFmtId="0" fontId="38" fillId="0" borderId="0" xfId="48" applyFont="1"/>
    <xf numFmtId="0" fontId="36" fillId="0" borderId="26" xfId="48" applyFont="1" applyBorder="1"/>
    <xf numFmtId="3" fontId="38" fillId="25" borderId="22" xfId="48" applyNumberFormat="1" applyFont="1" applyFill="1" applyBorder="1" applyAlignment="1">
      <alignment horizontal="right"/>
    </xf>
    <xf numFmtId="3" fontId="38" fillId="25" borderId="34" xfId="48" applyNumberFormat="1" applyFont="1" applyFill="1" applyBorder="1" applyAlignment="1">
      <alignment horizontal="right"/>
    </xf>
    <xf numFmtId="0" fontId="36" fillId="0" borderId="49" xfId="48" applyFont="1" applyBorder="1"/>
    <xf numFmtId="3" fontId="36" fillId="0" borderId="49" xfId="48" applyNumberFormat="1" applyFont="1" applyBorder="1"/>
    <xf numFmtId="3" fontId="38" fillId="25" borderId="22" xfId="48" applyNumberFormat="1" applyFont="1" applyFill="1" applyBorder="1"/>
    <xf numFmtId="3" fontId="36" fillId="25" borderId="51" xfId="48" applyNumberFormat="1" applyFont="1" applyFill="1" applyBorder="1"/>
    <xf numFmtId="0" fontId="56" fillId="0" borderId="27" xfId="48" applyFont="1" applyBorder="1"/>
    <xf numFmtId="3" fontId="38" fillId="0" borderId="35" xfId="0" applyNumberFormat="1" applyFont="1" applyBorder="1" applyAlignment="1">
      <alignment horizontal="right"/>
    </xf>
    <xf numFmtId="3" fontId="36" fillId="0" borderId="30" xfId="48" applyNumberFormat="1" applyFont="1" applyBorder="1"/>
    <xf numFmtId="3" fontId="36" fillId="25" borderId="30" xfId="48" applyNumberFormat="1" applyFont="1" applyFill="1" applyBorder="1"/>
    <xf numFmtId="3" fontId="38" fillId="0" borderId="0" xfId="48" applyNumberFormat="1" applyFont="1"/>
    <xf numFmtId="0" fontId="32" fillId="0" borderId="0" xfId="50" applyFont="1"/>
    <xf numFmtId="0" fontId="37" fillId="0" borderId="0" xfId="50" applyFont="1"/>
    <xf numFmtId="0" fontId="38" fillId="0" borderId="0" xfId="50" applyFont="1"/>
    <xf numFmtId="3" fontId="38" fillId="0" borderId="0" xfId="50" applyNumberFormat="1" applyFont="1"/>
    <xf numFmtId="3" fontId="42" fillId="0" borderId="71" xfId="50" applyNumberFormat="1" applyFont="1" applyBorder="1"/>
    <xf numFmtId="0" fontId="42" fillId="0" borderId="0" xfId="50" applyFont="1"/>
    <xf numFmtId="3" fontId="42" fillId="0" borderId="0" xfId="50" applyNumberFormat="1" applyFont="1"/>
    <xf numFmtId="3" fontId="42" fillId="0" borderId="30" xfId="50" applyNumberFormat="1" applyFont="1" applyBorder="1"/>
    <xf numFmtId="3" fontId="45" fillId="0" borderId="38" xfId="50" applyNumberFormat="1" applyFont="1" applyBorder="1"/>
    <xf numFmtId="0" fontId="45" fillId="0" borderId="0" xfId="50" applyFont="1"/>
    <xf numFmtId="3" fontId="45" fillId="0" borderId="0" xfId="50" applyNumberFormat="1" applyFont="1"/>
    <xf numFmtId="3" fontId="42" fillId="0" borderId="36" xfId="50" applyNumberFormat="1" applyFont="1" applyBorder="1"/>
    <xf numFmtId="3" fontId="42" fillId="0" borderId="27" xfId="50" applyNumberFormat="1" applyFont="1" applyBorder="1"/>
    <xf numFmtId="0" fontId="42" fillId="0" borderId="68" xfId="0" applyFont="1" applyBorder="1" applyAlignment="1">
      <alignment horizontal="center" wrapText="1"/>
    </xf>
    <xf numFmtId="0" fontId="42" fillId="0" borderId="16" xfId="0" applyFont="1" applyBorder="1" applyAlignment="1">
      <alignment horizontal="center" wrapText="1"/>
    </xf>
    <xf numFmtId="0" fontId="45" fillId="0" borderId="69" xfId="0" applyFont="1" applyBorder="1"/>
    <xf numFmtId="0" fontId="42" fillId="0" borderId="69" xfId="0" applyFont="1" applyBorder="1"/>
    <xf numFmtId="0" fontId="42" fillId="0" borderId="17" xfId="0" applyFont="1" applyBorder="1"/>
    <xf numFmtId="4" fontId="42" fillId="0" borderId="0" xfId="0" applyNumberFormat="1" applyFont="1"/>
    <xf numFmtId="3" fontId="42" fillId="0" borderId="47" xfId="0" applyNumberFormat="1" applyFont="1" applyBorder="1"/>
    <xf numFmtId="3" fontId="42" fillId="0" borderId="47" xfId="0" applyNumberFormat="1" applyFont="1" applyBorder="1" applyAlignment="1">
      <alignment horizontal="right"/>
    </xf>
    <xf numFmtId="3" fontId="42" fillId="0" borderId="10" xfId="0" applyNumberFormat="1" applyFont="1" applyBorder="1"/>
    <xf numFmtId="3" fontId="42" fillId="0" borderId="13" xfId="0" applyNumberFormat="1" applyFont="1" applyBorder="1"/>
    <xf numFmtId="3" fontId="42" fillId="0" borderId="70" xfId="0" applyNumberFormat="1" applyFont="1" applyBorder="1"/>
    <xf numFmtId="3" fontId="42" fillId="0" borderId="70" xfId="0" applyNumberFormat="1" applyFont="1" applyBorder="1" applyAlignment="1">
      <alignment horizontal="right"/>
    </xf>
    <xf numFmtId="3" fontId="42" fillId="0" borderId="69" xfId="0" applyNumberFormat="1" applyFont="1" applyBorder="1"/>
    <xf numFmtId="3" fontId="45" fillId="0" borderId="69" xfId="0" applyNumberFormat="1" applyFont="1" applyBorder="1" applyAlignment="1">
      <alignment horizontal="right"/>
    </xf>
    <xf numFmtId="3" fontId="42" fillId="0" borderId="17" xfId="0" applyNumberFormat="1" applyFont="1" applyBorder="1"/>
    <xf numFmtId="165" fontId="42" fillId="0" borderId="0" xfId="36" applyNumberFormat="1" applyFont="1" applyFill="1"/>
    <xf numFmtId="0" fontId="45" fillId="0" borderId="24" xfId="50" applyFont="1" applyBorder="1" applyAlignment="1">
      <alignment horizontal="center"/>
    </xf>
    <xf numFmtId="0" fontId="42" fillId="0" borderId="26" xfId="50" applyFont="1" applyBorder="1" applyAlignment="1">
      <alignment horizontal="center"/>
    </xf>
    <xf numFmtId="0" fontId="42" fillId="0" borderId="19" xfId="50" applyFont="1" applyBorder="1"/>
    <xf numFmtId="0" fontId="42" fillId="0" borderId="27" xfId="50" applyFont="1" applyBorder="1" applyAlignment="1">
      <alignment horizontal="center"/>
    </xf>
    <xf numFmtId="0" fontId="42" fillId="0" borderId="28" xfId="50" applyFont="1" applyBorder="1"/>
    <xf numFmtId="0" fontId="42" fillId="0" borderId="30" xfId="50" applyFont="1" applyBorder="1" applyAlignment="1">
      <alignment horizontal="center" vertical="center" wrapText="1"/>
    </xf>
    <xf numFmtId="0" fontId="42" fillId="0" borderId="74" xfId="50" applyFont="1" applyBorder="1"/>
    <xf numFmtId="0" fontId="42" fillId="0" borderId="30" xfId="50" applyFont="1" applyBorder="1" applyAlignment="1">
      <alignment horizontal="justify"/>
    </xf>
    <xf numFmtId="0" fontId="45" fillId="0" borderId="44" xfId="50" applyFont="1" applyBorder="1"/>
    <xf numFmtId="0" fontId="42" fillId="0" borderId="24" xfId="50" applyFont="1" applyBorder="1" applyAlignment="1">
      <alignment horizontal="justify"/>
    </xf>
    <xf numFmtId="0" fontId="42" fillId="0" borderId="24" xfId="0" applyFont="1" applyBorder="1" applyAlignment="1">
      <alignment horizontal="center"/>
    </xf>
    <xf numFmtId="0" fontId="42" fillId="0" borderId="28" xfId="0" applyFont="1" applyBorder="1"/>
    <xf numFmtId="3" fontId="42" fillId="0" borderId="23" xfId="0" applyNumberFormat="1" applyFont="1" applyBorder="1"/>
    <xf numFmtId="3" fontId="42" fillId="0" borderId="11" xfId="0" applyNumberFormat="1" applyFont="1" applyBorder="1"/>
    <xf numFmtId="3" fontId="42" fillId="0" borderId="55" xfId="0" applyNumberFormat="1" applyFont="1" applyBorder="1"/>
    <xf numFmtId="0" fontId="42" fillId="0" borderId="0" xfId="50" applyFont="1" applyAlignment="1">
      <alignment horizontal="right"/>
    </xf>
    <xf numFmtId="0" fontId="45" fillId="0" borderId="44" xfId="50" applyFont="1" applyBorder="1" applyAlignment="1">
      <alignment horizontal="justify"/>
    </xf>
    <xf numFmtId="0" fontId="42" fillId="0" borderId="19" xfId="50" applyFont="1" applyBorder="1" applyAlignment="1">
      <alignment horizontal="justify"/>
    </xf>
    <xf numFmtId="2" fontId="42" fillId="0" borderId="0" xfId="50" applyNumberFormat="1" applyFont="1"/>
    <xf numFmtId="0" fontId="53" fillId="0" borderId="0" xfId="50" applyFont="1"/>
    <xf numFmtId="3" fontId="53" fillId="0" borderId="0" xfId="50" applyNumberFormat="1" applyFont="1"/>
    <xf numFmtId="0" fontId="58" fillId="0" borderId="0" xfId="50" applyFont="1"/>
    <xf numFmtId="0" fontId="37" fillId="0" borderId="0" xfId="50" applyFont="1" applyAlignment="1">
      <alignment horizontal="right"/>
    </xf>
    <xf numFmtId="0" fontId="38" fillId="0" borderId="0" xfId="0" applyFont="1" applyAlignment="1">
      <alignment horizontal="center" wrapText="1"/>
    </xf>
    <xf numFmtId="0" fontId="59" fillId="0" borderId="0" xfId="0" applyFont="1"/>
    <xf numFmtId="0" fontId="36" fillId="0" borderId="0" xfId="50" applyFont="1" applyAlignment="1">
      <alignment horizontal="center"/>
    </xf>
    <xf numFmtId="3" fontId="28" fillId="0" borderId="19" xfId="0" applyNumberFormat="1" applyFont="1" applyBorder="1" applyAlignment="1">
      <alignment horizontal="left"/>
    </xf>
    <xf numFmtId="3" fontId="60" fillId="0" borderId="0" xfId="47" applyNumberFormat="1" applyFont="1"/>
    <xf numFmtId="3" fontId="60" fillId="0" borderId="0" xfId="47" applyNumberFormat="1" applyFont="1" applyAlignment="1">
      <alignment horizontal="right"/>
    </xf>
    <xf numFmtId="3" fontId="60" fillId="0" borderId="0" xfId="47" applyNumberFormat="1" applyFont="1" applyAlignment="1">
      <alignment horizontal="center"/>
    </xf>
    <xf numFmtId="3" fontId="61" fillId="0" borderId="0" xfId="47" applyNumberFormat="1" applyFont="1"/>
    <xf numFmtId="0" fontId="60" fillId="0" borderId="0" xfId="47" applyFont="1"/>
    <xf numFmtId="3" fontId="61" fillId="0" borderId="0" xfId="47" applyNumberFormat="1" applyFont="1" applyAlignment="1">
      <alignment horizontal="right"/>
    </xf>
    <xf numFmtId="3" fontId="60" fillId="0" borderId="26" xfId="47" applyNumberFormat="1" applyFont="1" applyBorder="1" applyAlignment="1">
      <alignment horizontal="center" vertical="center" wrapText="1"/>
    </xf>
    <xf numFmtId="3" fontId="61" fillId="0" borderId="0" xfId="47" applyNumberFormat="1" applyFont="1" applyAlignment="1">
      <alignment horizontal="justify"/>
    </xf>
    <xf numFmtId="3" fontId="60" fillId="0" borderId="27" xfId="47" applyNumberFormat="1" applyFont="1" applyBorder="1" applyAlignment="1">
      <alignment horizontal="center" vertical="center" wrapText="1"/>
    </xf>
    <xf numFmtId="3" fontId="60" fillId="0" borderId="28" xfId="47" applyNumberFormat="1" applyFont="1" applyBorder="1"/>
    <xf numFmtId="3" fontId="60" fillId="0" borderId="29" xfId="47" applyNumberFormat="1" applyFont="1" applyBorder="1"/>
    <xf numFmtId="3" fontId="60" fillId="0" borderId="40" xfId="47" applyNumberFormat="1" applyFont="1" applyBorder="1"/>
    <xf numFmtId="3" fontId="60" fillId="0" borderId="29" xfId="47" applyNumberFormat="1" applyFont="1" applyBorder="1" applyAlignment="1">
      <alignment horizontal="center"/>
    </xf>
    <xf numFmtId="3" fontId="60" fillId="0" borderId="28" xfId="47" applyNumberFormat="1" applyFont="1" applyBorder="1" applyAlignment="1">
      <alignment wrapText="1"/>
    </xf>
    <xf numFmtId="3" fontId="60" fillId="0" borderId="29" xfId="47" applyNumberFormat="1" applyFont="1" applyBorder="1" applyAlignment="1">
      <alignment wrapText="1"/>
    </xf>
    <xf numFmtId="3" fontId="60" fillId="0" borderId="40" xfId="47" applyNumberFormat="1" applyFont="1" applyBorder="1" applyAlignment="1">
      <alignment wrapText="1"/>
    </xf>
    <xf numFmtId="3" fontId="60" fillId="0" borderId="30" xfId="47" applyNumberFormat="1" applyFont="1" applyBorder="1" applyAlignment="1">
      <alignment vertical="center" wrapText="1"/>
    </xf>
    <xf numFmtId="3" fontId="62" fillId="0" borderId="30" xfId="47" applyNumberFormat="1" applyFont="1" applyBorder="1" applyAlignment="1">
      <alignment horizontal="center" wrapText="1"/>
    </xf>
    <xf numFmtId="3" fontId="61" fillId="0" borderId="0" xfId="47" applyNumberFormat="1" applyFont="1" applyAlignment="1">
      <alignment horizontal="center"/>
    </xf>
    <xf numFmtId="3" fontId="60" fillId="0" borderId="26" xfId="47" applyNumberFormat="1" applyFont="1" applyBorder="1" applyAlignment="1">
      <alignment horizontal="center" vertical="center"/>
    </xf>
    <xf numFmtId="3" fontId="60" fillId="0" borderId="26" xfId="47" applyNumberFormat="1" applyFont="1" applyBorder="1" applyAlignment="1">
      <alignment horizontal="right"/>
    </xf>
    <xf numFmtId="3" fontId="60" fillId="0" borderId="26" xfId="47" applyNumberFormat="1" applyFont="1" applyBorder="1" applyAlignment="1">
      <alignment horizontal="center"/>
    </xf>
    <xf numFmtId="3" fontId="63" fillId="0" borderId="36" xfId="47" applyNumberFormat="1" applyFont="1" applyBorder="1" applyAlignment="1">
      <alignment horizontal="left"/>
    </xf>
    <xf numFmtId="3" fontId="63" fillId="0" borderId="36" xfId="47" applyNumberFormat="1" applyFont="1" applyBorder="1" applyAlignment="1">
      <alignment horizontal="right"/>
    </xf>
    <xf numFmtId="3" fontId="60" fillId="0" borderId="36" xfId="47" applyNumberFormat="1" applyFont="1" applyBorder="1" applyAlignment="1">
      <alignment horizontal="right"/>
    </xf>
    <xf numFmtId="3" fontId="63" fillId="0" borderId="51" xfId="47" applyNumberFormat="1" applyFont="1" applyBorder="1" applyAlignment="1">
      <alignment horizontal="left"/>
    </xf>
    <xf numFmtId="3" fontId="63" fillId="0" borderId="42" xfId="47" applyNumberFormat="1" applyFont="1" applyBorder="1" applyAlignment="1">
      <alignment horizontal="left"/>
    </xf>
    <xf numFmtId="3" fontId="63" fillId="0" borderId="27" xfId="47" applyNumberFormat="1" applyFont="1" applyBorder="1" applyAlignment="1">
      <alignment horizontal="right"/>
    </xf>
    <xf numFmtId="3" fontId="60" fillId="0" borderId="42" xfId="47" applyNumberFormat="1" applyFont="1" applyBorder="1" applyAlignment="1">
      <alignment horizontal="right"/>
    </xf>
    <xf numFmtId="3" fontId="60" fillId="0" borderId="28" xfId="47" applyNumberFormat="1" applyFont="1" applyBorder="1" applyAlignment="1">
      <alignment horizontal="left"/>
    </xf>
    <xf numFmtId="3" fontId="60" fillId="0" borderId="38" xfId="47" applyNumberFormat="1" applyFont="1" applyBorder="1" applyAlignment="1">
      <alignment horizontal="right"/>
    </xf>
    <xf numFmtId="3" fontId="60" fillId="0" borderId="28" xfId="47" applyNumberFormat="1" applyFont="1" applyBorder="1" applyAlignment="1">
      <alignment horizontal="right"/>
    </xf>
    <xf numFmtId="3" fontId="63" fillId="0" borderId="55" xfId="47" applyNumberFormat="1" applyFont="1" applyBorder="1" applyAlignment="1">
      <alignment horizontal="left"/>
    </xf>
    <xf numFmtId="3" fontId="63" fillId="0" borderId="38" xfId="47" applyNumberFormat="1" applyFont="1" applyBorder="1" applyAlignment="1">
      <alignment horizontal="right"/>
    </xf>
    <xf numFmtId="3" fontId="60" fillId="0" borderId="44" xfId="47" applyNumberFormat="1" applyFont="1" applyBorder="1" applyAlignment="1">
      <alignment horizontal="right"/>
    </xf>
    <xf numFmtId="3" fontId="60" fillId="0" borderId="55" xfId="47" applyNumberFormat="1" applyFont="1" applyBorder="1" applyAlignment="1">
      <alignment horizontal="left"/>
    </xf>
    <xf numFmtId="3" fontId="60" fillId="0" borderId="27" xfId="47" applyNumberFormat="1" applyFont="1" applyBorder="1" applyAlignment="1">
      <alignment horizontal="right"/>
    </xf>
    <xf numFmtId="3" fontId="60" fillId="0" borderId="27" xfId="47" applyNumberFormat="1" applyFont="1" applyBorder="1" applyAlignment="1">
      <alignment horizontal="center" vertical="center"/>
    </xf>
    <xf numFmtId="3" fontId="64" fillId="0" borderId="0" xfId="47" applyNumberFormat="1" applyFont="1" applyAlignment="1">
      <alignment horizontal="center"/>
    </xf>
    <xf numFmtId="3" fontId="60" fillId="0" borderId="39" xfId="47" applyNumberFormat="1" applyFont="1" applyBorder="1" applyAlignment="1">
      <alignment horizontal="right"/>
    </xf>
    <xf numFmtId="3" fontId="64" fillId="0" borderId="27" xfId="47" applyNumberFormat="1" applyFont="1" applyBorder="1" applyAlignment="1">
      <alignment horizontal="center"/>
    </xf>
    <xf numFmtId="3" fontId="63" fillId="0" borderId="27" xfId="47" applyNumberFormat="1" applyFont="1" applyBorder="1" applyAlignment="1">
      <alignment horizontal="justify"/>
    </xf>
    <xf numFmtId="3" fontId="60" fillId="0" borderId="30" xfId="47" applyNumberFormat="1" applyFont="1" applyBorder="1" applyAlignment="1">
      <alignment horizontal="right"/>
    </xf>
    <xf numFmtId="3" fontId="63" fillId="0" borderId="51" xfId="47" applyNumberFormat="1" applyFont="1" applyBorder="1" applyAlignment="1">
      <alignment horizontal="right"/>
    </xf>
    <xf numFmtId="3" fontId="63" fillId="0" borderId="27" xfId="47" applyNumberFormat="1" applyFont="1" applyBorder="1" applyAlignment="1">
      <alignment horizontal="left"/>
    </xf>
    <xf numFmtId="3" fontId="63" fillId="0" borderId="49" xfId="47" applyNumberFormat="1" applyFont="1" applyBorder="1" applyAlignment="1">
      <alignment horizontal="right"/>
    </xf>
    <xf numFmtId="3" fontId="60" fillId="0" borderId="38" xfId="47" applyNumberFormat="1" applyFont="1" applyBorder="1" applyAlignment="1">
      <alignment horizontal="left"/>
    </xf>
    <xf numFmtId="3" fontId="64" fillId="0" borderId="26" xfId="47" applyNumberFormat="1" applyFont="1" applyBorder="1" applyAlignment="1">
      <alignment horizontal="center"/>
    </xf>
    <xf numFmtId="3" fontId="63" fillId="0" borderId="30" xfId="47" applyNumberFormat="1" applyFont="1" applyBorder="1" applyAlignment="1">
      <alignment horizontal="right"/>
    </xf>
    <xf numFmtId="3" fontId="60" fillId="0" borderId="24" xfId="47" applyNumberFormat="1" applyFont="1" applyBorder="1" applyAlignment="1">
      <alignment horizontal="right"/>
    </xf>
    <xf numFmtId="3" fontId="60" fillId="0" borderId="67" xfId="47" applyNumberFormat="1" applyFont="1" applyBorder="1" applyAlignment="1">
      <alignment horizontal="right"/>
    </xf>
    <xf numFmtId="3" fontId="63" fillId="0" borderId="22" xfId="47" applyNumberFormat="1" applyFont="1" applyBorder="1" applyAlignment="1">
      <alignment horizontal="left"/>
    </xf>
    <xf numFmtId="3" fontId="63" fillId="0" borderId="28" xfId="47" applyNumberFormat="1" applyFont="1" applyBorder="1" applyAlignment="1">
      <alignment horizontal="right"/>
    </xf>
    <xf numFmtId="3" fontId="63" fillId="0" borderId="40" xfId="47" applyNumberFormat="1" applyFont="1" applyBorder="1" applyAlignment="1">
      <alignment horizontal="right"/>
    </xf>
    <xf numFmtId="3" fontId="63" fillId="0" borderId="30" xfId="47" applyNumberFormat="1" applyFont="1" applyBorder="1" applyAlignment="1">
      <alignment horizontal="left"/>
    </xf>
    <xf numFmtId="3" fontId="60" fillId="0" borderId="19" xfId="47" applyNumberFormat="1" applyFont="1" applyBorder="1" applyAlignment="1">
      <alignment horizontal="right"/>
    </xf>
    <xf numFmtId="3" fontId="63" fillId="0" borderId="36" xfId="47" applyNumberFormat="1" applyFont="1" applyBorder="1" applyAlignment="1">
      <alignment horizontal="justify"/>
    </xf>
    <xf numFmtId="3" fontId="63" fillId="0" borderId="10" xfId="47" applyNumberFormat="1" applyFont="1" applyBorder="1" applyAlignment="1">
      <alignment horizontal="right"/>
    </xf>
    <xf numFmtId="3" fontId="63" fillId="0" borderId="42" xfId="47" applyNumberFormat="1" applyFont="1" applyBorder="1" applyAlignment="1">
      <alignment horizontal="left" vertical="center"/>
    </xf>
    <xf numFmtId="3" fontId="63" fillId="0" borderId="42" xfId="47" applyNumberFormat="1" applyFont="1" applyBorder="1" applyAlignment="1">
      <alignment horizontal="right"/>
    </xf>
    <xf numFmtId="3" fontId="63" fillId="0" borderId="54" xfId="47" applyNumberFormat="1" applyFont="1" applyBorder="1" applyAlignment="1">
      <alignment horizontal="right"/>
    </xf>
    <xf numFmtId="3" fontId="60" fillId="0" borderId="54" xfId="47" applyNumberFormat="1" applyFont="1" applyBorder="1" applyAlignment="1">
      <alignment horizontal="right"/>
    </xf>
    <xf numFmtId="3" fontId="61" fillId="0" borderId="29" xfId="47" applyNumberFormat="1" applyFont="1" applyBorder="1" applyAlignment="1">
      <alignment horizontal="justify"/>
    </xf>
    <xf numFmtId="3" fontId="60" fillId="0" borderId="27" xfId="47" applyNumberFormat="1" applyFont="1" applyBorder="1" applyAlignment="1">
      <alignment horizontal="left"/>
    </xf>
    <xf numFmtId="3" fontId="60" fillId="0" borderId="38" xfId="47" applyNumberFormat="1" applyFont="1" applyBorder="1" applyAlignment="1">
      <alignment horizontal="left" vertical="center"/>
    </xf>
    <xf numFmtId="3" fontId="60" fillId="0" borderId="30" xfId="47" applyNumberFormat="1" applyFont="1" applyBorder="1" applyAlignment="1">
      <alignment horizontal="left" vertical="center"/>
    </xf>
    <xf numFmtId="3" fontId="60" fillId="0" borderId="29" xfId="47" applyNumberFormat="1" applyFont="1" applyBorder="1" applyAlignment="1">
      <alignment horizontal="right"/>
    </xf>
    <xf numFmtId="3" fontId="65" fillId="0" borderId="0" xfId="47" applyNumberFormat="1" applyFont="1"/>
    <xf numFmtId="3" fontId="65" fillId="0" borderId="0" xfId="47" applyNumberFormat="1" applyFont="1" applyAlignment="1">
      <alignment horizontal="right"/>
    </xf>
    <xf numFmtId="3" fontId="66" fillId="0" borderId="0" xfId="47" applyNumberFormat="1" applyFont="1" applyAlignment="1">
      <alignment horizontal="left"/>
    </xf>
    <xf numFmtId="3" fontId="65" fillId="0" borderId="0" xfId="47" applyNumberFormat="1" applyFont="1" applyAlignment="1">
      <alignment horizontal="center"/>
    </xf>
    <xf numFmtId="3" fontId="63" fillId="0" borderId="0" xfId="47" applyNumberFormat="1" applyFont="1" applyAlignment="1">
      <alignment horizontal="right"/>
    </xf>
    <xf numFmtId="3" fontId="67" fillId="0" borderId="0" xfId="47" applyNumberFormat="1" applyFont="1"/>
    <xf numFmtId="3" fontId="68" fillId="0" borderId="0" xfId="47" applyNumberFormat="1" applyFont="1"/>
    <xf numFmtId="3" fontId="68" fillId="0" borderId="0" xfId="47" applyNumberFormat="1" applyFont="1" applyAlignment="1">
      <alignment horizontal="center"/>
    </xf>
    <xf numFmtId="3" fontId="68" fillId="0" borderId="0" xfId="47" applyNumberFormat="1" applyFont="1" applyAlignment="1">
      <alignment horizontal="justify"/>
    </xf>
    <xf numFmtId="3" fontId="60" fillId="0" borderId="30" xfId="47" applyNumberFormat="1" applyFont="1" applyBorder="1" applyAlignment="1">
      <alignment vertical="center"/>
    </xf>
    <xf numFmtId="3" fontId="63" fillId="0" borderId="36" xfId="47" applyNumberFormat="1" applyFont="1" applyBorder="1"/>
    <xf numFmtId="3" fontId="60" fillId="0" borderId="0" xfId="47" applyNumberFormat="1" applyFont="1" applyAlignment="1">
      <alignment horizontal="center" vertical="center"/>
    </xf>
    <xf numFmtId="3" fontId="69" fillId="0" borderId="36" xfId="47" applyNumberFormat="1" applyFont="1" applyBorder="1" applyAlignment="1">
      <alignment horizontal="right"/>
    </xf>
    <xf numFmtId="3" fontId="63" fillId="0" borderId="42" xfId="47" applyNumberFormat="1" applyFont="1" applyBorder="1" applyAlignment="1">
      <alignment horizontal="right" vertical="center"/>
    </xf>
    <xf numFmtId="3" fontId="68" fillId="0" borderId="29" xfId="47" applyNumberFormat="1" applyFont="1" applyBorder="1"/>
    <xf numFmtId="3" fontId="60" fillId="0" borderId="30" xfId="47" applyNumberFormat="1" applyFont="1" applyBorder="1" applyAlignment="1">
      <alignment horizontal="left"/>
    </xf>
    <xf numFmtId="3" fontId="67" fillId="0" borderId="0" xfId="47" applyNumberFormat="1" applyFont="1" applyAlignment="1">
      <alignment horizontal="right"/>
    </xf>
    <xf numFmtId="0" fontId="71" fillId="0" borderId="0" xfId="57" applyFont="1"/>
    <xf numFmtId="0" fontId="72" fillId="0" borderId="0" xfId="57" applyFont="1"/>
    <xf numFmtId="0" fontId="36" fillId="0" borderId="0" xfId="57" applyFont="1"/>
    <xf numFmtId="0" fontId="72" fillId="0" borderId="0" xfId="57" applyFont="1" applyAlignment="1">
      <alignment horizontal="right"/>
    </xf>
    <xf numFmtId="0" fontId="73" fillId="0" borderId="0" xfId="57" applyFont="1"/>
    <xf numFmtId="3" fontId="72" fillId="0" borderId="26" xfId="58" applyNumberFormat="1" applyFont="1" applyBorder="1" applyAlignment="1">
      <alignment horizontal="center"/>
    </xf>
    <xf numFmtId="3" fontId="72" fillId="0" borderId="24" xfId="58" applyNumberFormat="1" applyFont="1" applyBorder="1" applyAlignment="1">
      <alignment horizontal="center"/>
    </xf>
    <xf numFmtId="3" fontId="72" fillId="0" borderId="27" xfId="58" applyNumberFormat="1" applyFont="1" applyBorder="1" applyAlignment="1">
      <alignment horizontal="center"/>
    </xf>
    <xf numFmtId="3" fontId="72" fillId="0" borderId="27" xfId="58" applyNumberFormat="1" applyFont="1" applyBorder="1" applyAlignment="1">
      <alignment horizontal="center" wrapText="1"/>
    </xf>
    <xf numFmtId="4" fontId="72" fillId="0" borderId="45" xfId="57" applyNumberFormat="1" applyFont="1" applyBorder="1" applyAlignment="1">
      <alignment horizontal="center"/>
    </xf>
    <xf numFmtId="4" fontId="72" fillId="0" borderId="38" xfId="57" applyNumberFormat="1" applyFont="1" applyBorder="1" applyAlignment="1">
      <alignment horizontal="center" wrapText="1"/>
    </xf>
    <xf numFmtId="4" fontId="72" fillId="0" borderId="44" xfId="57" applyNumberFormat="1" applyFont="1" applyBorder="1" applyAlignment="1">
      <alignment horizontal="center" wrapText="1"/>
    </xf>
    <xf numFmtId="4" fontId="72" fillId="0" borderId="45" xfId="57" applyNumberFormat="1" applyFont="1" applyBorder="1" applyAlignment="1">
      <alignment horizontal="center" wrapText="1"/>
    </xf>
    <xf numFmtId="3" fontId="72" fillId="0" borderId="30" xfId="58" applyNumberFormat="1" applyFont="1" applyBorder="1" applyAlignment="1">
      <alignment horizontal="left"/>
    </xf>
    <xf numFmtId="4" fontId="72" fillId="0" borderId="30" xfId="57" applyNumberFormat="1" applyFont="1" applyBorder="1" applyAlignment="1">
      <alignment wrapText="1"/>
    </xf>
    <xf numFmtId="3" fontId="72" fillId="0" borderId="78" xfId="57" applyNumberFormat="1" applyFont="1" applyBorder="1" applyAlignment="1">
      <alignment horizontal="center" vertical="center" wrapText="1"/>
    </xf>
    <xf numFmtId="3" fontId="72" fillId="0" borderId="45" xfId="57" applyNumberFormat="1" applyFont="1" applyBorder="1" applyAlignment="1">
      <alignment vertical="center" wrapText="1"/>
    </xf>
    <xf numFmtId="4" fontId="72" fillId="0" borderId="78" xfId="57" applyNumberFormat="1" applyFont="1" applyBorder="1" applyAlignment="1">
      <alignment horizontal="center" wrapText="1"/>
    </xf>
    <xf numFmtId="4" fontId="72" fillId="0" borderId="41" xfId="57" applyNumberFormat="1" applyFont="1" applyBorder="1" applyAlignment="1">
      <alignment horizontal="center" wrapText="1"/>
    </xf>
    <xf numFmtId="4" fontId="74" fillId="0" borderId="45" xfId="57" applyNumberFormat="1" applyFont="1" applyBorder="1" applyAlignment="1">
      <alignment horizontal="center" wrapText="1"/>
    </xf>
    <xf numFmtId="4" fontId="75" fillId="0" borderId="27" xfId="57" applyNumberFormat="1" applyFont="1" applyBorder="1" applyAlignment="1">
      <alignment horizontal="center"/>
    </xf>
    <xf numFmtId="0" fontId="76" fillId="0" borderId="0" xfId="57" applyFont="1" applyAlignment="1">
      <alignment horizontal="justify"/>
    </xf>
    <xf numFmtId="3" fontId="77" fillId="0" borderId="36" xfId="0" applyNumberFormat="1" applyFont="1" applyBorder="1" applyAlignment="1">
      <alignment horizontal="left"/>
    </xf>
    <xf numFmtId="0" fontId="76" fillId="0" borderId="0" xfId="57" applyFont="1"/>
    <xf numFmtId="3" fontId="77" fillId="0" borderId="51" xfId="0" applyNumberFormat="1" applyFont="1" applyBorder="1" applyAlignment="1">
      <alignment horizontal="left"/>
    </xf>
    <xf numFmtId="3" fontId="77" fillId="0" borderId="27" xfId="0" applyNumberFormat="1" applyFont="1" applyBorder="1" applyAlignment="1">
      <alignment horizontal="left"/>
    </xf>
    <xf numFmtId="4" fontId="72" fillId="0" borderId="38" xfId="57" applyNumberFormat="1" applyFont="1" applyBorder="1"/>
    <xf numFmtId="4" fontId="77" fillId="0" borderId="38" xfId="57" applyNumberFormat="1" applyFont="1" applyBorder="1"/>
    <xf numFmtId="4" fontId="75" fillId="0" borderId="26" xfId="57" applyNumberFormat="1" applyFont="1" applyBorder="1" applyAlignment="1">
      <alignment horizontal="center"/>
    </xf>
    <xf numFmtId="3" fontId="77" fillId="0" borderId="42" xfId="0" applyNumberFormat="1" applyFont="1" applyBorder="1" applyAlignment="1">
      <alignment horizontal="left"/>
    </xf>
    <xf numFmtId="3" fontId="77" fillId="0" borderId="22" xfId="0" applyNumberFormat="1" applyFont="1" applyBorder="1" applyAlignment="1">
      <alignment horizontal="left" wrapText="1"/>
    </xf>
    <xf numFmtId="3" fontId="77" fillId="0" borderId="22" xfId="0" applyNumberFormat="1" applyFont="1" applyBorder="1" applyAlignment="1">
      <alignment horizontal="left"/>
    </xf>
    <xf numFmtId="0" fontId="77" fillId="0" borderId="51" xfId="0" applyFont="1" applyBorder="1" applyAlignment="1">
      <alignment horizontal="left"/>
    </xf>
    <xf numFmtId="4" fontId="72" fillId="0" borderId="30" xfId="57" applyNumberFormat="1" applyFont="1" applyBorder="1"/>
    <xf numFmtId="4" fontId="72" fillId="0" borderId="30" xfId="57" applyNumberFormat="1" applyFont="1" applyBorder="1" applyAlignment="1">
      <alignment horizontal="left"/>
    </xf>
    <xf numFmtId="0" fontId="37" fillId="0" borderId="0" xfId="57" applyFont="1"/>
    <xf numFmtId="0" fontId="82" fillId="0" borderId="0" xfId="57" applyFont="1"/>
    <xf numFmtId="0" fontId="83" fillId="0" borderId="0" xfId="57" applyFont="1"/>
    <xf numFmtId="0" fontId="84" fillId="0" borderId="0" xfId="57" applyFont="1"/>
    <xf numFmtId="0" fontId="34" fillId="0" borderId="0" xfId="57" applyFont="1"/>
    <xf numFmtId="0" fontId="86" fillId="0" borderId="0" xfId="60" applyFont="1"/>
    <xf numFmtId="0" fontId="88" fillId="0" borderId="0" xfId="60" applyFont="1"/>
    <xf numFmtId="0" fontId="88" fillId="0" borderId="0" xfId="60" applyFont="1" applyAlignment="1">
      <alignment wrapText="1"/>
    </xf>
    <xf numFmtId="3" fontId="86" fillId="0" borderId="0" xfId="60" applyNumberFormat="1" applyFont="1"/>
    <xf numFmtId="3" fontId="86" fillId="0" borderId="0" xfId="60" applyNumberFormat="1" applyFont="1" applyAlignment="1">
      <alignment horizontal="right"/>
    </xf>
    <xf numFmtId="0" fontId="85" fillId="0" borderId="74" xfId="60" applyFont="1" applyBorder="1" applyAlignment="1">
      <alignment horizontal="center" wrapText="1"/>
    </xf>
    <xf numFmtId="3" fontId="85" fillId="0" borderId="79" xfId="60" applyNumberFormat="1" applyFont="1" applyBorder="1" applyAlignment="1">
      <alignment horizontal="center" vertical="center" wrapText="1"/>
    </xf>
    <xf numFmtId="3" fontId="87" fillId="0" borderId="79" xfId="60" applyNumberFormat="1" applyFont="1" applyBorder="1" applyAlignment="1">
      <alignment horizontal="center" vertical="center" wrapText="1"/>
    </xf>
    <xf numFmtId="3" fontId="87" fillId="0" borderId="77" xfId="60" applyNumberFormat="1" applyFont="1" applyBorder="1" applyAlignment="1">
      <alignment horizontal="center" vertical="center" wrapText="1"/>
    </xf>
    <xf numFmtId="0" fontId="85" fillId="0" borderId="64" xfId="60" applyFont="1" applyBorder="1" applyAlignment="1">
      <alignment wrapText="1"/>
    </xf>
    <xf numFmtId="3" fontId="86" fillId="0" borderId="80" xfId="60" applyNumberFormat="1" applyFont="1" applyBorder="1"/>
    <xf numFmtId="3" fontId="86" fillId="0" borderId="18" xfId="60" applyNumberFormat="1" applyFont="1" applyBorder="1"/>
    <xf numFmtId="0" fontId="88" fillId="0" borderId="23" xfId="60" applyFont="1" applyBorder="1" applyAlignment="1">
      <alignment wrapText="1"/>
    </xf>
    <xf numFmtId="3" fontId="86" fillId="0" borderId="47" xfId="60" applyNumberFormat="1" applyFont="1" applyBorder="1"/>
    <xf numFmtId="3" fontId="86" fillId="0" borderId="14" xfId="60" applyNumberFormat="1" applyFont="1" applyBorder="1"/>
    <xf numFmtId="0" fontId="88" fillId="0" borderId="11" xfId="60" applyFont="1" applyBorder="1" applyAlignment="1">
      <alignment wrapText="1"/>
    </xf>
    <xf numFmtId="3" fontId="86" fillId="0" borderId="46" xfId="60" applyNumberFormat="1" applyFont="1" applyBorder="1"/>
    <xf numFmtId="3" fontId="86" fillId="0" borderId="12" xfId="60" applyNumberFormat="1" applyFont="1" applyBorder="1"/>
    <xf numFmtId="3" fontId="86" fillId="28" borderId="46" xfId="60" applyNumberFormat="1" applyFont="1" applyFill="1" applyBorder="1"/>
    <xf numFmtId="3" fontId="86" fillId="28" borderId="12" xfId="60" applyNumberFormat="1" applyFont="1" applyFill="1" applyBorder="1"/>
    <xf numFmtId="0" fontId="88" fillId="0" borderId="19" xfId="60" applyFont="1" applyBorder="1" applyAlignment="1">
      <alignment wrapText="1"/>
    </xf>
    <xf numFmtId="0" fontId="85" fillId="30" borderId="81" xfId="60" applyFont="1" applyFill="1" applyBorder="1" applyAlignment="1">
      <alignment wrapText="1"/>
    </xf>
    <xf numFmtId="3" fontId="85" fillId="30" borderId="82" xfId="60" applyNumberFormat="1" applyFont="1" applyFill="1" applyBorder="1"/>
    <xf numFmtId="3" fontId="85" fillId="30" borderId="83" xfId="60" applyNumberFormat="1" applyFont="1" applyFill="1" applyBorder="1"/>
    <xf numFmtId="0" fontId="85" fillId="0" borderId="0" xfId="60" applyFont="1"/>
    <xf numFmtId="0" fontId="85" fillId="0" borderId="19" xfId="60" applyFont="1" applyBorder="1" applyAlignment="1">
      <alignment wrapText="1"/>
    </xf>
    <xf numFmtId="3" fontId="85" fillId="0" borderId="84" xfId="60" applyNumberFormat="1" applyFont="1" applyBorder="1"/>
    <xf numFmtId="3" fontId="85" fillId="0" borderId="39" xfId="60" applyNumberFormat="1" applyFont="1" applyBorder="1"/>
    <xf numFmtId="0" fontId="86" fillId="0" borderId="19" xfId="60" applyFont="1" applyBorder="1" applyAlignment="1">
      <alignment wrapText="1"/>
    </xf>
    <xf numFmtId="3" fontId="86" fillId="0" borderId="84" xfId="60" applyNumberFormat="1" applyFont="1" applyBorder="1"/>
    <xf numFmtId="3" fontId="86" fillId="0" borderId="39" xfId="60" applyNumberFormat="1" applyFont="1" applyBorder="1"/>
    <xf numFmtId="0" fontId="87" fillId="0" borderId="23" xfId="60" applyFont="1" applyBorder="1" applyAlignment="1">
      <alignment wrapText="1"/>
    </xf>
    <xf numFmtId="0" fontId="86" fillId="0" borderId="23" xfId="60" applyFont="1" applyBorder="1" applyAlignment="1">
      <alignment wrapText="1"/>
    </xf>
    <xf numFmtId="0" fontId="86" fillId="0" borderId="64" xfId="60" applyFont="1" applyBorder="1" applyAlignment="1">
      <alignment wrapText="1"/>
    </xf>
    <xf numFmtId="0" fontId="89" fillId="0" borderId="19" xfId="60" applyFont="1" applyBorder="1" applyAlignment="1">
      <alignment wrapText="1"/>
    </xf>
    <xf numFmtId="0" fontId="88" fillId="0" borderId="19" xfId="60" applyFont="1" applyBorder="1" applyAlignment="1">
      <alignment horizontal="left" wrapText="1"/>
    </xf>
    <xf numFmtId="0" fontId="88" fillId="0" borderId="23" xfId="60" applyFont="1" applyBorder="1" applyAlignment="1">
      <alignment horizontal="left" wrapText="1"/>
    </xf>
    <xf numFmtId="0" fontId="87" fillId="0" borderId="64" xfId="60" applyFont="1" applyBorder="1" applyAlignment="1">
      <alignment wrapText="1"/>
    </xf>
    <xf numFmtId="0" fontId="89" fillId="0" borderId="23" xfId="60" applyFont="1" applyBorder="1" applyAlignment="1">
      <alignment wrapText="1"/>
    </xf>
    <xf numFmtId="0" fontId="88" fillId="0" borderId="85" xfId="60" applyFont="1" applyBorder="1" applyAlignment="1">
      <alignment wrapText="1"/>
    </xf>
    <xf numFmtId="3" fontId="86" fillId="0" borderId="86" xfId="60" applyNumberFormat="1" applyFont="1" applyBorder="1"/>
    <xf numFmtId="3" fontId="86" fillId="0" borderId="87" xfId="60" applyNumberFormat="1" applyFont="1" applyBorder="1"/>
    <xf numFmtId="3" fontId="86" fillId="30" borderId="82" xfId="60" applyNumberFormat="1" applyFont="1" applyFill="1" applyBorder="1"/>
    <xf numFmtId="3" fontId="86" fillId="30" borderId="83" xfId="60" applyNumberFormat="1" applyFont="1" applyFill="1" applyBorder="1"/>
    <xf numFmtId="0" fontId="90" fillId="0" borderId="0" xfId="60" applyFont="1"/>
    <xf numFmtId="3" fontId="88" fillId="0" borderId="19" xfId="60" applyNumberFormat="1" applyFont="1" applyBorder="1"/>
    <xf numFmtId="3" fontId="86" fillId="28" borderId="47" xfId="60" applyNumberFormat="1" applyFont="1" applyFill="1" applyBorder="1"/>
    <xf numFmtId="3" fontId="86" fillId="28" borderId="14" xfId="60" applyNumberFormat="1" applyFont="1" applyFill="1" applyBorder="1"/>
    <xf numFmtId="0" fontId="88" fillId="28" borderId="11" xfId="60" applyFont="1" applyFill="1" applyBorder="1" applyAlignment="1">
      <alignment wrapText="1"/>
    </xf>
    <xf numFmtId="0" fontId="89" fillId="0" borderId="11" xfId="60" applyFont="1" applyBorder="1" applyAlignment="1">
      <alignment wrapText="1"/>
    </xf>
    <xf numFmtId="0" fontId="90" fillId="0" borderId="11" xfId="60" applyFont="1" applyBorder="1" applyAlignment="1">
      <alignment wrapText="1"/>
    </xf>
    <xf numFmtId="0" fontId="86" fillId="0" borderId="81" xfId="60" applyFont="1" applyBorder="1" applyAlignment="1">
      <alignment wrapText="1"/>
    </xf>
    <xf numFmtId="3" fontId="86" fillId="0" borderId="82" xfId="60" applyNumberFormat="1" applyFont="1" applyBorder="1"/>
    <xf numFmtId="3" fontId="86" fillId="0" borderId="83" xfId="60" applyNumberFormat="1" applyFont="1" applyBorder="1"/>
    <xf numFmtId="0" fontId="86" fillId="0" borderId="85" xfId="60" applyFont="1" applyBorder="1" applyAlignment="1">
      <alignment wrapText="1"/>
    </xf>
    <xf numFmtId="0" fontId="86" fillId="0" borderId="88" xfId="60" applyFont="1" applyBorder="1" applyAlignment="1">
      <alignment wrapText="1"/>
    </xf>
    <xf numFmtId="3" fontId="86" fillId="0" borderId="89" xfId="60" applyNumberFormat="1" applyFont="1" applyBorder="1"/>
    <xf numFmtId="3" fontId="86" fillId="0" borderId="90" xfId="60" applyNumberFormat="1" applyFont="1" applyBorder="1"/>
    <xf numFmtId="0" fontId="88" fillId="0" borderId="11" xfId="60" applyFont="1" applyBorder="1" applyAlignment="1">
      <alignment horizontal="left" wrapText="1"/>
    </xf>
    <xf numFmtId="0" fontId="86" fillId="30" borderId="81" xfId="60" applyFont="1" applyFill="1" applyBorder="1" applyAlignment="1">
      <alignment wrapText="1"/>
    </xf>
    <xf numFmtId="0" fontId="86" fillId="30" borderId="91" xfId="60" applyFont="1" applyFill="1" applyBorder="1" applyAlignment="1">
      <alignment wrapText="1"/>
    </xf>
    <xf numFmtId="3" fontId="86" fillId="30" borderId="92" xfId="60" applyNumberFormat="1" applyFont="1" applyFill="1" applyBorder="1"/>
    <xf numFmtId="3" fontId="86" fillId="30" borderId="93" xfId="60" applyNumberFormat="1" applyFont="1" applyFill="1" applyBorder="1"/>
    <xf numFmtId="0" fontId="85" fillId="0" borderId="24" xfId="60" applyFont="1" applyBorder="1" applyAlignment="1">
      <alignment horizontal="center" wrapText="1"/>
    </xf>
    <xf numFmtId="0" fontId="85" fillId="0" borderId="68" xfId="60" applyFont="1" applyBorder="1" applyAlignment="1">
      <alignment horizontal="center" wrapText="1"/>
    </xf>
    <xf numFmtId="3" fontId="87" fillId="0" borderId="68" xfId="60" applyNumberFormat="1" applyFont="1" applyBorder="1" applyAlignment="1">
      <alignment horizontal="center"/>
    </xf>
    <xf numFmtId="3" fontId="87" fillId="0" borderId="67" xfId="60" applyNumberFormat="1" applyFont="1" applyBorder="1" applyAlignment="1">
      <alignment horizontal="center"/>
    </xf>
    <xf numFmtId="0" fontId="90" fillId="28" borderId="23" xfId="59" applyFont="1" applyFill="1" applyBorder="1" applyAlignment="1">
      <alignment horizontal="left"/>
    </xf>
    <xf numFmtId="3" fontId="85" fillId="28" borderId="47" xfId="60" applyNumberFormat="1" applyFont="1" applyFill="1" applyBorder="1"/>
    <xf numFmtId="3" fontId="85" fillId="28" borderId="14" xfId="60" applyNumberFormat="1" applyFont="1" applyFill="1" applyBorder="1"/>
    <xf numFmtId="0" fontId="91" fillId="26" borderId="23" xfId="59" applyFont="1" applyFill="1" applyBorder="1" applyAlignment="1">
      <alignment wrapText="1"/>
    </xf>
    <xf numFmtId="3" fontId="91" fillId="26" borderId="46" xfId="60" applyNumberFormat="1" applyFont="1" applyFill="1" applyBorder="1"/>
    <xf numFmtId="3" fontId="91" fillId="26" borderId="12" xfId="60" applyNumberFormat="1" applyFont="1" applyFill="1" applyBorder="1"/>
    <xf numFmtId="3" fontId="85" fillId="28" borderId="84" xfId="60" applyNumberFormat="1" applyFont="1" applyFill="1" applyBorder="1"/>
    <xf numFmtId="3" fontId="85" fillId="28" borderId="46" xfId="60" applyNumberFormat="1" applyFont="1" applyFill="1" applyBorder="1"/>
    <xf numFmtId="3" fontId="85" fillId="28" borderId="12" xfId="60" applyNumberFormat="1" applyFont="1" applyFill="1" applyBorder="1"/>
    <xf numFmtId="0" fontId="90" fillId="28" borderId="19" xfId="59" applyFont="1" applyFill="1" applyBorder="1" applyAlignment="1">
      <alignment horizontal="left"/>
    </xf>
    <xf numFmtId="0" fontId="90" fillId="0" borderId="11" xfId="59" applyFont="1" applyBorder="1" applyAlignment="1">
      <alignment wrapText="1"/>
    </xf>
    <xf numFmtId="0" fontId="91" fillId="0" borderId="0" xfId="60" applyFont="1"/>
    <xf numFmtId="0" fontId="90" fillId="28" borderId="11" xfId="59" applyFont="1" applyFill="1" applyBorder="1" applyAlignment="1">
      <alignment vertical="top" wrapText="1"/>
    </xf>
    <xf numFmtId="0" fontId="91" fillId="28" borderId="0" xfId="60" applyFont="1" applyFill="1"/>
    <xf numFmtId="0" fontId="90" fillId="28" borderId="19" xfId="59" applyFont="1" applyFill="1" applyBorder="1" applyAlignment="1">
      <alignment vertical="top" wrapText="1"/>
    </xf>
    <xf numFmtId="0" fontId="91" fillId="26" borderId="11" xfId="59" applyFont="1" applyFill="1" applyBorder="1" applyAlignment="1">
      <alignment wrapText="1"/>
    </xf>
    <xf numFmtId="3" fontId="91" fillId="26" borderId="84" xfId="60" applyNumberFormat="1" applyFont="1" applyFill="1" applyBorder="1"/>
    <xf numFmtId="3" fontId="91" fillId="26" borderId="39" xfId="60" applyNumberFormat="1" applyFont="1" applyFill="1" applyBorder="1"/>
    <xf numFmtId="0" fontId="85" fillId="30" borderId="11" xfId="60" applyFont="1" applyFill="1" applyBorder="1" applyAlignment="1">
      <alignment wrapText="1"/>
    </xf>
    <xf numFmtId="3" fontId="85" fillId="30" borderId="46" xfId="60" applyNumberFormat="1" applyFont="1" applyFill="1" applyBorder="1"/>
    <xf numFmtId="3" fontId="85" fillId="30" borderId="12" xfId="60" applyNumberFormat="1" applyFont="1" applyFill="1" applyBorder="1"/>
    <xf numFmtId="3" fontId="85" fillId="30" borderId="28" xfId="60" applyNumberFormat="1" applyFont="1" applyFill="1" applyBorder="1" applyAlignment="1">
      <alignment wrapText="1"/>
    </xf>
    <xf numFmtId="3" fontId="85" fillId="30" borderId="69" xfId="60" applyNumberFormat="1" applyFont="1" applyFill="1" applyBorder="1"/>
    <xf numFmtId="3" fontId="85" fillId="30" borderId="40" xfId="60" applyNumberFormat="1" applyFont="1" applyFill="1" applyBorder="1"/>
    <xf numFmtId="3" fontId="61" fillId="0" borderId="19" xfId="47" applyNumberFormat="1" applyFont="1" applyBorder="1"/>
    <xf numFmtId="3" fontId="61" fillId="0" borderId="19" xfId="47" applyNumberFormat="1" applyFont="1" applyBorder="1" applyAlignment="1">
      <alignment horizontal="justify"/>
    </xf>
    <xf numFmtId="3" fontId="68" fillId="0" borderId="19" xfId="47" applyNumberFormat="1" applyFont="1" applyBorder="1"/>
    <xf numFmtId="3" fontId="75" fillId="0" borderId="27" xfId="57" applyNumberFormat="1" applyFont="1" applyBorder="1" applyAlignment="1">
      <alignment horizontal="center"/>
    </xf>
    <xf numFmtId="3" fontId="37" fillId="0" borderId="26" xfId="57" applyNumberFormat="1" applyFont="1" applyBorder="1" applyAlignment="1">
      <alignment horizontal="justify"/>
    </xf>
    <xf numFmtId="3" fontId="37" fillId="0" borderId="67" xfId="57" applyNumberFormat="1" applyFont="1" applyBorder="1" applyAlignment="1">
      <alignment horizontal="justify"/>
    </xf>
    <xf numFmtId="3" fontId="74" fillId="0" borderId="0" xfId="0" applyNumberFormat="1" applyFont="1" applyAlignment="1">
      <alignment horizontal="center" vertical="center" wrapText="1"/>
    </xf>
    <xf numFmtId="3" fontId="74" fillId="0" borderId="26" xfId="0" applyNumberFormat="1" applyFont="1" applyBorder="1" applyAlignment="1">
      <alignment horizontal="center" vertical="center" wrapText="1"/>
    </xf>
    <xf numFmtId="3" fontId="74" fillId="0" borderId="67" xfId="0" applyNumberFormat="1" applyFont="1" applyBorder="1" applyAlignment="1">
      <alignment horizontal="center" vertical="center" wrapText="1"/>
    </xf>
    <xf numFmtId="3" fontId="76" fillId="0" borderId="0" xfId="57" applyNumberFormat="1" applyFont="1" applyAlignment="1">
      <alignment horizontal="justify"/>
    </xf>
    <xf numFmtId="3" fontId="78" fillId="0" borderId="27" xfId="0" applyNumberFormat="1" applyFont="1" applyBorder="1" applyAlignment="1">
      <alignment horizontal="right"/>
    </xf>
    <xf numFmtId="3" fontId="78" fillId="0" borderId="27" xfId="57" applyNumberFormat="1" applyFont="1" applyBorder="1" applyAlignment="1">
      <alignment horizontal="right"/>
    </xf>
    <xf numFmtId="3" fontId="78" fillId="0" borderId="39" xfId="57" applyNumberFormat="1" applyFont="1" applyBorder="1" applyAlignment="1">
      <alignment horizontal="right"/>
    </xf>
    <xf numFmtId="3" fontId="78" fillId="0" borderId="19" xfId="57" applyNumberFormat="1" applyFont="1" applyBorder="1" applyAlignment="1">
      <alignment horizontal="right"/>
    </xf>
    <xf numFmtId="3" fontId="79" fillId="0" borderId="27" xfId="57" applyNumberFormat="1" applyFont="1" applyBorder="1"/>
    <xf numFmtId="3" fontId="78" fillId="0" borderId="27" xfId="57" applyNumberFormat="1" applyFont="1" applyBorder="1"/>
    <xf numFmtId="3" fontId="78" fillId="0" borderId="39" xfId="57" applyNumberFormat="1" applyFont="1" applyBorder="1"/>
    <xf numFmtId="3" fontId="76" fillId="0" borderId="0" xfId="57" applyNumberFormat="1" applyFont="1"/>
    <xf numFmtId="3" fontId="78" fillId="0" borderId="51" xfId="0" applyNumberFormat="1" applyFont="1" applyBorder="1" applyAlignment="1">
      <alignment horizontal="right"/>
    </xf>
    <xf numFmtId="3" fontId="78" fillId="0" borderId="51" xfId="57" applyNumberFormat="1" applyFont="1" applyBorder="1" applyAlignment="1">
      <alignment horizontal="right"/>
    </xf>
    <xf numFmtId="3" fontId="78" fillId="0" borderId="18" xfId="57" applyNumberFormat="1" applyFont="1" applyBorder="1" applyAlignment="1">
      <alignment horizontal="right"/>
    </xf>
    <xf numFmtId="3" fontId="78" fillId="0" borderId="64" xfId="57" applyNumberFormat="1" applyFont="1" applyBorder="1" applyAlignment="1">
      <alignment horizontal="right"/>
    </xf>
    <xf numFmtId="3" fontId="79" fillId="0" borderId="49" xfId="57" applyNumberFormat="1" applyFont="1" applyBorder="1"/>
    <xf numFmtId="3" fontId="78" fillId="0" borderId="49" xfId="57" applyNumberFormat="1" applyFont="1" applyBorder="1"/>
    <xf numFmtId="3" fontId="78" fillId="0" borderId="18" xfId="57" applyNumberFormat="1" applyFont="1" applyBorder="1"/>
    <xf numFmtId="3" fontId="78" fillId="0" borderId="51" xfId="57" applyNumberFormat="1" applyFont="1" applyBorder="1"/>
    <xf numFmtId="3" fontId="78" fillId="0" borderId="12" xfId="57" applyNumberFormat="1" applyFont="1" applyBorder="1"/>
    <xf numFmtId="3" fontId="78" fillId="0" borderId="11" xfId="57" applyNumberFormat="1" applyFont="1" applyBorder="1" applyAlignment="1">
      <alignment horizontal="right"/>
    </xf>
    <xf numFmtId="3" fontId="79" fillId="0" borderId="51" xfId="57" applyNumberFormat="1" applyFont="1" applyBorder="1"/>
    <xf numFmtId="3" fontId="38" fillId="0" borderId="51" xfId="57" applyNumberFormat="1" applyFont="1" applyBorder="1"/>
    <xf numFmtId="3" fontId="38" fillId="0" borderId="12" xfId="57" applyNumberFormat="1" applyFont="1" applyBorder="1"/>
    <xf numFmtId="3" fontId="78" fillId="0" borderId="49" xfId="57" applyNumberFormat="1" applyFont="1" applyBorder="1" applyAlignment="1">
      <alignment horizontal="justify"/>
    </xf>
    <xf numFmtId="3" fontId="78" fillId="0" borderId="18" xfId="57" applyNumberFormat="1" applyFont="1" applyBorder="1" applyAlignment="1">
      <alignment horizontal="justify"/>
    </xf>
    <xf numFmtId="3" fontId="70" fillId="0" borderId="11" xfId="57" applyNumberFormat="1" applyFont="1" applyBorder="1" applyAlignment="1">
      <alignment horizontal="right"/>
    </xf>
    <xf numFmtId="3" fontId="70" fillId="0" borderId="51" xfId="57" applyNumberFormat="1" applyFont="1" applyBorder="1"/>
    <xf numFmtId="3" fontId="78" fillId="0" borderId="36" xfId="0" applyNumberFormat="1" applyFont="1" applyBorder="1" applyAlignment="1">
      <alignment horizontal="right"/>
    </xf>
    <xf numFmtId="3" fontId="78" fillId="0" borderId="23" xfId="57" applyNumberFormat="1" applyFont="1" applyBorder="1" applyAlignment="1">
      <alignment horizontal="right"/>
    </xf>
    <xf numFmtId="3" fontId="79" fillId="0" borderId="36" xfId="57" applyNumberFormat="1" applyFont="1" applyBorder="1"/>
    <xf numFmtId="3" fontId="78" fillId="0" borderId="36" xfId="57" applyNumberFormat="1" applyFont="1" applyBorder="1"/>
    <xf numFmtId="3" fontId="78" fillId="0" borderId="14" xfId="57" applyNumberFormat="1" applyFont="1" applyBorder="1"/>
    <xf numFmtId="3" fontId="70" fillId="0" borderId="28" xfId="57" applyNumberFormat="1" applyFont="1" applyBorder="1" applyAlignment="1">
      <alignment horizontal="right"/>
    </xf>
    <xf numFmtId="3" fontId="78" fillId="0" borderId="30" xfId="57" applyNumberFormat="1" applyFont="1" applyBorder="1"/>
    <xf numFmtId="3" fontId="70" fillId="0" borderId="30" xfId="57" applyNumberFormat="1" applyFont="1" applyBorder="1"/>
    <xf numFmtId="3" fontId="79" fillId="0" borderId="38" xfId="57" applyNumberFormat="1" applyFont="1" applyBorder="1" applyAlignment="1">
      <alignment horizontal="right"/>
    </xf>
    <xf numFmtId="3" fontId="79" fillId="0" borderId="44" xfId="57" applyNumberFormat="1" applyFont="1" applyBorder="1" applyAlignment="1">
      <alignment horizontal="right"/>
    </xf>
    <xf numFmtId="3" fontId="79" fillId="0" borderId="38" xfId="57" applyNumberFormat="1" applyFont="1" applyBorder="1"/>
    <xf numFmtId="3" fontId="78" fillId="0" borderId="0" xfId="57" applyNumberFormat="1" applyFont="1" applyAlignment="1">
      <alignment horizontal="right"/>
    </xf>
    <xf numFmtId="3" fontId="78" fillId="0" borderId="38" xfId="57" applyNumberFormat="1" applyFont="1" applyBorder="1"/>
    <xf numFmtId="3" fontId="79" fillId="0" borderId="45" xfId="57" applyNumberFormat="1" applyFont="1" applyBorder="1" applyAlignment="1">
      <alignment horizontal="right"/>
    </xf>
    <xf numFmtId="3" fontId="79" fillId="0" borderId="41" xfId="57" applyNumberFormat="1" applyFont="1" applyBorder="1" applyAlignment="1">
      <alignment horizontal="right"/>
    </xf>
    <xf numFmtId="3" fontId="79" fillId="0" borderId="45" xfId="57" applyNumberFormat="1" applyFont="1" applyBorder="1"/>
    <xf numFmtId="3" fontId="80" fillId="0" borderId="26" xfId="57" applyNumberFormat="1" applyFont="1" applyBorder="1" applyAlignment="1">
      <alignment horizontal="right"/>
    </xf>
    <xf numFmtId="3" fontId="79" fillId="0" borderId="26" xfId="57" applyNumberFormat="1" applyFont="1" applyBorder="1" applyAlignment="1">
      <alignment horizontal="right"/>
    </xf>
    <xf numFmtId="3" fontId="79" fillId="0" borderId="39" xfId="57" applyNumberFormat="1" applyFont="1" applyBorder="1" applyAlignment="1">
      <alignment horizontal="right"/>
    </xf>
    <xf numFmtId="3" fontId="79" fillId="0" borderId="0" xfId="57" applyNumberFormat="1" applyFont="1" applyAlignment="1">
      <alignment horizontal="right"/>
    </xf>
    <xf numFmtId="3" fontId="79" fillId="0" borderId="39" xfId="57" applyNumberFormat="1" applyFont="1" applyBorder="1"/>
    <xf numFmtId="3" fontId="80" fillId="0" borderId="27" xfId="57" applyNumberFormat="1" applyFont="1" applyBorder="1" applyAlignment="1">
      <alignment horizontal="right"/>
    </xf>
    <xf numFmtId="3" fontId="79" fillId="0" borderId="27" xfId="57" applyNumberFormat="1" applyFont="1" applyBorder="1" applyAlignment="1">
      <alignment horizontal="right"/>
    </xf>
    <xf numFmtId="3" fontId="79" fillId="0" borderId="14" xfId="57" applyNumberFormat="1" applyFont="1" applyBorder="1"/>
    <xf numFmtId="3" fontId="78" fillId="0" borderId="50" xfId="57" applyNumberFormat="1" applyFont="1" applyBorder="1" applyAlignment="1">
      <alignment horizontal="right"/>
    </xf>
    <xf numFmtId="3" fontId="78" fillId="0" borderId="12" xfId="57" applyNumberFormat="1" applyFont="1" applyBorder="1" applyAlignment="1">
      <alignment horizontal="right"/>
    </xf>
    <xf numFmtId="3" fontId="78" fillId="0" borderId="42" xfId="0" applyNumberFormat="1" applyFont="1" applyBorder="1" applyAlignment="1">
      <alignment horizontal="right"/>
    </xf>
    <xf numFmtId="3" fontId="78" fillId="0" borderId="42" xfId="57" applyNumberFormat="1" applyFont="1" applyBorder="1" applyAlignment="1">
      <alignment horizontal="right"/>
    </xf>
    <xf numFmtId="3" fontId="80" fillId="0" borderId="67" xfId="57" applyNumberFormat="1" applyFont="1" applyBorder="1" applyAlignment="1">
      <alignment horizontal="right"/>
    </xf>
    <xf numFmtId="3" fontId="79" fillId="0" borderId="67" xfId="57" applyNumberFormat="1" applyFont="1" applyBorder="1" applyAlignment="1">
      <alignment horizontal="right"/>
    </xf>
    <xf numFmtId="3" fontId="79" fillId="0" borderId="25" xfId="57" applyNumberFormat="1" applyFont="1" applyBorder="1" applyAlignment="1">
      <alignment horizontal="right"/>
    </xf>
    <xf numFmtId="3" fontId="79" fillId="0" borderId="26" xfId="57" applyNumberFormat="1" applyFont="1" applyBorder="1"/>
    <xf numFmtId="3" fontId="79" fillId="0" borderId="67" xfId="57" applyNumberFormat="1" applyFont="1" applyBorder="1"/>
    <xf numFmtId="3" fontId="78" fillId="0" borderId="27" xfId="0" applyNumberFormat="1" applyFont="1" applyBorder="1" applyAlignment="1">
      <alignment horizontal="right" wrapText="1"/>
    </xf>
    <xf numFmtId="3" fontId="78" fillId="0" borderId="21" xfId="57" applyNumberFormat="1" applyFont="1" applyBorder="1" applyAlignment="1">
      <alignment horizontal="right"/>
    </xf>
    <xf numFmtId="3" fontId="78" fillId="0" borderId="40" xfId="57" applyNumberFormat="1" applyFont="1" applyBorder="1"/>
    <xf numFmtId="3" fontId="78" fillId="0" borderId="30" xfId="57" applyNumberFormat="1" applyFont="1" applyBorder="1" applyAlignment="1">
      <alignment horizontal="right"/>
    </xf>
    <xf numFmtId="3" fontId="78" fillId="0" borderId="40" xfId="57" applyNumberFormat="1" applyFont="1" applyBorder="1" applyAlignment="1">
      <alignment horizontal="right"/>
    </xf>
    <xf numFmtId="3" fontId="78" fillId="0" borderId="29" xfId="57" applyNumberFormat="1" applyFont="1" applyBorder="1" applyAlignment="1">
      <alignment horizontal="right"/>
    </xf>
    <xf numFmtId="3" fontId="79" fillId="0" borderId="30" xfId="57" applyNumberFormat="1" applyFont="1" applyBorder="1"/>
    <xf numFmtId="3" fontId="78" fillId="0" borderId="39" xfId="0" applyNumberFormat="1" applyFont="1" applyBorder="1" applyAlignment="1">
      <alignment horizontal="right"/>
    </xf>
    <xf numFmtId="3" fontId="70" fillId="0" borderId="0" xfId="57" applyNumberFormat="1" applyFont="1" applyAlignment="1">
      <alignment horizontal="right"/>
    </xf>
    <xf numFmtId="3" fontId="70" fillId="0" borderId="39" xfId="57" applyNumberFormat="1" applyFont="1" applyBorder="1"/>
    <xf numFmtId="3" fontId="78" fillId="0" borderId="37" xfId="57" applyNumberFormat="1" applyFont="1" applyBorder="1" applyAlignment="1">
      <alignment horizontal="right"/>
    </xf>
    <xf numFmtId="3" fontId="78" fillId="0" borderId="54" xfId="57" applyNumberFormat="1" applyFont="1" applyBorder="1" applyAlignment="1">
      <alignment horizontal="right"/>
    </xf>
    <xf numFmtId="3" fontId="79" fillId="0" borderId="42" xfId="57" applyNumberFormat="1" applyFont="1" applyBorder="1"/>
    <xf numFmtId="3" fontId="78" fillId="0" borderId="37" xfId="57" applyNumberFormat="1" applyFont="1" applyBorder="1"/>
    <xf numFmtId="3" fontId="79" fillId="0" borderId="37" xfId="57" applyNumberFormat="1" applyFont="1" applyBorder="1"/>
    <xf numFmtId="3" fontId="79" fillId="0" borderId="40" xfId="57" applyNumberFormat="1" applyFont="1" applyBorder="1" applyAlignment="1">
      <alignment horizontal="right"/>
    </xf>
    <xf numFmtId="3" fontId="79" fillId="0" borderId="29" xfId="57" applyNumberFormat="1" applyFont="1" applyBorder="1" applyAlignment="1">
      <alignment horizontal="right"/>
    </xf>
    <xf numFmtId="3" fontId="79" fillId="0" borderId="40" xfId="57" applyNumberFormat="1" applyFont="1" applyBorder="1"/>
    <xf numFmtId="3" fontId="83" fillId="0" borderId="0" xfId="57" applyNumberFormat="1" applyFont="1"/>
    <xf numFmtId="3" fontId="81" fillId="0" borderId="0" xfId="57" applyNumberFormat="1" applyFont="1"/>
    <xf numFmtId="3" fontId="37" fillId="0" borderId="0" xfId="57" applyNumberFormat="1" applyFont="1"/>
    <xf numFmtId="0" fontId="37" fillId="0" borderId="0" xfId="0" applyFont="1" applyAlignment="1">
      <alignment horizontal="center"/>
    </xf>
    <xf numFmtId="3" fontId="36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52" xfId="0" applyFont="1" applyBorder="1" applyAlignment="1">
      <alignment horizontal="left" wrapText="1"/>
    </xf>
    <xf numFmtId="0" fontId="30" fillId="0" borderId="53" xfId="0" applyFont="1" applyBorder="1" applyAlignment="1">
      <alignment horizontal="left" wrapText="1"/>
    </xf>
    <xf numFmtId="0" fontId="36" fillId="0" borderId="0" xfId="0" applyFont="1" applyAlignment="1">
      <alignment horizontal="center"/>
    </xf>
    <xf numFmtId="0" fontId="31" fillId="0" borderId="33" xfId="0" applyFont="1" applyBorder="1" applyAlignment="1">
      <alignment horizontal="left" wrapText="1"/>
    </xf>
    <xf numFmtId="0" fontId="31" fillId="0" borderId="66" xfId="0" applyFont="1" applyBorder="1" applyAlignment="1">
      <alignment horizontal="left" wrapText="1"/>
    </xf>
    <xf numFmtId="0" fontId="60" fillId="0" borderId="0" xfId="47" applyFont="1" applyAlignment="1">
      <alignment horizontal="center"/>
    </xf>
    <xf numFmtId="3" fontId="60" fillId="0" borderId="0" xfId="47" applyNumberFormat="1" applyFont="1" applyAlignment="1">
      <alignment horizontal="center"/>
    </xf>
    <xf numFmtId="3" fontId="60" fillId="0" borderId="24" xfId="47" applyNumberFormat="1" applyFont="1" applyBorder="1" applyAlignment="1">
      <alignment horizontal="center" wrapText="1"/>
    </xf>
    <xf numFmtId="3" fontId="60" fillId="0" borderId="25" xfId="47" applyNumberFormat="1" applyFont="1" applyBorder="1" applyAlignment="1">
      <alignment horizontal="center" wrapText="1"/>
    </xf>
    <xf numFmtId="3" fontId="60" fillId="0" borderId="67" xfId="47" applyNumberFormat="1" applyFont="1" applyBorder="1" applyAlignment="1">
      <alignment horizontal="center" wrapText="1"/>
    </xf>
    <xf numFmtId="3" fontId="60" fillId="0" borderId="24" xfId="47" applyNumberFormat="1" applyFont="1" applyBorder="1" applyAlignment="1">
      <alignment horizontal="center"/>
    </xf>
    <xf numFmtId="3" fontId="60" fillId="0" borderId="25" xfId="47" applyNumberFormat="1" applyFont="1" applyBorder="1" applyAlignment="1">
      <alignment horizontal="center"/>
    </xf>
    <xf numFmtId="3" fontId="60" fillId="0" borderId="67" xfId="47" applyNumberFormat="1" applyFont="1" applyBorder="1" applyAlignment="1">
      <alignment horizontal="center"/>
    </xf>
    <xf numFmtId="3" fontId="60" fillId="0" borderId="28" xfId="47" applyNumberFormat="1" applyFont="1" applyBorder="1" applyAlignment="1">
      <alignment horizontal="center"/>
    </xf>
    <xf numFmtId="3" fontId="60" fillId="0" borderId="29" xfId="47" applyNumberFormat="1" applyFont="1" applyBorder="1" applyAlignment="1">
      <alignment horizontal="center"/>
    </xf>
    <xf numFmtId="3" fontId="60" fillId="0" borderId="40" xfId="47" applyNumberFormat="1" applyFont="1" applyBorder="1" applyAlignment="1">
      <alignment horizontal="center"/>
    </xf>
    <xf numFmtId="0" fontId="85" fillId="0" borderId="0" xfId="59" applyFont="1" applyAlignment="1">
      <alignment horizontal="center"/>
    </xf>
    <xf numFmtId="0" fontId="87" fillId="0" borderId="0" xfId="60" applyFont="1" applyAlignment="1">
      <alignment horizontal="center" wrapText="1"/>
    </xf>
    <xf numFmtId="3" fontId="60" fillId="0" borderId="24" xfId="47" applyNumberFormat="1" applyFont="1" applyBorder="1" applyAlignment="1">
      <alignment horizontal="center" vertical="center" wrapText="1"/>
    </xf>
    <xf numFmtId="3" fontId="60" fillId="0" borderId="25" xfId="47" applyNumberFormat="1" applyFont="1" applyBorder="1" applyAlignment="1">
      <alignment horizontal="center" vertical="center" wrapText="1"/>
    </xf>
    <xf numFmtId="3" fontId="60" fillId="0" borderId="67" xfId="47" applyNumberFormat="1" applyFont="1" applyBorder="1" applyAlignment="1">
      <alignment horizontal="center" vertical="center" wrapText="1"/>
    </xf>
    <xf numFmtId="3" fontId="60" fillId="0" borderId="19" xfId="47" applyNumberFormat="1" applyFont="1" applyBorder="1" applyAlignment="1">
      <alignment horizontal="center" vertical="center" wrapText="1"/>
    </xf>
    <xf numFmtId="3" fontId="60" fillId="0" borderId="0" xfId="47" applyNumberFormat="1" applyFont="1" applyAlignment="1">
      <alignment horizontal="center" vertical="center" wrapText="1"/>
    </xf>
    <xf numFmtId="3" fontId="60" fillId="0" borderId="39" xfId="47" applyNumberFormat="1" applyFont="1" applyBorder="1" applyAlignment="1">
      <alignment horizontal="center" vertical="center" wrapText="1"/>
    </xf>
    <xf numFmtId="3" fontId="60" fillId="0" borderId="28" xfId="47" applyNumberFormat="1" applyFont="1" applyBorder="1" applyAlignment="1">
      <alignment horizontal="center" vertical="center" wrapText="1"/>
    </xf>
    <xf numFmtId="3" fontId="60" fillId="0" borderId="29" xfId="47" applyNumberFormat="1" applyFont="1" applyBorder="1" applyAlignment="1">
      <alignment horizontal="center" vertical="center" wrapText="1"/>
    </xf>
    <xf numFmtId="3" fontId="60" fillId="0" borderId="40" xfId="47" applyNumberFormat="1" applyFont="1" applyBorder="1" applyAlignment="1">
      <alignment horizontal="center" vertical="center" wrapText="1"/>
    </xf>
    <xf numFmtId="3" fontId="60" fillId="0" borderId="24" xfId="47" applyNumberFormat="1" applyFont="1" applyBorder="1" applyAlignment="1">
      <alignment horizontal="center" vertical="center"/>
    </xf>
    <xf numFmtId="3" fontId="60" fillId="0" borderId="25" xfId="47" applyNumberFormat="1" applyFont="1" applyBorder="1" applyAlignment="1">
      <alignment horizontal="center" vertical="center"/>
    </xf>
    <xf numFmtId="3" fontId="60" fillId="0" borderId="67" xfId="47" applyNumberFormat="1" applyFont="1" applyBorder="1" applyAlignment="1">
      <alignment horizontal="center" vertical="center"/>
    </xf>
    <xf numFmtId="3" fontId="60" fillId="0" borderId="19" xfId="47" applyNumberFormat="1" applyFont="1" applyBorder="1" applyAlignment="1">
      <alignment horizontal="center" vertical="center"/>
    </xf>
    <xf numFmtId="3" fontId="60" fillId="0" borderId="0" xfId="47" applyNumberFormat="1" applyFont="1" applyAlignment="1">
      <alignment horizontal="center" vertical="center"/>
    </xf>
    <xf numFmtId="3" fontId="60" fillId="0" borderId="39" xfId="47" applyNumberFormat="1" applyFont="1" applyBorder="1" applyAlignment="1">
      <alignment horizontal="center" vertical="center"/>
    </xf>
    <xf numFmtId="3" fontId="60" fillId="0" borderId="28" xfId="47" applyNumberFormat="1" applyFont="1" applyBorder="1" applyAlignment="1">
      <alignment horizontal="center" vertical="center"/>
    </xf>
    <xf numFmtId="3" fontId="60" fillId="0" borderId="29" xfId="47" applyNumberFormat="1" applyFont="1" applyBorder="1" applyAlignment="1">
      <alignment horizontal="center" vertical="center"/>
    </xf>
    <xf numFmtId="3" fontId="60" fillId="0" borderId="40" xfId="47" applyNumberFormat="1" applyFont="1" applyBorder="1" applyAlignment="1">
      <alignment horizontal="center" vertical="center"/>
    </xf>
    <xf numFmtId="3" fontId="60" fillId="0" borderId="26" xfId="47" applyNumberFormat="1" applyFont="1" applyBorder="1" applyAlignment="1">
      <alignment horizontal="center" vertical="center"/>
    </xf>
    <xf numFmtId="3" fontId="60" fillId="0" borderId="27" xfId="47" applyNumberFormat="1" applyFont="1" applyBorder="1" applyAlignment="1">
      <alignment horizontal="center" vertical="center"/>
    </xf>
    <xf numFmtId="0" fontId="62" fillId="0" borderId="0" xfId="57" applyFont="1" applyAlignment="1">
      <alignment horizontal="center"/>
    </xf>
    <xf numFmtId="4" fontId="72" fillId="0" borderId="26" xfId="57" applyNumberFormat="1" applyFont="1" applyBorder="1" applyAlignment="1">
      <alignment horizontal="center" vertical="center" wrapText="1"/>
    </xf>
    <xf numFmtId="4" fontId="72" fillId="0" borderId="27" xfId="57" applyNumberFormat="1" applyFont="1" applyBorder="1" applyAlignment="1">
      <alignment horizontal="center" vertical="center" wrapText="1"/>
    </xf>
    <xf numFmtId="4" fontId="72" fillId="0" borderId="30" xfId="57" applyNumberFormat="1" applyFont="1" applyBorder="1" applyAlignment="1">
      <alignment horizontal="center" vertical="center" wrapText="1"/>
    </xf>
    <xf numFmtId="4" fontId="72" fillId="0" borderId="26" xfId="57" applyNumberFormat="1" applyFont="1" applyBorder="1" applyAlignment="1">
      <alignment horizontal="center" wrapText="1"/>
    </xf>
    <xf numFmtId="4" fontId="72" fillId="0" borderId="27" xfId="57" applyNumberFormat="1" applyFont="1" applyBorder="1" applyAlignment="1">
      <alignment horizontal="center" wrapText="1"/>
    </xf>
    <xf numFmtId="4" fontId="72" fillId="0" borderId="44" xfId="57" applyNumberFormat="1" applyFont="1" applyBorder="1" applyAlignment="1">
      <alignment horizontal="center"/>
    </xf>
    <xf numFmtId="4" fontId="72" fillId="0" borderId="41" xfId="57" applyNumberFormat="1" applyFont="1" applyBorder="1" applyAlignment="1">
      <alignment horizontal="center"/>
    </xf>
    <xf numFmtId="4" fontId="72" fillId="0" borderId="45" xfId="57" applyNumberFormat="1" applyFont="1" applyBorder="1" applyAlignment="1">
      <alignment horizontal="center"/>
    </xf>
    <xf numFmtId="4" fontId="72" fillId="0" borderId="44" xfId="57" applyNumberFormat="1" applyFont="1" applyBorder="1" applyAlignment="1">
      <alignment horizontal="center" wrapText="1"/>
    </xf>
    <xf numFmtId="4" fontId="72" fillId="0" borderId="45" xfId="57" applyNumberFormat="1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0" xfId="48" applyFont="1" applyAlignment="1">
      <alignment horizontal="center"/>
    </xf>
    <xf numFmtId="0" fontId="37" fillId="0" borderId="55" xfId="48" applyFont="1" applyBorder="1" applyAlignment="1">
      <alignment horizontal="left"/>
    </xf>
    <xf numFmtId="0" fontId="37" fillId="0" borderId="54" xfId="48" applyFont="1" applyBorder="1" applyAlignment="1">
      <alignment horizontal="left"/>
    </xf>
    <xf numFmtId="0" fontId="37" fillId="0" borderId="11" xfId="48" applyFont="1" applyBorder="1" applyAlignment="1">
      <alignment horizontal="left"/>
    </xf>
    <xf numFmtId="0" fontId="37" fillId="0" borderId="50" xfId="48" applyFont="1" applyBorder="1" applyAlignment="1">
      <alignment horizontal="left"/>
    </xf>
    <xf numFmtId="0" fontId="37" fillId="0" borderId="44" xfId="48" applyFont="1" applyBorder="1" applyAlignment="1">
      <alignment horizontal="left"/>
    </xf>
    <xf numFmtId="0" fontId="37" fillId="0" borderId="41" xfId="48" applyFont="1" applyBorder="1" applyAlignment="1">
      <alignment horizontal="left"/>
    </xf>
    <xf numFmtId="0" fontId="34" fillId="0" borderId="24" xfId="48" applyFont="1" applyBorder="1" applyAlignment="1">
      <alignment horizontal="center"/>
    </xf>
    <xf numFmtId="0" fontId="34" fillId="0" borderId="25" xfId="48" applyFont="1" applyBorder="1" applyAlignment="1">
      <alignment horizontal="center"/>
    </xf>
    <xf numFmtId="0" fontId="29" fillId="0" borderId="19" xfId="48" applyFont="1" applyBorder="1" applyAlignment="1">
      <alignment horizontal="left"/>
    </xf>
    <xf numFmtId="0" fontId="29" fillId="0" borderId="0" xfId="48" applyFont="1" applyAlignment="1">
      <alignment horizontal="left"/>
    </xf>
    <xf numFmtId="0" fontId="45" fillId="0" borderId="0" xfId="50" applyFont="1" applyAlignment="1">
      <alignment horizontal="center"/>
    </xf>
  </cellXfs>
  <cellStyles count="61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56" xr:uid="{00000000-0005-0000-0000-000030000000}"/>
    <cellStyle name="Normál 5" xfId="60" xr:uid="{00000000-0005-0000-0000-000031000000}"/>
    <cellStyle name="Normál_99LETSZ_LETSZ02" xfId="57" xr:uid="{00000000-0005-0000-0000-000032000000}"/>
    <cellStyle name="Normál_GUCIFEJL" xfId="48" xr:uid="{00000000-0005-0000-0000-000033000000}"/>
    <cellStyle name="Normál_IKÖZI" xfId="59" xr:uid="{00000000-0005-0000-0000-000034000000}"/>
    <cellStyle name="Normál_kiemelt eik 2013" xfId="49" xr:uid="{00000000-0005-0000-0000-000035000000}"/>
    <cellStyle name="Normál_LETSZ06" xfId="58" xr:uid="{00000000-0005-0000-0000-000036000000}"/>
    <cellStyle name="Normál_módIV12önk" xfId="50" xr:uid="{00000000-0005-0000-0000-000037000000}"/>
    <cellStyle name="Normál_Munkafüzet2" xfId="51" xr:uid="{00000000-0005-0000-0000-000038000000}"/>
    <cellStyle name="Összesen" xfId="52" xr:uid="{00000000-0005-0000-0000-000039000000}"/>
    <cellStyle name="Rossz" xfId="53" xr:uid="{00000000-0005-0000-0000-00003A000000}"/>
    <cellStyle name="Semleges" xfId="54" xr:uid="{00000000-0005-0000-0000-00003B000000}"/>
    <cellStyle name="Számítás" xfId="55" xr:uid="{00000000-0005-0000-0000-00003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5\Rendeletm&#243;dos&#237;t&#225;s\INTrend.m&#243;d.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4\Besz&#225;mol&#243;\Int.l&#233;tsz&#225;m%20z&#225;r&#243;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5\Rendeletm&#243;dos&#237;t&#225;s\Int.l&#233;tsz&#225;m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bevételek RM II maradvány"/>
      <sheetName val="int.kiadások RM I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/>
      <sheetData sheetId="1"/>
      <sheetData sheetId="2"/>
      <sheetData sheetId="3"/>
      <sheetData sheetId="4">
        <row r="10">
          <cell r="D10">
            <v>2164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2312</v>
          </cell>
          <cell r="AM10">
            <v>277789</v>
          </cell>
        </row>
        <row r="11">
          <cell r="D11">
            <v>736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2747</v>
          </cell>
          <cell r="AM11">
            <v>190253</v>
          </cell>
        </row>
        <row r="12">
          <cell r="D12">
            <v>1320</v>
          </cell>
          <cell r="G12">
            <v>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2786</v>
          </cell>
          <cell r="AM12">
            <v>202384</v>
          </cell>
        </row>
        <row r="13">
          <cell r="D13">
            <v>1224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2178</v>
          </cell>
          <cell r="AM13">
            <v>241699</v>
          </cell>
        </row>
        <row r="14">
          <cell r="D14">
            <v>1016</v>
          </cell>
          <cell r="G14">
            <v>0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1134</v>
          </cell>
          <cell r="AM14">
            <v>228968</v>
          </cell>
        </row>
        <row r="15">
          <cell r="D15">
            <v>1304</v>
          </cell>
          <cell r="G15">
            <v>0</v>
          </cell>
          <cell r="J15">
            <v>381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2103</v>
          </cell>
          <cell r="AM15">
            <v>209652</v>
          </cell>
        </row>
        <row r="16">
          <cell r="D16">
            <v>1560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1185</v>
          </cell>
          <cell r="AM16">
            <v>157738</v>
          </cell>
        </row>
        <row r="17">
          <cell r="D17">
            <v>1216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2977</v>
          </cell>
          <cell r="AM17">
            <v>177106</v>
          </cell>
        </row>
        <row r="18">
          <cell r="D18">
            <v>760</v>
          </cell>
          <cell r="G18">
            <v>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2819</v>
          </cell>
          <cell r="AM18">
            <v>237100</v>
          </cell>
        </row>
        <row r="19">
          <cell r="D19">
            <v>2920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2377</v>
          </cell>
          <cell r="AM19">
            <v>288825</v>
          </cell>
        </row>
        <row r="20">
          <cell r="D20">
            <v>680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846</v>
          </cell>
          <cell r="AM20">
            <v>136912</v>
          </cell>
        </row>
        <row r="21">
          <cell r="D21">
            <v>1309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1420</v>
          </cell>
          <cell r="AM21">
            <v>135332</v>
          </cell>
        </row>
        <row r="22">
          <cell r="D22">
            <v>1176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1567</v>
          </cell>
          <cell r="AM22">
            <v>162913</v>
          </cell>
        </row>
        <row r="23">
          <cell r="D23">
            <v>472</v>
          </cell>
          <cell r="G23">
            <v>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2253</v>
          </cell>
          <cell r="AM23">
            <v>195312</v>
          </cell>
        </row>
        <row r="24">
          <cell r="D24">
            <v>1448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2458</v>
          </cell>
          <cell r="AM24">
            <v>275039</v>
          </cell>
        </row>
        <row r="25">
          <cell r="D25">
            <v>360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2255</v>
          </cell>
          <cell r="AM25">
            <v>203623</v>
          </cell>
        </row>
        <row r="26">
          <cell r="D26">
            <v>1163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1419</v>
          </cell>
          <cell r="AM26">
            <v>153127</v>
          </cell>
        </row>
        <row r="27">
          <cell r="D27">
            <v>840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1808</v>
          </cell>
          <cell r="AM27">
            <v>121062</v>
          </cell>
        </row>
        <row r="29">
          <cell r="D29">
            <v>658521</v>
          </cell>
          <cell r="G29">
            <v>1048</v>
          </cell>
          <cell r="J29">
            <v>0</v>
          </cell>
          <cell r="M29">
            <v>0</v>
          </cell>
          <cell r="T29">
            <v>35</v>
          </cell>
          <cell r="W29">
            <v>0</v>
          </cell>
          <cell r="Z29">
            <v>0</v>
          </cell>
          <cell r="AJ29">
            <v>16061</v>
          </cell>
          <cell r="AM29">
            <v>1925724</v>
          </cell>
        </row>
        <row r="33">
          <cell r="D33">
            <v>28471</v>
          </cell>
          <cell r="G33">
            <v>0</v>
          </cell>
          <cell r="J33">
            <v>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38505</v>
          </cell>
          <cell r="AM33">
            <v>197812</v>
          </cell>
        </row>
        <row r="34">
          <cell r="D34">
            <v>113344</v>
          </cell>
          <cell r="G34">
            <v>0</v>
          </cell>
          <cell r="J34">
            <v>0</v>
          </cell>
          <cell r="M34">
            <v>0</v>
          </cell>
          <cell r="T34">
            <v>0</v>
          </cell>
          <cell r="W34">
            <v>0</v>
          </cell>
          <cell r="Z34">
            <v>0</v>
          </cell>
          <cell r="AJ34">
            <v>211042</v>
          </cell>
          <cell r="AM34">
            <v>578042</v>
          </cell>
        </row>
        <row r="35">
          <cell r="D35">
            <v>32900</v>
          </cell>
          <cell r="G35">
            <v>0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23795</v>
          </cell>
          <cell r="AM35">
            <v>477538</v>
          </cell>
        </row>
        <row r="36">
          <cell r="D36">
            <v>154078</v>
          </cell>
          <cell r="G36">
            <v>13406</v>
          </cell>
          <cell r="J36">
            <v>0</v>
          </cell>
          <cell r="M36">
            <v>0</v>
          </cell>
          <cell r="T36">
            <v>0</v>
          </cell>
          <cell r="W36">
            <v>0</v>
          </cell>
          <cell r="Z36">
            <v>0</v>
          </cell>
          <cell r="AJ36">
            <v>107927</v>
          </cell>
          <cell r="AM36">
            <v>704443</v>
          </cell>
        </row>
        <row r="39">
          <cell r="D39">
            <v>197479</v>
          </cell>
          <cell r="G39">
            <v>0</v>
          </cell>
          <cell r="J39">
            <v>0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1947</v>
          </cell>
          <cell r="AM39">
            <v>1667378</v>
          </cell>
        </row>
        <row r="41">
          <cell r="D41">
            <v>39495</v>
          </cell>
          <cell r="G41">
            <v>449270</v>
          </cell>
          <cell r="J41">
            <v>0</v>
          </cell>
          <cell r="M41">
            <v>0</v>
          </cell>
          <cell r="T41">
            <v>0</v>
          </cell>
          <cell r="W41">
            <v>0</v>
          </cell>
          <cell r="AJ41">
            <v>215298</v>
          </cell>
          <cell r="AM41">
            <v>339672</v>
          </cell>
        </row>
        <row r="43">
          <cell r="D43">
            <v>97148</v>
          </cell>
          <cell r="G43">
            <v>13519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3170</v>
          </cell>
          <cell r="AM43">
            <v>1916971</v>
          </cell>
        </row>
        <row r="45">
          <cell r="D45">
            <v>188823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24519</v>
          </cell>
          <cell r="AM45">
            <v>23123</v>
          </cell>
        </row>
        <row r="46">
          <cell r="D46">
            <v>17150</v>
          </cell>
          <cell r="G46">
            <v>810</v>
          </cell>
          <cell r="J46">
            <v>0</v>
          </cell>
          <cell r="M46">
            <v>1850</v>
          </cell>
          <cell r="T46">
            <v>0</v>
          </cell>
          <cell r="W46">
            <v>0</v>
          </cell>
          <cell r="Z46">
            <v>0</v>
          </cell>
          <cell r="AJ46">
            <v>11268</v>
          </cell>
          <cell r="AM46">
            <v>3412374</v>
          </cell>
        </row>
      </sheetData>
      <sheetData sheetId="5">
        <row r="10">
          <cell r="D10">
            <v>239153</v>
          </cell>
          <cell r="G10">
            <v>35346</v>
          </cell>
          <cell r="J10">
            <v>7766</v>
          </cell>
          <cell r="N10">
            <v>0</v>
          </cell>
          <cell r="Q10">
            <v>0</v>
          </cell>
          <cell r="X10">
            <v>0</v>
          </cell>
          <cell r="AA10">
            <v>0</v>
          </cell>
          <cell r="AD10">
            <v>0</v>
          </cell>
        </row>
        <row r="11">
          <cell r="D11">
            <v>168307</v>
          </cell>
          <cell r="G11">
            <v>21753</v>
          </cell>
          <cell r="J11">
            <v>3676</v>
          </cell>
          <cell r="N11">
            <v>0</v>
          </cell>
          <cell r="Q11">
            <v>0</v>
          </cell>
          <cell r="X11">
            <v>0</v>
          </cell>
          <cell r="AA11">
            <v>0</v>
          </cell>
          <cell r="AD11">
            <v>0</v>
          </cell>
        </row>
        <row r="12">
          <cell r="D12">
            <v>179148</v>
          </cell>
          <cell r="G12">
            <v>23438</v>
          </cell>
          <cell r="J12">
            <v>3817</v>
          </cell>
          <cell r="N12">
            <v>0</v>
          </cell>
          <cell r="Q12">
            <v>0</v>
          </cell>
          <cell r="X12">
            <v>87</v>
          </cell>
          <cell r="AA12">
            <v>0</v>
          </cell>
          <cell r="AD12">
            <v>0</v>
          </cell>
        </row>
        <row r="13">
          <cell r="D13">
            <v>209997</v>
          </cell>
          <cell r="G13">
            <v>30991</v>
          </cell>
          <cell r="J13">
            <v>4113</v>
          </cell>
          <cell r="N13">
            <v>0</v>
          </cell>
          <cell r="Q13">
            <v>0</v>
          </cell>
          <cell r="X13">
            <v>0</v>
          </cell>
          <cell r="AA13">
            <v>0</v>
          </cell>
          <cell r="AD13">
            <v>0</v>
          </cell>
        </row>
        <row r="14">
          <cell r="D14">
            <v>198361</v>
          </cell>
          <cell r="G14">
            <v>29071</v>
          </cell>
          <cell r="J14">
            <v>3663</v>
          </cell>
          <cell r="N14">
            <v>0</v>
          </cell>
          <cell r="Q14">
            <v>0</v>
          </cell>
          <cell r="X14">
            <v>23</v>
          </cell>
          <cell r="AA14">
            <v>0</v>
          </cell>
          <cell r="AD14">
            <v>0</v>
          </cell>
        </row>
        <row r="15">
          <cell r="D15">
            <v>184443</v>
          </cell>
          <cell r="G15">
            <v>24168</v>
          </cell>
          <cell r="J15">
            <v>4829</v>
          </cell>
          <cell r="N15">
            <v>0</v>
          </cell>
          <cell r="Q15">
            <v>0</v>
          </cell>
          <cell r="X15">
            <v>0</v>
          </cell>
          <cell r="AA15">
            <v>0</v>
          </cell>
          <cell r="AD15">
            <v>0</v>
          </cell>
        </row>
        <row r="16">
          <cell r="D16">
            <v>138814</v>
          </cell>
          <cell r="G16">
            <v>17982</v>
          </cell>
          <cell r="J16">
            <v>3687</v>
          </cell>
          <cell r="N16">
            <v>0</v>
          </cell>
          <cell r="Q16">
            <v>0</v>
          </cell>
          <cell r="X16">
            <v>0</v>
          </cell>
          <cell r="AA16">
            <v>0</v>
          </cell>
          <cell r="AD16">
            <v>0</v>
          </cell>
        </row>
        <row r="17">
          <cell r="D17">
            <v>154316</v>
          </cell>
          <cell r="G17">
            <v>20116</v>
          </cell>
          <cell r="J17">
            <v>4042</v>
          </cell>
          <cell r="N17">
            <v>0</v>
          </cell>
          <cell r="Q17">
            <v>0</v>
          </cell>
          <cell r="X17">
            <v>2825</v>
          </cell>
          <cell r="AA17">
            <v>0</v>
          </cell>
          <cell r="AD17">
            <v>0</v>
          </cell>
        </row>
        <row r="18">
          <cell r="D18">
            <v>204831</v>
          </cell>
          <cell r="G18">
            <v>30241</v>
          </cell>
          <cell r="J18">
            <v>4582</v>
          </cell>
          <cell r="N18">
            <v>0</v>
          </cell>
          <cell r="Q18">
            <v>0</v>
          </cell>
          <cell r="X18">
            <v>1025</v>
          </cell>
          <cell r="AA18">
            <v>0</v>
          </cell>
          <cell r="AD18">
            <v>0</v>
          </cell>
        </row>
        <row r="19">
          <cell r="D19">
            <v>252305</v>
          </cell>
          <cell r="G19">
            <v>36518</v>
          </cell>
          <cell r="J19">
            <v>5299</v>
          </cell>
          <cell r="N19">
            <v>0</v>
          </cell>
          <cell r="Q19">
            <v>0</v>
          </cell>
          <cell r="X19">
            <v>0</v>
          </cell>
          <cell r="AA19">
            <v>0</v>
          </cell>
          <cell r="AD19">
            <v>0</v>
          </cell>
        </row>
        <row r="20">
          <cell r="D20">
            <v>119222</v>
          </cell>
          <cell r="G20">
            <v>15459</v>
          </cell>
          <cell r="J20">
            <v>3664</v>
          </cell>
          <cell r="N20">
            <v>0</v>
          </cell>
          <cell r="Q20">
            <v>0</v>
          </cell>
          <cell r="X20">
            <v>93</v>
          </cell>
          <cell r="AA20">
            <v>0</v>
          </cell>
          <cell r="AD20">
            <v>0</v>
          </cell>
        </row>
        <row r="21">
          <cell r="D21">
            <v>119690</v>
          </cell>
          <cell r="G21">
            <v>15594</v>
          </cell>
          <cell r="J21">
            <v>2777</v>
          </cell>
          <cell r="N21">
            <v>0</v>
          </cell>
          <cell r="Q21">
            <v>0</v>
          </cell>
          <cell r="X21">
            <v>0</v>
          </cell>
          <cell r="AA21">
            <v>0</v>
          </cell>
          <cell r="AD21">
            <v>0</v>
          </cell>
        </row>
        <row r="22">
          <cell r="D22">
            <v>143011</v>
          </cell>
          <cell r="G22">
            <v>18554</v>
          </cell>
          <cell r="J22">
            <v>4091</v>
          </cell>
          <cell r="N22">
            <v>0</v>
          </cell>
          <cell r="Q22">
            <v>0</v>
          </cell>
          <cell r="X22">
            <v>0</v>
          </cell>
          <cell r="AA22">
            <v>0</v>
          </cell>
          <cell r="AD22">
            <v>0</v>
          </cell>
        </row>
        <row r="23">
          <cell r="D23">
            <v>172086</v>
          </cell>
          <cell r="G23">
            <v>22635</v>
          </cell>
          <cell r="J23">
            <v>3316</v>
          </cell>
          <cell r="N23">
            <v>0</v>
          </cell>
          <cell r="Q23">
            <v>0</v>
          </cell>
          <cell r="X23">
            <v>0</v>
          </cell>
          <cell r="AA23">
            <v>0</v>
          </cell>
          <cell r="AD23">
            <v>0</v>
          </cell>
        </row>
        <row r="24">
          <cell r="D24">
            <v>239559</v>
          </cell>
          <cell r="G24">
            <v>35379</v>
          </cell>
          <cell r="J24">
            <v>4007</v>
          </cell>
          <cell r="N24">
            <v>0</v>
          </cell>
          <cell r="Q24">
            <v>0</v>
          </cell>
          <cell r="X24">
            <v>0</v>
          </cell>
          <cell r="AA24">
            <v>0</v>
          </cell>
          <cell r="AD24">
            <v>0</v>
          </cell>
        </row>
        <row r="25">
          <cell r="D25">
            <v>175196</v>
          </cell>
          <cell r="G25">
            <v>22751</v>
          </cell>
          <cell r="J25">
            <v>4199</v>
          </cell>
          <cell r="N25">
            <v>0</v>
          </cell>
          <cell r="Q25">
            <v>0</v>
          </cell>
          <cell r="X25">
            <v>4092</v>
          </cell>
          <cell r="AA25">
            <v>0</v>
          </cell>
          <cell r="AD25">
            <v>0</v>
          </cell>
        </row>
        <row r="26">
          <cell r="D26">
            <v>131125</v>
          </cell>
          <cell r="G26">
            <v>16943</v>
          </cell>
          <cell r="J26">
            <v>5145</v>
          </cell>
          <cell r="N26">
            <v>0</v>
          </cell>
          <cell r="Q26">
            <v>0</v>
          </cell>
          <cell r="X26">
            <v>2496</v>
          </cell>
          <cell r="AA26">
            <v>0</v>
          </cell>
          <cell r="AD26">
            <v>0</v>
          </cell>
        </row>
        <row r="27">
          <cell r="D27">
            <v>106211</v>
          </cell>
          <cell r="G27">
            <v>13770</v>
          </cell>
          <cell r="J27">
            <v>3729</v>
          </cell>
          <cell r="N27">
            <v>0</v>
          </cell>
          <cell r="Q27">
            <v>0</v>
          </cell>
          <cell r="X27">
            <v>0</v>
          </cell>
          <cell r="AA27">
            <v>0</v>
          </cell>
          <cell r="AD27">
            <v>0</v>
          </cell>
        </row>
        <row r="29">
          <cell r="D29">
            <v>341121</v>
          </cell>
          <cell r="G29">
            <v>50451</v>
          </cell>
          <cell r="J29">
            <v>2159168</v>
          </cell>
          <cell r="N29">
            <v>0</v>
          </cell>
          <cell r="Q29">
            <v>0</v>
          </cell>
          <cell r="X29">
            <v>19196</v>
          </cell>
          <cell r="AA29">
            <v>31453</v>
          </cell>
          <cell r="AD29">
            <v>0</v>
          </cell>
        </row>
        <row r="33">
          <cell r="D33">
            <v>156018</v>
          </cell>
          <cell r="G33">
            <v>19918</v>
          </cell>
          <cell r="J33">
            <v>87851</v>
          </cell>
          <cell r="N33">
            <v>0</v>
          </cell>
          <cell r="Q33">
            <v>0</v>
          </cell>
          <cell r="X33">
            <v>1001</v>
          </cell>
          <cell r="AA33">
            <v>0</v>
          </cell>
          <cell r="AD33">
            <v>0</v>
          </cell>
        </row>
        <row r="34">
          <cell r="D34">
            <v>592826</v>
          </cell>
          <cell r="G34">
            <v>88109</v>
          </cell>
          <cell r="J34">
            <v>219207</v>
          </cell>
          <cell r="N34">
            <v>0</v>
          </cell>
          <cell r="Q34">
            <v>0</v>
          </cell>
          <cell r="X34">
            <v>2286</v>
          </cell>
          <cell r="AA34">
            <v>0</v>
          </cell>
          <cell r="AD34">
            <v>0</v>
          </cell>
        </row>
        <row r="35">
          <cell r="D35">
            <v>302455</v>
          </cell>
          <cell r="G35">
            <v>39163</v>
          </cell>
          <cell r="J35">
            <v>180315</v>
          </cell>
          <cell r="N35">
            <v>0</v>
          </cell>
          <cell r="Q35">
            <v>0</v>
          </cell>
          <cell r="X35">
            <v>12300</v>
          </cell>
          <cell r="AA35">
            <v>0</v>
          </cell>
          <cell r="AD35">
            <v>0</v>
          </cell>
        </row>
        <row r="36">
          <cell r="D36">
            <v>588093</v>
          </cell>
          <cell r="G36">
            <v>75771</v>
          </cell>
          <cell r="J36">
            <v>269306</v>
          </cell>
          <cell r="N36">
            <v>0</v>
          </cell>
          <cell r="Q36">
            <v>0</v>
          </cell>
          <cell r="X36">
            <v>46684</v>
          </cell>
          <cell r="AA36">
            <v>0</v>
          </cell>
          <cell r="AD36">
            <v>0</v>
          </cell>
        </row>
        <row r="39">
          <cell r="D39">
            <v>1003715</v>
          </cell>
          <cell r="G39">
            <v>158731</v>
          </cell>
          <cell r="J39">
            <v>676541</v>
          </cell>
          <cell r="N39">
            <v>0</v>
          </cell>
          <cell r="Q39">
            <v>0</v>
          </cell>
          <cell r="X39">
            <v>10974</v>
          </cell>
          <cell r="AA39">
            <v>16843</v>
          </cell>
          <cell r="AD39">
            <v>0</v>
          </cell>
        </row>
        <row r="41">
          <cell r="D41">
            <v>633739</v>
          </cell>
          <cell r="G41">
            <v>94149</v>
          </cell>
          <cell r="J41">
            <v>309315</v>
          </cell>
          <cell r="N41">
            <v>0</v>
          </cell>
          <cell r="Q41">
            <v>0</v>
          </cell>
          <cell r="X41">
            <v>6532</v>
          </cell>
          <cell r="AA41">
            <v>0</v>
          </cell>
          <cell r="AD41">
            <v>0</v>
          </cell>
        </row>
        <row r="43">
          <cell r="D43">
            <v>1529775</v>
          </cell>
          <cell r="G43">
            <v>230606</v>
          </cell>
          <cell r="J43">
            <v>247173</v>
          </cell>
          <cell r="N43">
            <v>0</v>
          </cell>
          <cell r="Q43">
            <v>0</v>
          </cell>
          <cell r="X43">
            <v>16785</v>
          </cell>
          <cell r="AA43">
            <v>6469</v>
          </cell>
          <cell r="AD43">
            <v>0</v>
          </cell>
        </row>
        <row r="45">
          <cell r="D45">
            <v>86374</v>
          </cell>
          <cell r="G45">
            <v>11356</v>
          </cell>
          <cell r="J45">
            <v>131003</v>
          </cell>
          <cell r="N45">
            <v>0</v>
          </cell>
          <cell r="Q45">
            <v>0</v>
          </cell>
          <cell r="X45">
            <v>7732</v>
          </cell>
          <cell r="AA45">
            <v>0</v>
          </cell>
          <cell r="AD45">
            <v>0</v>
          </cell>
        </row>
        <row r="46">
          <cell r="D46">
            <v>2484844</v>
          </cell>
          <cell r="G46">
            <v>367428</v>
          </cell>
          <cell r="J46">
            <v>493894</v>
          </cell>
          <cell r="N46">
            <v>0</v>
          </cell>
          <cell r="Q46">
            <v>4000</v>
          </cell>
          <cell r="X46">
            <v>93286</v>
          </cell>
          <cell r="AA46">
            <v>0</v>
          </cell>
          <cell r="AD46">
            <v>0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létszám ei zárás 2024 év"/>
    </sheetNames>
    <sheetDataSet>
      <sheetData sheetId="0">
        <row r="9">
          <cell r="G9">
            <v>34</v>
          </cell>
        </row>
        <row r="10">
          <cell r="G10">
            <v>24</v>
          </cell>
        </row>
        <row r="11">
          <cell r="G11">
            <v>24</v>
          </cell>
        </row>
        <row r="12">
          <cell r="G12">
            <v>29</v>
          </cell>
        </row>
        <row r="13">
          <cell r="G13">
            <v>27</v>
          </cell>
        </row>
        <row r="14">
          <cell r="G14">
            <v>24</v>
          </cell>
        </row>
        <row r="15">
          <cell r="G15">
            <v>20</v>
          </cell>
        </row>
        <row r="16">
          <cell r="G16">
            <v>19</v>
          </cell>
        </row>
        <row r="17">
          <cell r="G17">
            <v>28</v>
          </cell>
        </row>
        <row r="18">
          <cell r="G18">
            <v>31</v>
          </cell>
        </row>
        <row r="19">
          <cell r="G19">
            <v>16</v>
          </cell>
        </row>
        <row r="20">
          <cell r="G20">
            <v>15</v>
          </cell>
        </row>
        <row r="21">
          <cell r="G21">
            <v>20</v>
          </cell>
        </row>
        <row r="22">
          <cell r="G22">
            <v>21</v>
          </cell>
        </row>
        <row r="23">
          <cell r="G23">
            <v>31</v>
          </cell>
        </row>
        <row r="24">
          <cell r="G24">
            <v>24</v>
          </cell>
        </row>
        <row r="25">
          <cell r="G25">
            <v>18</v>
          </cell>
        </row>
        <row r="26">
          <cell r="G26">
            <v>13</v>
          </cell>
        </row>
        <row r="28">
          <cell r="G28">
            <v>44</v>
          </cell>
        </row>
        <row r="32">
          <cell r="G32">
            <v>20</v>
          </cell>
        </row>
        <row r="33">
          <cell r="G33">
            <v>84</v>
          </cell>
        </row>
        <row r="34">
          <cell r="G34">
            <v>46</v>
          </cell>
        </row>
        <row r="35">
          <cell r="G35">
            <v>101</v>
          </cell>
        </row>
        <row r="38">
          <cell r="G38">
            <v>183</v>
          </cell>
        </row>
        <row r="40">
          <cell r="G40">
            <v>75</v>
          </cell>
        </row>
        <row r="42">
          <cell r="G42">
            <v>201</v>
          </cell>
        </row>
        <row r="44">
          <cell r="G44">
            <v>14</v>
          </cell>
        </row>
        <row r="45">
          <cell r="G45">
            <v>285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tszám ei mód 2024-2025eltérés"/>
      <sheetName val="2025 évi nyitó létszám"/>
      <sheetName val="létszám ei mód RM I."/>
      <sheetName val="létszám ei mód RM II."/>
      <sheetName val="létszám ei mód RM III."/>
    </sheetNames>
    <sheetDataSet>
      <sheetData sheetId="0" refreshError="1"/>
      <sheetData sheetId="1">
        <row r="8">
          <cell r="G8">
            <v>34</v>
          </cell>
        </row>
        <row r="9">
          <cell r="G9">
            <v>24</v>
          </cell>
        </row>
        <row r="10">
          <cell r="G10">
            <v>24</v>
          </cell>
        </row>
        <row r="11">
          <cell r="G11">
            <v>29</v>
          </cell>
        </row>
        <row r="12">
          <cell r="G12">
            <v>27</v>
          </cell>
        </row>
        <row r="13">
          <cell r="G13">
            <v>24</v>
          </cell>
        </row>
        <row r="14">
          <cell r="G14">
            <v>19</v>
          </cell>
        </row>
        <row r="15">
          <cell r="G15">
            <v>19</v>
          </cell>
        </row>
        <row r="16">
          <cell r="G16">
            <v>28</v>
          </cell>
        </row>
        <row r="17">
          <cell r="G17">
            <v>31</v>
          </cell>
        </row>
        <row r="18">
          <cell r="G18">
            <v>16</v>
          </cell>
        </row>
        <row r="19">
          <cell r="G19">
            <v>15</v>
          </cell>
        </row>
        <row r="20">
          <cell r="G20">
            <v>20</v>
          </cell>
        </row>
        <row r="21">
          <cell r="G21">
            <v>21</v>
          </cell>
        </row>
        <row r="22">
          <cell r="G22">
            <v>32</v>
          </cell>
        </row>
        <row r="23">
          <cell r="G23">
            <v>24</v>
          </cell>
        </row>
        <row r="24">
          <cell r="G24">
            <v>18</v>
          </cell>
        </row>
        <row r="25">
          <cell r="G25">
            <v>13</v>
          </cell>
        </row>
        <row r="27">
          <cell r="G27">
            <v>44</v>
          </cell>
        </row>
        <row r="31">
          <cell r="G31">
            <v>20</v>
          </cell>
        </row>
        <row r="32">
          <cell r="G32">
            <v>84</v>
          </cell>
        </row>
        <row r="33">
          <cell r="G33">
            <v>46</v>
          </cell>
        </row>
        <row r="34">
          <cell r="G34">
            <v>101</v>
          </cell>
        </row>
        <row r="37">
          <cell r="G37">
            <v>183</v>
          </cell>
        </row>
        <row r="39">
          <cell r="G39">
            <v>72</v>
          </cell>
        </row>
        <row r="41">
          <cell r="G41">
            <v>202</v>
          </cell>
        </row>
        <row r="43">
          <cell r="G43">
            <v>14</v>
          </cell>
        </row>
        <row r="44">
          <cell r="G44">
            <v>302</v>
          </cell>
        </row>
      </sheetData>
      <sheetData sheetId="2">
        <row r="9">
          <cell r="O9">
            <v>34</v>
          </cell>
        </row>
        <row r="10">
          <cell r="O10">
            <v>24</v>
          </cell>
        </row>
        <row r="11">
          <cell r="O11">
            <v>24</v>
          </cell>
        </row>
        <row r="12">
          <cell r="O12">
            <v>29</v>
          </cell>
        </row>
        <row r="13">
          <cell r="O13">
            <v>27</v>
          </cell>
        </row>
        <row r="14">
          <cell r="O14">
            <v>24</v>
          </cell>
        </row>
        <row r="15">
          <cell r="O15">
            <v>19</v>
          </cell>
        </row>
        <row r="16">
          <cell r="O16">
            <v>19</v>
          </cell>
        </row>
        <row r="17">
          <cell r="O17">
            <v>28</v>
          </cell>
        </row>
        <row r="18">
          <cell r="O18">
            <v>31</v>
          </cell>
        </row>
        <row r="19">
          <cell r="O19">
            <v>16</v>
          </cell>
        </row>
        <row r="20">
          <cell r="O20">
            <v>15</v>
          </cell>
        </row>
        <row r="21">
          <cell r="O21">
            <v>20</v>
          </cell>
        </row>
        <row r="22">
          <cell r="O22">
            <v>21</v>
          </cell>
        </row>
        <row r="23">
          <cell r="O23">
            <v>32</v>
          </cell>
        </row>
        <row r="24">
          <cell r="O24">
            <v>24</v>
          </cell>
        </row>
        <row r="25">
          <cell r="O25">
            <v>18</v>
          </cell>
        </row>
        <row r="26">
          <cell r="O26">
            <v>13</v>
          </cell>
        </row>
        <row r="28">
          <cell r="O28">
            <v>44</v>
          </cell>
        </row>
        <row r="32">
          <cell r="O32">
            <v>20</v>
          </cell>
        </row>
        <row r="33">
          <cell r="O33">
            <v>84</v>
          </cell>
        </row>
        <row r="34">
          <cell r="O34">
            <v>46</v>
          </cell>
        </row>
        <row r="35">
          <cell r="O35">
            <v>101</v>
          </cell>
        </row>
        <row r="38">
          <cell r="O38">
            <v>183</v>
          </cell>
        </row>
        <row r="40">
          <cell r="O40">
            <v>72</v>
          </cell>
        </row>
        <row r="42">
          <cell r="O42">
            <v>202</v>
          </cell>
        </row>
        <row r="44">
          <cell r="O44">
            <v>14</v>
          </cell>
        </row>
        <row r="45">
          <cell r="O45">
            <v>302</v>
          </cell>
        </row>
      </sheetData>
      <sheetData sheetId="3">
        <row r="9">
          <cell r="P9">
            <v>34</v>
          </cell>
        </row>
        <row r="10">
          <cell r="P10">
            <v>24</v>
          </cell>
        </row>
        <row r="11">
          <cell r="P11">
            <v>24</v>
          </cell>
        </row>
        <row r="12">
          <cell r="P12">
            <v>29</v>
          </cell>
        </row>
        <row r="13">
          <cell r="P13">
            <v>28</v>
          </cell>
        </row>
        <row r="14">
          <cell r="P14">
            <v>24</v>
          </cell>
        </row>
        <row r="15">
          <cell r="P15">
            <v>19</v>
          </cell>
        </row>
        <row r="16">
          <cell r="P16">
            <v>19</v>
          </cell>
        </row>
        <row r="17">
          <cell r="P17">
            <v>28</v>
          </cell>
        </row>
        <row r="18">
          <cell r="P18">
            <v>31</v>
          </cell>
        </row>
        <row r="19">
          <cell r="P19">
            <v>16</v>
          </cell>
        </row>
        <row r="20">
          <cell r="P20">
            <v>15</v>
          </cell>
        </row>
        <row r="21">
          <cell r="P21">
            <v>20</v>
          </cell>
        </row>
        <row r="22">
          <cell r="P22">
            <v>21</v>
          </cell>
        </row>
        <row r="23">
          <cell r="P23">
            <v>32</v>
          </cell>
        </row>
        <row r="24">
          <cell r="P24">
            <v>24</v>
          </cell>
        </row>
        <row r="25">
          <cell r="P25">
            <v>18</v>
          </cell>
        </row>
        <row r="26">
          <cell r="P26">
            <v>13</v>
          </cell>
        </row>
        <row r="28">
          <cell r="P28">
            <v>44</v>
          </cell>
        </row>
        <row r="32">
          <cell r="P32">
            <v>20</v>
          </cell>
        </row>
        <row r="33">
          <cell r="P33">
            <v>84</v>
          </cell>
        </row>
        <row r="34">
          <cell r="P34">
            <v>46</v>
          </cell>
        </row>
        <row r="35">
          <cell r="P35">
            <v>101</v>
          </cell>
        </row>
        <row r="38">
          <cell r="P38">
            <v>183</v>
          </cell>
        </row>
        <row r="40">
          <cell r="P40">
            <v>72</v>
          </cell>
        </row>
        <row r="42">
          <cell r="P42">
            <v>202</v>
          </cell>
        </row>
        <row r="44">
          <cell r="P44">
            <v>14</v>
          </cell>
        </row>
        <row r="45">
          <cell r="P45">
            <v>302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zoomScale="118" zoomScaleNormal="118" workbookViewId="0">
      <selection activeCell="V6" sqref="V6"/>
    </sheetView>
  </sheetViews>
  <sheetFormatPr defaultRowHeight="15.75" x14ac:dyDescent="0.25"/>
  <cols>
    <col min="1" max="1" width="10.83203125" style="159" customWidth="1"/>
    <col min="2" max="2" width="102.83203125" style="159" customWidth="1"/>
    <col min="3" max="3" width="31.33203125" style="159" customWidth="1"/>
    <col min="4" max="6" width="27" style="159" customWidth="1"/>
    <col min="7" max="7" width="27.5" style="165" customWidth="1"/>
    <col min="8" max="8" width="14" style="165" customWidth="1"/>
    <col min="9" max="9" width="86.1640625" style="159" customWidth="1"/>
    <col min="10" max="13" width="27" style="159" customWidth="1"/>
    <col min="14" max="14" width="27" style="165" customWidth="1"/>
    <col min="15" max="16384" width="9.33203125" style="159"/>
  </cols>
  <sheetData>
    <row r="1" spans="1:14" s="656" customFormat="1" ht="29.25" customHeight="1" x14ac:dyDescent="0.35">
      <c r="B1" s="1016" t="s">
        <v>211</v>
      </c>
      <c r="C1" s="1016"/>
      <c r="D1" s="1016"/>
      <c r="E1" s="1016"/>
      <c r="F1" s="1016"/>
      <c r="G1" s="1016"/>
      <c r="H1" s="10"/>
      <c r="I1" s="1016" t="s">
        <v>211</v>
      </c>
      <c r="J1" s="1016"/>
      <c r="K1" s="1016"/>
      <c r="L1" s="1016"/>
      <c r="M1" s="1016"/>
      <c r="N1" s="1016"/>
    </row>
    <row r="2" spans="1:14" s="656" customFormat="1" ht="36" customHeight="1" x14ac:dyDescent="0.35">
      <c r="B2" s="1016" t="s">
        <v>708</v>
      </c>
      <c r="C2" s="1016"/>
      <c r="D2" s="1016"/>
      <c r="E2" s="1016"/>
      <c r="F2" s="1016"/>
      <c r="G2" s="1016"/>
      <c r="H2" s="10"/>
      <c r="I2" s="1016" t="s">
        <v>707</v>
      </c>
      <c r="J2" s="1016"/>
      <c r="K2" s="1016"/>
      <c r="L2" s="1016"/>
      <c r="M2" s="1016"/>
      <c r="N2" s="1016"/>
    </row>
    <row r="3" spans="1:14" s="656" customFormat="1" ht="21.75" thickBot="1" x14ac:dyDescent="0.4">
      <c r="A3" s="706"/>
      <c r="G3" s="657"/>
      <c r="H3" s="657"/>
      <c r="N3" s="707" t="s">
        <v>203</v>
      </c>
    </row>
    <row r="4" spans="1:14" ht="33.75" customHeight="1" x14ac:dyDescent="0.25">
      <c r="A4" s="169"/>
      <c r="B4" s="160" t="s">
        <v>202</v>
      </c>
      <c r="C4" s="169" t="s">
        <v>301</v>
      </c>
      <c r="D4" s="170" t="s">
        <v>302</v>
      </c>
      <c r="E4" s="169" t="s">
        <v>302</v>
      </c>
      <c r="F4" s="170" t="s">
        <v>302</v>
      </c>
      <c r="G4" s="170" t="s">
        <v>218</v>
      </c>
      <c r="H4" s="169"/>
      <c r="I4" s="160" t="s">
        <v>226</v>
      </c>
      <c r="J4" s="169" t="s">
        <v>301</v>
      </c>
      <c r="K4" s="170" t="s">
        <v>302</v>
      </c>
      <c r="L4" s="169" t="s">
        <v>302</v>
      </c>
      <c r="M4" s="170" t="s">
        <v>302</v>
      </c>
      <c r="N4" s="170" t="s">
        <v>218</v>
      </c>
    </row>
    <row r="5" spans="1:14" ht="20.100000000000001" customHeight="1" x14ac:dyDescent="0.25">
      <c r="A5" s="171"/>
      <c r="B5" s="162"/>
      <c r="C5" s="171" t="s">
        <v>303</v>
      </c>
      <c r="D5" s="172"/>
      <c r="E5" s="171"/>
      <c r="F5" s="172" t="s">
        <v>218</v>
      </c>
      <c r="G5" s="172" t="s">
        <v>219</v>
      </c>
      <c r="H5" s="171"/>
      <c r="I5" s="162"/>
      <c r="J5" s="171" t="s">
        <v>304</v>
      </c>
      <c r="K5" s="172"/>
      <c r="L5" s="171"/>
      <c r="M5" s="172" t="s">
        <v>218</v>
      </c>
      <c r="N5" s="172" t="s">
        <v>227</v>
      </c>
    </row>
    <row r="6" spans="1:14" ht="88.5" customHeight="1" thickBot="1" x14ac:dyDescent="0.3">
      <c r="A6" s="173"/>
      <c r="B6" s="163"/>
      <c r="C6" s="174"/>
      <c r="D6" s="175"/>
      <c r="E6" s="164" t="s">
        <v>305</v>
      </c>
      <c r="F6" s="175"/>
      <c r="G6" s="176"/>
      <c r="H6" s="173"/>
      <c r="I6" s="163"/>
      <c r="J6" s="174" t="s">
        <v>186</v>
      </c>
      <c r="K6" s="175" t="s">
        <v>306</v>
      </c>
      <c r="L6" s="164" t="s">
        <v>305</v>
      </c>
      <c r="M6" s="175"/>
      <c r="N6" s="176"/>
    </row>
    <row r="7" spans="1:14" ht="24" customHeight="1" x14ac:dyDescent="0.25">
      <c r="A7" s="171"/>
      <c r="B7" s="177" t="s">
        <v>307</v>
      </c>
      <c r="C7" s="161"/>
      <c r="D7" s="178"/>
      <c r="E7" s="178"/>
      <c r="F7" s="178"/>
      <c r="G7" s="170"/>
      <c r="H7" s="171"/>
      <c r="I7" s="160" t="s">
        <v>308</v>
      </c>
      <c r="J7" s="161"/>
      <c r="K7" s="178"/>
      <c r="L7" s="178"/>
      <c r="M7" s="178"/>
      <c r="N7" s="170"/>
    </row>
    <row r="8" spans="1:14" ht="24" customHeight="1" x14ac:dyDescent="0.3">
      <c r="A8" s="179" t="s">
        <v>309</v>
      </c>
      <c r="B8" s="180" t="s">
        <v>243</v>
      </c>
      <c r="C8" s="181">
        <v>807903</v>
      </c>
      <c r="D8" s="181">
        <v>9767606</v>
      </c>
      <c r="E8" s="181"/>
      <c r="F8" s="181">
        <f>SUM(D8:E8)</f>
        <v>9767606</v>
      </c>
      <c r="G8" s="182">
        <f>SUM(C8+F8)</f>
        <v>10575509</v>
      </c>
      <c r="H8" s="183" t="s">
        <v>310</v>
      </c>
      <c r="I8" s="180" t="s">
        <v>244</v>
      </c>
      <c r="J8" s="184">
        <v>11023870</v>
      </c>
      <c r="K8" s="184">
        <v>499299</v>
      </c>
      <c r="L8" s="181">
        <v>1600</v>
      </c>
      <c r="M8" s="181">
        <f>SUM(K8:L8)</f>
        <v>500899</v>
      </c>
      <c r="N8" s="182">
        <f>SUM(J8+M8)</f>
        <v>11524769</v>
      </c>
    </row>
    <row r="9" spans="1:14" ht="44.85" customHeight="1" x14ac:dyDescent="0.3">
      <c r="A9" s="185" t="s">
        <v>311</v>
      </c>
      <c r="B9" s="186" t="s">
        <v>181</v>
      </c>
      <c r="C9" s="181">
        <v>1850</v>
      </c>
      <c r="D9" s="181">
        <v>14312781</v>
      </c>
      <c r="E9" s="181"/>
      <c r="F9" s="181">
        <f>SUM(D9:E9)</f>
        <v>14312781</v>
      </c>
      <c r="G9" s="182">
        <f>SUM(C9+F9)</f>
        <v>14314631</v>
      </c>
      <c r="H9" s="185" t="s">
        <v>312</v>
      </c>
      <c r="I9" s="187" t="s">
        <v>245</v>
      </c>
      <c r="J9" s="188">
        <v>1582842</v>
      </c>
      <c r="K9" s="188">
        <v>67354</v>
      </c>
      <c r="L9" s="181">
        <v>400</v>
      </c>
      <c r="M9" s="181">
        <f>SUM(K9:L9)</f>
        <v>67754</v>
      </c>
      <c r="N9" s="182">
        <f>SUM(J9+M9)</f>
        <v>1650596</v>
      </c>
    </row>
    <row r="10" spans="1:14" ht="24" customHeight="1" x14ac:dyDescent="0.3">
      <c r="A10" s="179" t="s">
        <v>313</v>
      </c>
      <c r="B10" s="180" t="s">
        <v>314</v>
      </c>
      <c r="C10" s="181">
        <v>1601320</v>
      </c>
      <c r="D10" s="181">
        <v>3618497</v>
      </c>
      <c r="E10" s="181"/>
      <c r="F10" s="181">
        <f>SUM(D10:E10)</f>
        <v>3618497</v>
      </c>
      <c r="G10" s="182">
        <f>SUM(C10+F10)</f>
        <v>5219817</v>
      </c>
      <c r="H10" s="185" t="s">
        <v>315</v>
      </c>
      <c r="I10" s="186" t="s">
        <v>246</v>
      </c>
      <c r="J10" s="188">
        <v>5010814</v>
      </c>
      <c r="K10" s="188">
        <v>4931273</v>
      </c>
      <c r="L10" s="181">
        <v>75596</v>
      </c>
      <c r="M10" s="181">
        <f>SUM(K10:L10)</f>
        <v>5006869</v>
      </c>
      <c r="N10" s="182">
        <f>SUM(J10+M10)</f>
        <v>10017683</v>
      </c>
    </row>
    <row r="11" spans="1:14" ht="24" customHeight="1" x14ac:dyDescent="0.3">
      <c r="A11" s="185" t="s">
        <v>316</v>
      </c>
      <c r="B11" s="186" t="s">
        <v>108</v>
      </c>
      <c r="C11" s="181">
        <v>2105</v>
      </c>
      <c r="D11" s="181">
        <v>153032</v>
      </c>
      <c r="E11" s="181"/>
      <c r="F11" s="181">
        <f>SUM(D11:E11)</f>
        <v>153032</v>
      </c>
      <c r="G11" s="182">
        <f>SUM(C11+F11)</f>
        <v>155137</v>
      </c>
      <c r="H11" s="189" t="s">
        <v>317</v>
      </c>
      <c r="I11" s="190" t="s">
        <v>247</v>
      </c>
      <c r="J11" s="188">
        <v>0</v>
      </c>
      <c r="K11" s="188">
        <v>240700</v>
      </c>
      <c r="L11" s="181"/>
      <c r="M11" s="181">
        <f>SUM(K11:L11)</f>
        <v>240700</v>
      </c>
      <c r="N11" s="182">
        <f>SUM(J11+M11)</f>
        <v>240700</v>
      </c>
    </row>
    <row r="12" spans="1:14" ht="24" customHeight="1" thickBot="1" x14ac:dyDescent="0.35">
      <c r="A12" s="179"/>
      <c r="B12" s="180"/>
      <c r="C12" s="191">
        <v>0</v>
      </c>
      <c r="D12" s="181">
        <v>0</v>
      </c>
      <c r="E12" s="184"/>
      <c r="F12" s="181">
        <f>SUM(D12:E12)</f>
        <v>0</v>
      </c>
      <c r="G12" s="182">
        <f>SUM(C12+F12)</f>
        <v>0</v>
      </c>
      <c r="H12" s="185" t="s">
        <v>318</v>
      </c>
      <c r="I12" s="186" t="s">
        <v>319</v>
      </c>
      <c r="J12" s="181">
        <v>4057</v>
      </c>
      <c r="K12" s="181">
        <v>8882573</v>
      </c>
      <c r="L12" s="181"/>
      <c r="M12" s="181">
        <f>SUM(K12:L12)</f>
        <v>8882573</v>
      </c>
      <c r="N12" s="182">
        <f>SUM(J12+M12)</f>
        <v>8886630</v>
      </c>
    </row>
    <row r="13" spans="1:14" ht="24" customHeight="1" thickBot="1" x14ac:dyDescent="0.35">
      <c r="A13" s="192"/>
      <c r="B13" s="167" t="s">
        <v>221</v>
      </c>
      <c r="C13" s="193">
        <f t="shared" ref="C13:D13" si="0">SUM(C8:C12)</f>
        <v>2413178</v>
      </c>
      <c r="D13" s="193">
        <f t="shared" si="0"/>
        <v>27851916</v>
      </c>
      <c r="E13" s="193">
        <f>SUM(E8:E12)</f>
        <v>0</v>
      </c>
      <c r="F13" s="193">
        <f>SUM(F8:F12)</f>
        <v>27851916</v>
      </c>
      <c r="G13" s="193">
        <f>SUM(G8:G12)</f>
        <v>30265094</v>
      </c>
      <c r="H13" s="192"/>
      <c r="I13" s="167" t="s">
        <v>228</v>
      </c>
      <c r="J13" s="193">
        <f>SUM(J8:J12)</f>
        <v>17621583</v>
      </c>
      <c r="K13" s="193">
        <f>SUM(K8:K12)</f>
        <v>14621199</v>
      </c>
      <c r="L13" s="193">
        <f>SUM(L8:L12)</f>
        <v>77596</v>
      </c>
      <c r="M13" s="193">
        <f>SUM(M8:M12)</f>
        <v>14698795</v>
      </c>
      <c r="N13" s="193">
        <f>SUM(N8:N12)</f>
        <v>32320378</v>
      </c>
    </row>
    <row r="14" spans="1:14" s="165" customFormat="1" ht="24" customHeight="1" x14ac:dyDescent="0.3">
      <c r="A14" s="179" t="s">
        <v>320</v>
      </c>
      <c r="B14" s="186" t="s">
        <v>67</v>
      </c>
      <c r="C14" s="181">
        <v>7200</v>
      </c>
      <c r="D14" s="181">
        <v>6240807</v>
      </c>
      <c r="E14" s="181"/>
      <c r="F14" s="181">
        <f>SUM(D14:E14)</f>
        <v>6240807</v>
      </c>
      <c r="G14" s="182">
        <f>SUM(C14+F14)</f>
        <v>6248007</v>
      </c>
      <c r="H14" s="194" t="s">
        <v>321</v>
      </c>
      <c r="I14" s="195" t="s">
        <v>138</v>
      </c>
      <c r="J14" s="196">
        <v>299801</v>
      </c>
      <c r="K14" s="196">
        <v>1369140</v>
      </c>
      <c r="L14" s="196">
        <v>-29176</v>
      </c>
      <c r="M14" s="181">
        <f>SUM(K14:L14)</f>
        <v>1339964</v>
      </c>
      <c r="N14" s="182">
        <f>SUM(J14+M14)</f>
        <v>1639765</v>
      </c>
    </row>
    <row r="15" spans="1:14" ht="24" customHeight="1" x14ac:dyDescent="0.3">
      <c r="A15" s="179" t="s">
        <v>322</v>
      </c>
      <c r="B15" s="186" t="s">
        <v>66</v>
      </c>
      <c r="C15" s="181">
        <v>415</v>
      </c>
      <c r="D15" s="181">
        <v>1006830</v>
      </c>
      <c r="E15" s="181"/>
      <c r="F15" s="181">
        <f>SUM(D15:E15)</f>
        <v>1006830</v>
      </c>
      <c r="G15" s="182">
        <f>SUM(C15+F15)</f>
        <v>1007245</v>
      </c>
      <c r="H15" s="179" t="s">
        <v>323</v>
      </c>
      <c r="I15" s="186" t="s">
        <v>248</v>
      </c>
      <c r="J15" s="188">
        <v>74977</v>
      </c>
      <c r="K15" s="188">
        <v>6347803</v>
      </c>
      <c r="L15" s="188">
        <v>-47813</v>
      </c>
      <c r="M15" s="181">
        <f>SUM(K15:L15)</f>
        <v>6299990</v>
      </c>
      <c r="N15" s="182">
        <f>SUM(J15+M15)</f>
        <v>6374967</v>
      </c>
    </row>
    <row r="16" spans="1:14" ht="24" customHeight="1" thickBot="1" x14ac:dyDescent="0.35">
      <c r="A16" s="179" t="s">
        <v>324</v>
      </c>
      <c r="B16" s="186" t="s">
        <v>249</v>
      </c>
      <c r="C16" s="181">
        <v>0</v>
      </c>
      <c r="D16" s="181">
        <v>139488</v>
      </c>
      <c r="E16" s="184"/>
      <c r="F16" s="181">
        <f>SUM(D16:E16)</f>
        <v>139488</v>
      </c>
      <c r="G16" s="182">
        <f>SUM(C16+F16)</f>
        <v>139488</v>
      </c>
      <c r="H16" s="189" t="s">
        <v>325</v>
      </c>
      <c r="I16" s="197" t="s">
        <v>250</v>
      </c>
      <c r="J16" s="184">
        <v>0</v>
      </c>
      <c r="K16" s="184">
        <v>139955</v>
      </c>
      <c r="L16" s="181">
        <v>-607</v>
      </c>
      <c r="M16" s="181">
        <f>SUM(K16:L16)</f>
        <v>139348</v>
      </c>
      <c r="N16" s="182">
        <f>SUM(J16+M16)</f>
        <v>139348</v>
      </c>
    </row>
    <row r="17" spans="1:14" ht="24" customHeight="1" thickBot="1" x14ac:dyDescent="0.35">
      <c r="A17" s="192"/>
      <c r="B17" s="167" t="s">
        <v>222</v>
      </c>
      <c r="C17" s="193">
        <f>SUM(C14:C16)</f>
        <v>7615</v>
      </c>
      <c r="D17" s="193">
        <f>SUM(D14:D16)</f>
        <v>7387125</v>
      </c>
      <c r="E17" s="193">
        <f>SUM(E14:E16)</f>
        <v>0</v>
      </c>
      <c r="F17" s="193">
        <f>SUM(F14:F16)</f>
        <v>7387125</v>
      </c>
      <c r="G17" s="193">
        <f>SUM(G14:G16)</f>
        <v>7394740</v>
      </c>
      <c r="H17" s="192"/>
      <c r="I17" s="166" t="s">
        <v>229</v>
      </c>
      <c r="J17" s="193">
        <f>SUM(J14:J16)</f>
        <v>374778</v>
      </c>
      <c r="K17" s="193">
        <f>SUM(K14:K16)</f>
        <v>7856898</v>
      </c>
      <c r="L17" s="193">
        <f>SUM(L14:L16)</f>
        <v>-77596</v>
      </c>
      <c r="M17" s="193">
        <f>SUM(M14:M16)</f>
        <v>7779302</v>
      </c>
      <c r="N17" s="193">
        <f>SUM(N14:N16)</f>
        <v>8154080</v>
      </c>
    </row>
    <row r="18" spans="1:14" ht="24" customHeight="1" thickBot="1" x14ac:dyDescent="0.35">
      <c r="A18" s="192"/>
      <c r="B18" s="166" t="s">
        <v>223</v>
      </c>
      <c r="C18" s="193">
        <f>+C13+C17</f>
        <v>2420793</v>
      </c>
      <c r="D18" s="193">
        <f>D13+D17</f>
        <v>35239041</v>
      </c>
      <c r="E18" s="193">
        <f>+E13+E17</f>
        <v>0</v>
      </c>
      <c r="F18" s="193">
        <f>F13+F17</f>
        <v>35239041</v>
      </c>
      <c r="G18" s="193">
        <f>SUM(G13+G17)</f>
        <v>37659834</v>
      </c>
      <c r="H18" s="192"/>
      <c r="I18" s="167" t="s">
        <v>230</v>
      </c>
      <c r="J18" s="193">
        <f>SUM(J17,J13)</f>
        <v>17996361</v>
      </c>
      <c r="K18" s="193">
        <f>SUM(K17,K13)</f>
        <v>22478097</v>
      </c>
      <c r="L18" s="193">
        <f>+L13+L17</f>
        <v>0</v>
      </c>
      <c r="M18" s="193">
        <f>SUM(M13+M17)</f>
        <v>22478097</v>
      </c>
      <c r="N18" s="193">
        <f>SUM(N17,N13)</f>
        <v>40474458</v>
      </c>
    </row>
    <row r="19" spans="1:14" ht="24" customHeight="1" thickBot="1" x14ac:dyDescent="0.35">
      <c r="A19" s="183" t="s">
        <v>326</v>
      </c>
      <c r="B19" s="198" t="s">
        <v>224</v>
      </c>
      <c r="C19" s="199">
        <v>690176</v>
      </c>
      <c r="D19" s="200">
        <v>3265724</v>
      </c>
      <c r="E19" s="200"/>
      <c r="F19" s="181">
        <f>SUM(D19:E19)</f>
        <v>3265724</v>
      </c>
      <c r="G19" s="182">
        <f>SUM(C19+F19)</f>
        <v>3955900</v>
      </c>
      <c r="H19" s="201" t="s">
        <v>327</v>
      </c>
      <c r="I19" s="168" t="s">
        <v>231</v>
      </c>
      <c r="J19" s="188">
        <v>0</v>
      </c>
      <c r="K19" s="188">
        <v>1141276</v>
      </c>
      <c r="L19" s="202"/>
      <c r="M19" s="181">
        <f>SUM(K19:L19)</f>
        <v>1141276</v>
      </c>
      <c r="N19" s="182">
        <f>SUM(J19+M19)</f>
        <v>1141276</v>
      </c>
    </row>
    <row r="20" spans="1:14" ht="49.5" customHeight="1" thickBot="1" x14ac:dyDescent="0.35">
      <c r="A20" s="192"/>
      <c r="B20" s="167" t="s">
        <v>225</v>
      </c>
      <c r="C20" s="193">
        <f>SUM(C18:C19)</f>
        <v>3110969</v>
      </c>
      <c r="D20" s="193">
        <f>SUM(D18:D19)</f>
        <v>38504765</v>
      </c>
      <c r="E20" s="193">
        <f>+E18+E19</f>
        <v>0</v>
      </c>
      <c r="F20" s="193">
        <f>SUM(F18:F19)</f>
        <v>38504765</v>
      </c>
      <c r="G20" s="193">
        <f>SUM(G18:G19)</f>
        <v>41615734</v>
      </c>
      <c r="H20" s="192"/>
      <c r="I20" s="167" t="s">
        <v>232</v>
      </c>
      <c r="J20" s="193">
        <f>SUM(J18:J19)</f>
        <v>17996361</v>
      </c>
      <c r="K20" s="193">
        <f>SUM(K18:K19)</f>
        <v>23619373</v>
      </c>
      <c r="L20" s="193">
        <f>SUM(L18:L19)</f>
        <v>0</v>
      </c>
      <c r="M20" s="193">
        <f>SUM(M18:M19)</f>
        <v>23619373</v>
      </c>
      <c r="N20" s="193">
        <f>SUM(N18:N19)</f>
        <v>41615734</v>
      </c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8" orientation="landscape" r:id="rId1"/>
  <headerFooter alignWithMargins="0">
    <oddHeader xml:space="preserve">&amp;R&amp;"Times New Roman CE,Félkövér"&amp;16 &amp;12 1. melléklet a 20/2025. (IX.30.) önkormányzati &amp;"-,Félkövér"rendelethez
"1. melléklet a 4/2025. (II.28) önkormányzati rendelethez"&amp;16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/>
  <dimension ref="A1:J54"/>
  <sheetViews>
    <sheetView zoomScaleNormal="100" workbookViewId="0">
      <selection activeCell="A54" sqref="A54"/>
    </sheetView>
  </sheetViews>
  <sheetFormatPr defaultRowHeight="15.75" x14ac:dyDescent="0.25"/>
  <cols>
    <col min="1" max="1" width="90.1640625" style="96" customWidth="1"/>
    <col min="2" max="5" width="29.6640625" style="96" bestFit="1" customWidth="1"/>
    <col min="6" max="6" width="39.33203125" style="96" customWidth="1"/>
    <col min="7" max="7" width="38.33203125" style="96" bestFit="1" customWidth="1"/>
    <col min="8" max="8" width="9.33203125" style="96"/>
    <col min="9" max="9" width="24.33203125" style="96" customWidth="1"/>
    <col min="10" max="16384" width="9.33203125" style="96"/>
  </cols>
  <sheetData>
    <row r="1" spans="1:10" x14ac:dyDescent="0.25">
      <c r="A1" s="95"/>
      <c r="B1" s="95"/>
      <c r="C1" s="95"/>
      <c r="D1" s="95"/>
      <c r="E1" s="95"/>
      <c r="F1" s="95"/>
      <c r="G1" s="95"/>
    </row>
    <row r="2" spans="1:10" s="592" customFormat="1" ht="26.25" x14ac:dyDescent="0.4">
      <c r="A2" s="1068" t="s">
        <v>52</v>
      </c>
      <c r="B2" s="1068"/>
      <c r="C2" s="1068"/>
      <c r="D2" s="1068"/>
      <c r="E2" s="1068"/>
      <c r="F2" s="1068"/>
      <c r="G2" s="1068"/>
    </row>
    <row r="3" spans="1:10" x14ac:dyDescent="0.25">
      <c r="A3" s="95"/>
      <c r="B3" s="95"/>
      <c r="C3" s="95"/>
      <c r="D3" s="95"/>
      <c r="E3" s="95"/>
      <c r="F3" s="95"/>
      <c r="G3" s="95"/>
    </row>
    <row r="4" spans="1:10" ht="19.5" thickBot="1" x14ac:dyDescent="0.35">
      <c r="A4" s="40" t="s">
        <v>36</v>
      </c>
      <c r="B4" s="40"/>
      <c r="C4" s="40"/>
      <c r="D4" s="40"/>
      <c r="E4" s="40"/>
      <c r="F4" s="40"/>
      <c r="G4" s="97" t="s">
        <v>203</v>
      </c>
    </row>
    <row r="5" spans="1:10" x14ac:dyDescent="0.25">
      <c r="A5" s="98" t="s">
        <v>156</v>
      </c>
      <c r="B5" s="13" t="s">
        <v>577</v>
      </c>
      <c r="C5" s="13" t="s">
        <v>578</v>
      </c>
      <c r="D5" s="13" t="s">
        <v>554</v>
      </c>
      <c r="E5" s="13" t="s">
        <v>560</v>
      </c>
      <c r="F5" s="13" t="s">
        <v>553</v>
      </c>
      <c r="G5" s="13" t="s">
        <v>580</v>
      </c>
    </row>
    <row r="6" spans="1:10" ht="20.25" customHeight="1" thickBot="1" x14ac:dyDescent="0.3">
      <c r="A6" s="99"/>
      <c r="B6" s="35"/>
      <c r="C6" s="35" t="s">
        <v>335</v>
      </c>
      <c r="D6" s="35" t="s">
        <v>348</v>
      </c>
      <c r="E6" s="35" t="s">
        <v>348</v>
      </c>
      <c r="F6" s="35" t="s">
        <v>552</v>
      </c>
      <c r="G6" s="35" t="s">
        <v>348</v>
      </c>
    </row>
    <row r="7" spans="1:10" s="25" customFormat="1" ht="30" customHeight="1" thickBot="1" x14ac:dyDescent="0.45">
      <c r="A7" s="240" t="s">
        <v>465</v>
      </c>
      <c r="B7" s="558">
        <v>1807414</v>
      </c>
      <c r="C7" s="558">
        <v>1717664</v>
      </c>
      <c r="D7" s="558">
        <v>1717664</v>
      </c>
      <c r="E7" s="558">
        <v>1838987</v>
      </c>
      <c r="F7" s="558">
        <f>72629+482+20973+3763</f>
        <v>97847</v>
      </c>
      <c r="G7" s="558">
        <f>SUM(E7:F7)</f>
        <v>1936834</v>
      </c>
      <c r="I7" s="26"/>
      <c r="J7" s="26"/>
    </row>
    <row r="8" spans="1:10" ht="30" customHeight="1" x14ac:dyDescent="0.4">
      <c r="A8" s="101" t="s">
        <v>512</v>
      </c>
      <c r="B8" s="582"/>
      <c r="C8" s="582"/>
      <c r="D8" s="582"/>
      <c r="E8" s="582"/>
      <c r="F8" s="583"/>
      <c r="G8" s="582"/>
      <c r="I8" s="26"/>
      <c r="J8" s="26"/>
    </row>
    <row r="9" spans="1:10" ht="30" customHeight="1" x14ac:dyDescent="0.4">
      <c r="A9" s="219" t="s">
        <v>463</v>
      </c>
      <c r="B9" s="584">
        <v>427739</v>
      </c>
      <c r="C9" s="584">
        <v>204000</v>
      </c>
      <c r="D9" s="584">
        <v>204000</v>
      </c>
      <c r="E9" s="584">
        <v>231565</v>
      </c>
      <c r="F9" s="584">
        <f>1989+2496-800-400-450</f>
        <v>2835</v>
      </c>
      <c r="G9" s="584">
        <f>SUM(E9:F9)</f>
        <v>234400</v>
      </c>
      <c r="H9" s="25"/>
      <c r="I9" s="26"/>
      <c r="J9" s="26"/>
    </row>
    <row r="10" spans="1:10" ht="30" customHeight="1" x14ac:dyDescent="0.4">
      <c r="A10" s="100" t="s">
        <v>432</v>
      </c>
      <c r="B10" s="584">
        <v>181272</v>
      </c>
      <c r="C10" s="584">
        <v>167272</v>
      </c>
      <c r="D10" s="584">
        <v>167272</v>
      </c>
      <c r="E10" s="584">
        <v>167272</v>
      </c>
      <c r="F10" s="584"/>
      <c r="G10" s="584">
        <f>SUM(E10:F10)</f>
        <v>167272</v>
      </c>
      <c r="I10" s="26"/>
      <c r="J10" s="26"/>
    </row>
    <row r="11" spans="1:10" ht="39" customHeight="1" x14ac:dyDescent="0.4">
      <c r="A11" s="243" t="s">
        <v>424</v>
      </c>
      <c r="B11" s="585">
        <v>15000</v>
      </c>
      <c r="C11" s="585">
        <v>8000</v>
      </c>
      <c r="D11" s="585">
        <v>8000</v>
      </c>
      <c r="E11" s="585">
        <v>8000</v>
      </c>
      <c r="F11" s="585"/>
      <c r="G11" s="585">
        <f>SUM(E11:F11)</f>
        <v>8000</v>
      </c>
      <c r="I11" s="26"/>
      <c r="J11" s="26"/>
    </row>
    <row r="12" spans="1:10" ht="30" customHeight="1" x14ac:dyDescent="0.4">
      <c r="A12" s="102" t="s">
        <v>353</v>
      </c>
      <c r="B12" s="585">
        <v>475</v>
      </c>
      <c r="C12" s="585">
        <v>2000</v>
      </c>
      <c r="D12" s="585">
        <v>2000</v>
      </c>
      <c r="E12" s="585">
        <v>3525</v>
      </c>
      <c r="F12" s="585"/>
      <c r="G12" s="585">
        <f t="shared" ref="G12:G22" si="0">SUM(E12:F12)</f>
        <v>3525</v>
      </c>
      <c r="H12" s="25"/>
      <c r="I12" s="26"/>
      <c r="J12" s="26"/>
    </row>
    <row r="13" spans="1:10" ht="30" customHeight="1" x14ac:dyDescent="0.4">
      <c r="A13" s="72" t="s">
        <v>257</v>
      </c>
      <c r="B13" s="585">
        <v>1955</v>
      </c>
      <c r="C13" s="585">
        <v>2055</v>
      </c>
      <c r="D13" s="585">
        <v>2055</v>
      </c>
      <c r="E13" s="585">
        <v>2254</v>
      </c>
      <c r="F13" s="585"/>
      <c r="G13" s="585">
        <f t="shared" si="0"/>
        <v>2254</v>
      </c>
      <c r="H13" s="25"/>
      <c r="I13" s="26"/>
      <c r="J13" s="26"/>
    </row>
    <row r="14" spans="1:10" ht="30" customHeight="1" x14ac:dyDescent="0.4">
      <c r="A14" s="72" t="s">
        <v>20</v>
      </c>
      <c r="B14" s="585">
        <v>8</v>
      </c>
      <c r="C14" s="585">
        <v>2500</v>
      </c>
      <c r="D14" s="585">
        <v>2500</v>
      </c>
      <c r="E14" s="585">
        <v>2504</v>
      </c>
      <c r="F14" s="585"/>
      <c r="G14" s="585">
        <f t="shared" si="0"/>
        <v>2504</v>
      </c>
      <c r="H14" s="25"/>
      <c r="I14" s="26"/>
      <c r="J14" s="26"/>
    </row>
    <row r="15" spans="1:10" ht="30" customHeight="1" x14ac:dyDescent="0.4">
      <c r="A15" s="72" t="s">
        <v>18</v>
      </c>
      <c r="B15" s="585"/>
      <c r="C15" s="585">
        <v>1000</v>
      </c>
      <c r="D15" s="585">
        <v>1000</v>
      </c>
      <c r="E15" s="585">
        <v>1000</v>
      </c>
      <c r="F15" s="585"/>
      <c r="G15" s="585">
        <f t="shared" si="0"/>
        <v>1000</v>
      </c>
      <c r="I15" s="26"/>
      <c r="J15" s="26"/>
    </row>
    <row r="16" spans="1:10" ht="30" customHeight="1" x14ac:dyDescent="0.4">
      <c r="A16" s="72" t="s">
        <v>94</v>
      </c>
      <c r="B16" s="585">
        <v>11000</v>
      </c>
      <c r="C16" s="585">
        <v>11000</v>
      </c>
      <c r="D16" s="585">
        <v>11000</v>
      </c>
      <c r="E16" s="585">
        <v>11000</v>
      </c>
      <c r="F16" s="585"/>
      <c r="G16" s="585">
        <f t="shared" si="0"/>
        <v>11000</v>
      </c>
      <c r="I16" s="26"/>
      <c r="J16" s="26"/>
    </row>
    <row r="17" spans="1:10" ht="37.5" customHeight="1" x14ac:dyDescent="0.4">
      <c r="A17" s="72" t="s">
        <v>357</v>
      </c>
      <c r="B17" s="585">
        <v>10000</v>
      </c>
      <c r="C17" s="585">
        <v>8000</v>
      </c>
      <c r="D17" s="585">
        <v>8000</v>
      </c>
      <c r="E17" s="585">
        <v>8000</v>
      </c>
      <c r="F17" s="585"/>
      <c r="G17" s="585">
        <f t="shared" si="0"/>
        <v>8000</v>
      </c>
      <c r="I17" s="26"/>
      <c r="J17" s="26"/>
    </row>
    <row r="18" spans="1:10" ht="42.75" customHeight="1" x14ac:dyDescent="0.4">
      <c r="A18" s="103" t="s">
        <v>356</v>
      </c>
      <c r="B18" s="585">
        <v>2200</v>
      </c>
      <c r="C18" s="585">
        <v>3300</v>
      </c>
      <c r="D18" s="585">
        <v>3300</v>
      </c>
      <c r="E18" s="585">
        <v>3300</v>
      </c>
      <c r="F18" s="585"/>
      <c r="G18" s="585">
        <f t="shared" si="0"/>
        <v>3300</v>
      </c>
      <c r="I18" s="26"/>
      <c r="J18" s="26"/>
    </row>
    <row r="19" spans="1:10" ht="30" customHeight="1" x14ac:dyDescent="0.4">
      <c r="A19" s="104" t="s">
        <v>0</v>
      </c>
      <c r="B19" s="585">
        <v>50379</v>
      </c>
      <c r="C19" s="585">
        <v>50000</v>
      </c>
      <c r="D19" s="585">
        <v>50000</v>
      </c>
      <c r="E19" s="585">
        <v>79628</v>
      </c>
      <c r="F19" s="585">
        <v>-1000</v>
      </c>
      <c r="G19" s="585">
        <f t="shared" si="0"/>
        <v>78628</v>
      </c>
      <c r="H19" s="25"/>
      <c r="I19" s="26"/>
      <c r="J19" s="26"/>
    </row>
    <row r="20" spans="1:10" ht="30" customHeight="1" x14ac:dyDescent="0.4">
      <c r="A20" s="104" t="s">
        <v>355</v>
      </c>
      <c r="B20" s="585">
        <v>39020</v>
      </c>
      <c r="C20" s="585">
        <v>3000</v>
      </c>
      <c r="D20" s="585">
        <v>3000</v>
      </c>
      <c r="E20" s="585">
        <v>16837</v>
      </c>
      <c r="F20" s="585">
        <v>16686</v>
      </c>
      <c r="G20" s="585">
        <f t="shared" si="0"/>
        <v>33523</v>
      </c>
      <c r="H20" s="25"/>
      <c r="I20" s="26"/>
      <c r="J20" s="26"/>
    </row>
    <row r="21" spans="1:10" ht="30" customHeight="1" x14ac:dyDescent="0.4">
      <c r="A21" s="104" t="s">
        <v>689</v>
      </c>
      <c r="B21" s="585"/>
      <c r="C21" s="585"/>
      <c r="D21" s="585"/>
      <c r="E21" s="585"/>
      <c r="F21" s="585">
        <v>1000</v>
      </c>
      <c r="G21" s="585">
        <f t="shared" si="0"/>
        <v>1000</v>
      </c>
      <c r="H21" s="25"/>
      <c r="I21" s="26"/>
      <c r="J21" s="26"/>
    </row>
    <row r="22" spans="1:10" ht="30" customHeight="1" x14ac:dyDescent="0.4">
      <c r="A22" s="104" t="s">
        <v>412</v>
      </c>
      <c r="B22" s="585">
        <v>50</v>
      </c>
      <c r="C22" s="585"/>
      <c r="D22" s="585"/>
      <c r="E22" s="585">
        <v>200</v>
      </c>
      <c r="F22" s="585"/>
      <c r="G22" s="585">
        <f t="shared" si="0"/>
        <v>200</v>
      </c>
      <c r="I22" s="26"/>
      <c r="J22" s="26"/>
    </row>
    <row r="23" spans="1:10" ht="30" customHeight="1" x14ac:dyDescent="0.4">
      <c r="A23" s="100" t="s">
        <v>253</v>
      </c>
      <c r="B23" s="584"/>
      <c r="C23" s="584">
        <v>5000</v>
      </c>
      <c r="D23" s="584">
        <v>5000</v>
      </c>
      <c r="E23" s="584">
        <v>3925</v>
      </c>
      <c r="F23" s="584">
        <v>-3763</v>
      </c>
      <c r="G23" s="584">
        <f>SUM(E23:F23)</f>
        <v>162</v>
      </c>
      <c r="I23" s="26"/>
      <c r="J23" s="26"/>
    </row>
    <row r="24" spans="1:10" ht="30" customHeight="1" x14ac:dyDescent="0.4">
      <c r="A24" s="104" t="s">
        <v>259</v>
      </c>
      <c r="B24" s="585"/>
      <c r="C24" s="585">
        <v>0</v>
      </c>
      <c r="D24" s="585">
        <v>0</v>
      </c>
      <c r="E24" s="585">
        <v>660</v>
      </c>
      <c r="F24" s="585"/>
      <c r="G24" s="585">
        <f>SUM(E24:F24)</f>
        <v>660</v>
      </c>
      <c r="H24" s="25"/>
      <c r="I24" s="26"/>
      <c r="J24" s="26"/>
    </row>
    <row r="25" spans="1:10" ht="35.25" customHeight="1" x14ac:dyDescent="0.4">
      <c r="A25" s="104" t="s">
        <v>455</v>
      </c>
      <c r="B25" s="585">
        <v>10000</v>
      </c>
      <c r="C25" s="585">
        <v>7000</v>
      </c>
      <c r="D25" s="585">
        <v>7000</v>
      </c>
      <c r="E25" s="585">
        <v>7000</v>
      </c>
      <c r="F25" s="585"/>
      <c r="G25" s="585">
        <f t="shared" ref="G25:G35" si="1">SUM(E25:F25)</f>
        <v>7000</v>
      </c>
      <c r="I25" s="26"/>
      <c r="J25" s="26"/>
    </row>
    <row r="26" spans="1:10" ht="30" customHeight="1" x14ac:dyDescent="0.4">
      <c r="A26" s="104" t="s">
        <v>298</v>
      </c>
      <c r="B26" s="585">
        <v>9860</v>
      </c>
      <c r="C26" s="585">
        <v>8263</v>
      </c>
      <c r="D26" s="585">
        <v>8263</v>
      </c>
      <c r="E26" s="585">
        <v>9212</v>
      </c>
      <c r="F26" s="585"/>
      <c r="G26" s="585">
        <f t="shared" si="1"/>
        <v>9212</v>
      </c>
      <c r="H26" s="25"/>
      <c r="I26" s="26"/>
      <c r="J26" s="26"/>
    </row>
    <row r="27" spans="1:10" ht="30" customHeight="1" x14ac:dyDescent="0.4">
      <c r="A27" s="104" t="s">
        <v>447</v>
      </c>
      <c r="B27" s="585"/>
      <c r="C27" s="585">
        <v>0</v>
      </c>
      <c r="D27" s="585">
        <v>0</v>
      </c>
      <c r="E27" s="585">
        <v>10000</v>
      </c>
      <c r="F27" s="585"/>
      <c r="G27" s="585">
        <f t="shared" si="1"/>
        <v>10000</v>
      </c>
      <c r="H27" s="25"/>
      <c r="I27" s="26"/>
      <c r="J27" s="26"/>
    </row>
    <row r="28" spans="1:10" ht="30" customHeight="1" x14ac:dyDescent="0.4">
      <c r="A28" s="104" t="s">
        <v>347</v>
      </c>
      <c r="B28" s="585">
        <v>3000</v>
      </c>
      <c r="C28" s="585">
        <v>3000</v>
      </c>
      <c r="D28" s="585">
        <v>3000</v>
      </c>
      <c r="E28" s="585">
        <v>3000</v>
      </c>
      <c r="F28" s="585"/>
      <c r="G28" s="585">
        <f t="shared" si="1"/>
        <v>3000</v>
      </c>
      <c r="I28" s="26"/>
      <c r="J28" s="26"/>
    </row>
    <row r="29" spans="1:10" ht="30" customHeight="1" x14ac:dyDescent="0.4">
      <c r="A29" s="104" t="s">
        <v>610</v>
      </c>
      <c r="B29" s="585">
        <v>200</v>
      </c>
      <c r="C29" s="585"/>
      <c r="D29" s="585"/>
      <c r="E29" s="585"/>
      <c r="F29" s="585"/>
      <c r="G29" s="585">
        <f t="shared" si="1"/>
        <v>0</v>
      </c>
      <c r="I29" s="26"/>
      <c r="J29" s="26"/>
    </row>
    <row r="30" spans="1:10" ht="39" customHeight="1" x14ac:dyDescent="0.4">
      <c r="A30" s="104" t="s">
        <v>611</v>
      </c>
      <c r="B30" s="585">
        <v>548</v>
      </c>
      <c r="C30" s="585"/>
      <c r="D30" s="585"/>
      <c r="E30" s="585"/>
      <c r="F30" s="585">
        <v>450</v>
      </c>
      <c r="G30" s="585">
        <f>SUM(E30:F30)</f>
        <v>450</v>
      </c>
      <c r="H30" s="25"/>
      <c r="I30" s="26"/>
      <c r="J30" s="26"/>
    </row>
    <row r="31" spans="1:10" ht="48.75" customHeight="1" x14ac:dyDescent="0.4">
      <c r="A31" s="104" t="s">
        <v>407</v>
      </c>
      <c r="B31" s="585">
        <v>1100</v>
      </c>
      <c r="C31" s="585"/>
      <c r="D31" s="585"/>
      <c r="E31" s="585">
        <v>300</v>
      </c>
      <c r="F31" s="585"/>
      <c r="G31" s="585">
        <f t="shared" si="1"/>
        <v>300</v>
      </c>
      <c r="H31" s="25"/>
      <c r="I31" s="26"/>
      <c r="J31" s="26"/>
    </row>
    <row r="32" spans="1:10" ht="57.75" customHeight="1" x14ac:dyDescent="0.4">
      <c r="A32" s="104" t="s">
        <v>407</v>
      </c>
      <c r="B32" s="585">
        <v>2000</v>
      </c>
      <c r="C32" s="585"/>
      <c r="D32" s="585"/>
      <c r="E32" s="585"/>
      <c r="F32" s="585"/>
      <c r="G32" s="585">
        <f t="shared" si="1"/>
        <v>0</v>
      </c>
      <c r="H32" s="25"/>
      <c r="I32" s="26"/>
      <c r="J32" s="26"/>
    </row>
    <row r="33" spans="1:10" ht="30" customHeight="1" x14ac:dyDescent="0.4">
      <c r="A33" s="73" t="s">
        <v>688</v>
      </c>
      <c r="B33" s="585">
        <v>400</v>
      </c>
      <c r="C33" s="585"/>
      <c r="D33" s="585"/>
      <c r="E33" s="585"/>
      <c r="F33" s="585">
        <v>400</v>
      </c>
      <c r="G33" s="585">
        <f t="shared" si="1"/>
        <v>400</v>
      </c>
      <c r="H33" s="25"/>
      <c r="I33" s="26"/>
      <c r="J33" s="26"/>
    </row>
    <row r="34" spans="1:10" ht="30" customHeight="1" x14ac:dyDescent="0.4">
      <c r="A34" s="264" t="s">
        <v>612</v>
      </c>
      <c r="B34" s="585">
        <v>600</v>
      </c>
      <c r="C34" s="585"/>
      <c r="D34" s="585"/>
      <c r="E34" s="585"/>
      <c r="F34" s="585"/>
      <c r="G34" s="585">
        <f t="shared" si="1"/>
        <v>0</v>
      </c>
      <c r="H34" s="25"/>
      <c r="I34" s="26"/>
      <c r="J34" s="26"/>
    </row>
    <row r="35" spans="1:10" ht="36" customHeight="1" x14ac:dyDescent="0.4">
      <c r="A35" s="104" t="s">
        <v>425</v>
      </c>
      <c r="B35" s="586">
        <v>12790</v>
      </c>
      <c r="C35" s="586"/>
      <c r="D35" s="586"/>
      <c r="E35" s="586">
        <v>1942</v>
      </c>
      <c r="F35" s="586">
        <v>1958</v>
      </c>
      <c r="G35" s="585">
        <f t="shared" si="1"/>
        <v>3900</v>
      </c>
      <c r="I35" s="26"/>
      <c r="J35" s="26"/>
    </row>
    <row r="36" spans="1:10" ht="30" customHeight="1" thickBot="1" x14ac:dyDescent="0.45">
      <c r="A36" s="105" t="s">
        <v>511</v>
      </c>
      <c r="B36" s="587">
        <f t="shared" ref="B36:G36" si="2">SUM(B9:B35)</f>
        <v>779596</v>
      </c>
      <c r="C36" s="587">
        <f t="shared" si="2"/>
        <v>485390</v>
      </c>
      <c r="D36" s="587">
        <f t="shared" si="2"/>
        <v>485390</v>
      </c>
      <c r="E36" s="587">
        <f t="shared" si="2"/>
        <v>571124</v>
      </c>
      <c r="F36" s="587">
        <f t="shared" si="2"/>
        <v>18566</v>
      </c>
      <c r="G36" s="587">
        <f t="shared" si="2"/>
        <v>589690</v>
      </c>
      <c r="I36" s="26"/>
      <c r="J36" s="26"/>
    </row>
    <row r="37" spans="1:10" s="107" customFormat="1" ht="30" customHeight="1" thickBot="1" x14ac:dyDescent="0.45">
      <c r="A37" s="106" t="s">
        <v>277</v>
      </c>
      <c r="B37" s="588">
        <f t="shared" ref="B37:G37" si="3">B7+B36</f>
        <v>2587010</v>
      </c>
      <c r="C37" s="588">
        <f t="shared" si="3"/>
        <v>2203054</v>
      </c>
      <c r="D37" s="588">
        <f t="shared" si="3"/>
        <v>2203054</v>
      </c>
      <c r="E37" s="588">
        <f t="shared" si="3"/>
        <v>2410111</v>
      </c>
      <c r="F37" s="588">
        <f t="shared" si="3"/>
        <v>116413</v>
      </c>
      <c r="G37" s="588">
        <f t="shared" si="3"/>
        <v>2526524</v>
      </c>
      <c r="I37" s="26"/>
      <c r="J37" s="26"/>
    </row>
    <row r="38" spans="1:10" ht="30" customHeight="1" x14ac:dyDescent="0.25">
      <c r="I38" s="26"/>
      <c r="J38" s="26"/>
    </row>
    <row r="39" spans="1:10" ht="30" customHeight="1" thickBot="1" x14ac:dyDescent="0.35">
      <c r="A39" s="40" t="s">
        <v>80</v>
      </c>
      <c r="B39" s="40"/>
      <c r="C39" s="40"/>
      <c r="D39" s="40"/>
      <c r="E39" s="40"/>
      <c r="F39" s="40"/>
      <c r="G39" s="40"/>
      <c r="I39" s="26"/>
      <c r="J39" s="26"/>
    </row>
    <row r="40" spans="1:10" ht="30" customHeight="1" x14ac:dyDescent="0.25">
      <c r="A40" s="108" t="s">
        <v>156</v>
      </c>
      <c r="B40" s="13" t="s">
        <v>577</v>
      </c>
      <c r="C40" s="13" t="s">
        <v>578</v>
      </c>
      <c r="D40" s="13" t="s">
        <v>554</v>
      </c>
      <c r="E40" s="13" t="s">
        <v>560</v>
      </c>
      <c r="F40" s="13" t="s">
        <v>553</v>
      </c>
      <c r="G40" s="13" t="s">
        <v>580</v>
      </c>
      <c r="I40" s="26"/>
      <c r="J40" s="26"/>
    </row>
    <row r="41" spans="1:10" ht="30" customHeight="1" thickBot="1" x14ac:dyDescent="0.3">
      <c r="A41" s="109"/>
      <c r="B41" s="35"/>
      <c r="C41" s="35" t="s">
        <v>335</v>
      </c>
      <c r="D41" s="35" t="s">
        <v>348</v>
      </c>
      <c r="E41" s="35" t="s">
        <v>348</v>
      </c>
      <c r="F41" s="35" t="s">
        <v>552</v>
      </c>
      <c r="G41" s="35" t="s">
        <v>348</v>
      </c>
      <c r="I41" s="26"/>
      <c r="J41" s="26"/>
    </row>
    <row r="42" spans="1:10" ht="30" customHeight="1" thickBot="1" x14ac:dyDescent="0.45">
      <c r="A42" s="252" t="s">
        <v>465</v>
      </c>
      <c r="B42" s="589">
        <v>83366</v>
      </c>
      <c r="C42" s="589"/>
      <c r="D42" s="589">
        <v>0</v>
      </c>
      <c r="E42" s="589">
        <v>27817</v>
      </c>
      <c r="F42" s="589">
        <v>32788</v>
      </c>
      <c r="G42" s="589">
        <f>SUM(E42:F42)</f>
        <v>60605</v>
      </c>
      <c r="H42" s="25"/>
      <c r="I42" s="26"/>
      <c r="J42" s="26"/>
    </row>
    <row r="43" spans="1:10" s="25" customFormat="1" ht="30" customHeight="1" thickBot="1" x14ac:dyDescent="0.45">
      <c r="A43" s="92" t="s">
        <v>564</v>
      </c>
      <c r="B43" s="394">
        <f t="shared" ref="B43:D43" si="4">SUM(B42)</f>
        <v>83366</v>
      </c>
      <c r="C43" s="394">
        <f t="shared" si="4"/>
        <v>0</v>
      </c>
      <c r="D43" s="394">
        <f t="shared" si="4"/>
        <v>0</v>
      </c>
      <c r="E43" s="394">
        <f>SUM(E42)</f>
        <v>27817</v>
      </c>
      <c r="F43" s="394">
        <f t="shared" ref="F43:G43" si="5">SUM(F42)</f>
        <v>32788</v>
      </c>
      <c r="G43" s="394">
        <f t="shared" si="5"/>
        <v>60605</v>
      </c>
      <c r="I43" s="75"/>
      <c r="J43" s="26"/>
    </row>
    <row r="44" spans="1:10" ht="30" customHeight="1" thickBot="1" x14ac:dyDescent="0.45">
      <c r="A44" s="110"/>
      <c r="B44" s="590"/>
      <c r="C44" s="590"/>
      <c r="D44" s="590"/>
      <c r="E44" s="590"/>
      <c r="F44" s="590"/>
      <c r="G44" s="590"/>
      <c r="I44" s="26"/>
      <c r="J44" s="26"/>
    </row>
    <row r="45" spans="1:10" ht="30" customHeight="1" thickBot="1" x14ac:dyDescent="0.45">
      <c r="A45" s="111" t="s">
        <v>278</v>
      </c>
      <c r="B45" s="588">
        <f t="shared" ref="B45:D45" si="6">B37+B43</f>
        <v>2670376</v>
      </c>
      <c r="C45" s="588">
        <f t="shared" si="6"/>
        <v>2203054</v>
      </c>
      <c r="D45" s="588">
        <f t="shared" si="6"/>
        <v>2203054</v>
      </c>
      <c r="E45" s="588">
        <f>E37+E43</f>
        <v>2437928</v>
      </c>
      <c r="F45" s="591">
        <f t="shared" ref="F45:G45" si="7">F37+F43</f>
        <v>149201</v>
      </c>
      <c r="G45" s="591">
        <f t="shared" si="7"/>
        <v>2587129</v>
      </c>
      <c r="I45" s="26"/>
      <c r="J45" s="26"/>
    </row>
    <row r="46" spans="1:10" ht="26.25" x14ac:dyDescent="0.4">
      <c r="B46" s="592"/>
      <c r="C46" s="592"/>
      <c r="D46" s="592"/>
      <c r="E46" s="592"/>
      <c r="F46" s="592"/>
      <c r="G46" s="592"/>
      <c r="J46" s="26"/>
    </row>
    <row r="47" spans="1:10" ht="26.25" x14ac:dyDescent="0.4">
      <c r="A47" s="107" t="s">
        <v>72</v>
      </c>
      <c r="B47" s="593"/>
      <c r="C47" s="593"/>
      <c r="D47" s="593"/>
      <c r="E47" s="593"/>
      <c r="F47" s="593"/>
      <c r="G47" s="594"/>
      <c r="J47" s="26"/>
    </row>
    <row r="48" spans="1:10" ht="26.25" x14ac:dyDescent="0.4">
      <c r="A48" s="107" t="s">
        <v>73</v>
      </c>
      <c r="B48" s="593"/>
      <c r="C48" s="593"/>
      <c r="D48" s="593"/>
      <c r="E48" s="593"/>
      <c r="F48" s="593"/>
      <c r="G48" s="593"/>
      <c r="J48" s="26"/>
    </row>
    <row r="49" spans="2:10" ht="26.25" x14ac:dyDescent="0.4">
      <c r="B49" s="592"/>
      <c r="C49" s="592"/>
      <c r="D49" s="592"/>
      <c r="E49" s="592"/>
      <c r="F49" s="592"/>
      <c r="G49" s="592"/>
      <c r="J49" s="26"/>
    </row>
    <row r="50" spans="2:10" ht="26.25" x14ac:dyDescent="0.4">
      <c r="B50" s="592"/>
      <c r="C50" s="592"/>
      <c r="D50" s="592"/>
      <c r="E50" s="592"/>
      <c r="F50" s="592"/>
      <c r="G50" s="592"/>
      <c r="J50" s="26"/>
    </row>
    <row r="51" spans="2:10" ht="26.25" x14ac:dyDescent="0.4">
      <c r="B51" s="592"/>
      <c r="C51" s="592"/>
      <c r="D51" s="592"/>
      <c r="E51" s="592"/>
      <c r="F51" s="592"/>
      <c r="G51" s="592"/>
    </row>
    <row r="52" spans="2:10" ht="26.25" x14ac:dyDescent="0.4">
      <c r="B52" s="592"/>
      <c r="C52" s="592"/>
      <c r="D52" s="592"/>
      <c r="E52" s="592"/>
      <c r="F52" s="592"/>
      <c r="G52" s="592"/>
    </row>
    <row r="53" spans="2:10" ht="26.25" x14ac:dyDescent="0.4">
      <c r="B53" s="592"/>
      <c r="C53" s="592"/>
      <c r="D53" s="592"/>
      <c r="E53" s="592"/>
      <c r="F53" s="592"/>
      <c r="G53" s="592"/>
    </row>
    <row r="54" spans="2:10" ht="26.25" x14ac:dyDescent="0.4">
      <c r="B54" s="592"/>
      <c r="C54" s="592"/>
      <c r="D54" s="592"/>
      <c r="E54" s="592"/>
      <c r="F54" s="592"/>
      <c r="G54" s="592"/>
    </row>
  </sheetData>
  <customSheetViews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3" orientation="portrait" r:id="rId3"/>
  <headerFooter alignWithMargins="0">
    <oddHeader xml:space="preserve">&amp;R&amp;"-,Félkövér"&amp;12 
10. melléklet a 20/2025. (IX.30.) önkormányzati rendelethe&amp;"Times New Roman CE,Félkövér"z
"10. melléklet a 4/2025. (II.28) önkormányzati rendelethez"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2"/>
  <dimension ref="A1:J39"/>
  <sheetViews>
    <sheetView zoomScale="118" zoomScaleNormal="118" workbookViewId="0">
      <selection activeCell="D49" sqref="D49"/>
    </sheetView>
  </sheetViews>
  <sheetFormatPr defaultRowHeight="15.75" x14ac:dyDescent="0.25"/>
  <cols>
    <col min="1" max="1" width="97.83203125" style="25" customWidth="1"/>
    <col min="2" max="2" width="21.6640625" style="25" customWidth="1"/>
    <col min="3" max="5" width="29.5" style="25" bestFit="1" customWidth="1"/>
    <col min="6" max="6" width="25.5" style="25" customWidth="1"/>
    <col min="7" max="7" width="32.6640625" style="25" customWidth="1"/>
    <col min="8" max="8" width="9.33203125" style="25"/>
    <col min="9" max="9" width="22.5" style="25" customWidth="1"/>
    <col min="10" max="16384" width="9.33203125" style="25"/>
  </cols>
  <sheetData>
    <row r="1" spans="1:10" x14ac:dyDescent="0.25">
      <c r="A1" s="23"/>
      <c r="B1" s="23"/>
      <c r="C1" s="23"/>
      <c r="D1" s="23"/>
      <c r="E1" s="23"/>
      <c r="F1" s="23"/>
      <c r="G1" s="23"/>
    </row>
    <row r="2" spans="1:10" s="568" customFormat="1" ht="26.25" x14ac:dyDescent="0.4">
      <c r="A2" s="1021" t="s">
        <v>53</v>
      </c>
      <c r="B2" s="1021"/>
      <c r="C2" s="1021"/>
      <c r="D2" s="1021"/>
      <c r="E2" s="1021"/>
      <c r="F2" s="1021"/>
      <c r="G2" s="1021"/>
    </row>
    <row r="3" spans="1:10" x14ac:dyDescent="0.25">
      <c r="A3" s="23"/>
      <c r="B3" s="23"/>
      <c r="C3" s="23"/>
      <c r="D3" s="23"/>
      <c r="E3" s="23"/>
      <c r="F3" s="23"/>
      <c r="G3" s="23"/>
    </row>
    <row r="4" spans="1:10" ht="19.5" thickBot="1" x14ac:dyDescent="0.35">
      <c r="A4" s="5" t="s">
        <v>36</v>
      </c>
      <c r="B4" s="5"/>
      <c r="C4" s="5"/>
      <c r="D4" s="5"/>
      <c r="E4" s="5"/>
      <c r="F4" s="5"/>
      <c r="G4" s="69" t="s">
        <v>203</v>
      </c>
    </row>
    <row r="5" spans="1:10" ht="36.75" customHeight="1" x14ac:dyDescent="0.25">
      <c r="A5" s="70" t="s">
        <v>156</v>
      </c>
      <c r="B5" s="13" t="s">
        <v>695</v>
      </c>
      <c r="C5" s="13" t="s">
        <v>578</v>
      </c>
      <c r="D5" s="13" t="s">
        <v>554</v>
      </c>
      <c r="E5" s="13" t="s">
        <v>560</v>
      </c>
      <c r="F5" s="13" t="s">
        <v>553</v>
      </c>
      <c r="G5" s="13" t="s">
        <v>580</v>
      </c>
    </row>
    <row r="6" spans="1:10" ht="30" customHeight="1" thickBot="1" x14ac:dyDescent="0.3">
      <c r="A6" s="71"/>
      <c r="B6" s="35" t="s">
        <v>701</v>
      </c>
      <c r="C6" s="35" t="s">
        <v>335</v>
      </c>
      <c r="D6" s="35" t="s">
        <v>348</v>
      </c>
      <c r="E6" s="35" t="s">
        <v>348</v>
      </c>
      <c r="F6" s="35" t="s">
        <v>552</v>
      </c>
      <c r="G6" s="35" t="s">
        <v>348</v>
      </c>
    </row>
    <row r="7" spans="1:10" s="78" customFormat="1" ht="51.75" customHeight="1" thickBot="1" x14ac:dyDescent="0.45">
      <c r="A7" s="427" t="s">
        <v>702</v>
      </c>
      <c r="B7" s="558">
        <v>883259</v>
      </c>
      <c r="C7" s="558">
        <v>844822</v>
      </c>
      <c r="D7" s="558">
        <v>844822</v>
      </c>
      <c r="E7" s="558">
        <v>1037203</v>
      </c>
      <c r="F7" s="558">
        <v>1700</v>
      </c>
      <c r="G7" s="558">
        <f>SUM(E7:F7)</f>
        <v>1038903</v>
      </c>
      <c r="H7" s="10"/>
      <c r="I7" s="22"/>
      <c r="J7" s="22"/>
    </row>
    <row r="8" spans="1:10" s="10" customFormat="1" ht="27.95" customHeight="1" x14ac:dyDescent="0.4">
      <c r="A8" s="428" t="s">
        <v>513</v>
      </c>
      <c r="B8" s="537"/>
      <c r="C8" s="537"/>
      <c r="D8" s="537"/>
      <c r="E8" s="537"/>
      <c r="F8" s="537"/>
      <c r="G8" s="537"/>
      <c r="I8" s="22"/>
      <c r="J8" s="22"/>
    </row>
    <row r="9" spans="1:10" s="10" customFormat="1" ht="27.95" customHeight="1" x14ac:dyDescent="0.4">
      <c r="A9" s="419" t="s">
        <v>182</v>
      </c>
      <c r="B9" s="556"/>
      <c r="C9" s="556">
        <v>12000</v>
      </c>
      <c r="D9" s="556">
        <v>12000</v>
      </c>
      <c r="E9" s="556">
        <v>0</v>
      </c>
      <c r="F9" s="556"/>
      <c r="G9" s="556">
        <f>SUM(E9:F9)</f>
        <v>0</v>
      </c>
      <c r="I9" s="22"/>
      <c r="J9" s="22"/>
    </row>
    <row r="10" spans="1:10" s="10" customFormat="1" ht="27.95" customHeight="1" x14ac:dyDescent="0.4">
      <c r="A10" s="112" t="s">
        <v>136</v>
      </c>
      <c r="B10" s="382"/>
      <c r="C10" s="382">
        <v>500</v>
      </c>
      <c r="D10" s="382">
        <v>500</v>
      </c>
      <c r="E10" s="382">
        <v>0</v>
      </c>
      <c r="F10" s="383"/>
      <c r="G10" s="382">
        <f>SUM(E10:F10)</f>
        <v>0</v>
      </c>
      <c r="I10" s="22"/>
      <c r="J10" s="22"/>
    </row>
    <row r="11" spans="1:10" s="10" customFormat="1" ht="27.95" customHeight="1" x14ac:dyDescent="0.4">
      <c r="A11" s="421" t="s">
        <v>448</v>
      </c>
      <c r="B11" s="382"/>
      <c r="C11" s="382">
        <v>0</v>
      </c>
      <c r="D11" s="382">
        <v>0</v>
      </c>
      <c r="E11" s="382">
        <v>589</v>
      </c>
      <c r="F11" s="383"/>
      <c r="G11" s="382">
        <f t="shared" ref="G11:G19" si="0">SUM(E11:F11)</f>
        <v>589</v>
      </c>
      <c r="I11" s="22"/>
      <c r="J11" s="22"/>
    </row>
    <row r="12" spans="1:10" s="10" customFormat="1" ht="27.95" customHeight="1" x14ac:dyDescent="0.4">
      <c r="A12" s="112" t="s">
        <v>254</v>
      </c>
      <c r="B12" s="382">
        <v>3512</v>
      </c>
      <c r="C12" s="382">
        <v>2485</v>
      </c>
      <c r="D12" s="382">
        <v>2485</v>
      </c>
      <c r="E12" s="382">
        <v>2485</v>
      </c>
      <c r="F12" s="383"/>
      <c r="G12" s="382">
        <f t="shared" si="0"/>
        <v>2485</v>
      </c>
      <c r="I12" s="22"/>
      <c r="J12" s="22"/>
    </row>
    <row r="13" spans="1:10" s="10" customFormat="1" ht="27.95" customHeight="1" x14ac:dyDescent="0.4">
      <c r="A13" s="112" t="s">
        <v>139</v>
      </c>
      <c r="B13" s="382">
        <v>2500</v>
      </c>
      <c r="C13" s="382">
        <v>2500</v>
      </c>
      <c r="D13" s="382">
        <v>2500</v>
      </c>
      <c r="E13" s="382">
        <v>2500</v>
      </c>
      <c r="F13" s="383"/>
      <c r="G13" s="382">
        <f t="shared" si="0"/>
        <v>2500</v>
      </c>
      <c r="I13" s="22"/>
      <c r="J13" s="22"/>
    </row>
    <row r="14" spans="1:10" s="10" customFormat="1" ht="52.5" customHeight="1" x14ac:dyDescent="0.4">
      <c r="A14" s="429" t="s">
        <v>418</v>
      </c>
      <c r="B14" s="382">
        <v>2500</v>
      </c>
      <c r="C14" s="382">
        <v>2500</v>
      </c>
      <c r="D14" s="382">
        <v>2500</v>
      </c>
      <c r="E14" s="382">
        <v>2500</v>
      </c>
      <c r="F14" s="383"/>
      <c r="G14" s="382">
        <f t="shared" si="0"/>
        <v>2500</v>
      </c>
      <c r="I14" s="22"/>
      <c r="J14" s="22"/>
    </row>
    <row r="15" spans="1:10" s="10" customFormat="1" ht="27.95" customHeight="1" x14ac:dyDescent="0.4">
      <c r="A15" s="112" t="s">
        <v>76</v>
      </c>
      <c r="B15" s="382">
        <v>1914</v>
      </c>
      <c r="C15" s="382">
        <v>1500</v>
      </c>
      <c r="D15" s="382">
        <v>1500</v>
      </c>
      <c r="E15" s="382">
        <v>1586</v>
      </c>
      <c r="F15" s="383"/>
      <c r="G15" s="382">
        <f t="shared" si="0"/>
        <v>1586</v>
      </c>
      <c r="I15" s="22"/>
      <c r="J15" s="22"/>
    </row>
    <row r="16" spans="1:10" s="10" customFormat="1" ht="27.95" customHeight="1" x14ac:dyDescent="0.4">
      <c r="A16" s="112" t="s">
        <v>613</v>
      </c>
      <c r="B16" s="382">
        <v>6000</v>
      </c>
      <c r="C16" s="382"/>
      <c r="D16" s="382"/>
      <c r="E16" s="382"/>
      <c r="F16" s="383"/>
      <c r="G16" s="382">
        <f t="shared" si="0"/>
        <v>0</v>
      </c>
      <c r="I16" s="22"/>
      <c r="J16" s="22"/>
    </row>
    <row r="17" spans="1:10" s="10" customFormat="1" ht="27.95" customHeight="1" x14ac:dyDescent="0.4">
      <c r="A17" s="429" t="s">
        <v>362</v>
      </c>
      <c r="B17" s="382">
        <v>36103</v>
      </c>
      <c r="C17" s="382">
        <v>44070</v>
      </c>
      <c r="D17" s="382">
        <v>44070</v>
      </c>
      <c r="E17" s="382">
        <v>44070</v>
      </c>
      <c r="F17" s="383"/>
      <c r="G17" s="382">
        <f t="shared" si="0"/>
        <v>44070</v>
      </c>
      <c r="I17" s="22"/>
      <c r="J17" s="22"/>
    </row>
    <row r="18" spans="1:10" s="10" customFormat="1" ht="27.95" customHeight="1" x14ac:dyDescent="0.4">
      <c r="A18" s="429" t="s">
        <v>614</v>
      </c>
      <c r="B18" s="382">
        <v>2000</v>
      </c>
      <c r="C18" s="382"/>
      <c r="D18" s="382"/>
      <c r="E18" s="382"/>
      <c r="F18" s="383"/>
      <c r="G18" s="382">
        <f t="shared" si="0"/>
        <v>0</v>
      </c>
      <c r="I18" s="22"/>
      <c r="J18" s="22"/>
    </row>
    <row r="19" spans="1:10" s="10" customFormat="1" ht="27.95" customHeight="1" x14ac:dyDescent="0.4">
      <c r="A19" s="430" t="s">
        <v>366</v>
      </c>
      <c r="B19" s="382">
        <v>3215</v>
      </c>
      <c r="C19" s="382">
        <v>1500</v>
      </c>
      <c r="D19" s="382">
        <v>1500</v>
      </c>
      <c r="E19" s="382">
        <v>2104</v>
      </c>
      <c r="F19" s="383"/>
      <c r="G19" s="382">
        <f t="shared" si="0"/>
        <v>2104</v>
      </c>
      <c r="I19" s="22"/>
      <c r="J19" s="22"/>
    </row>
    <row r="20" spans="1:10" s="10" customFormat="1" ht="27.95" customHeight="1" thickBot="1" x14ac:dyDescent="0.45">
      <c r="A20" s="431" t="s">
        <v>514</v>
      </c>
      <c r="B20" s="410">
        <f t="shared" ref="B20:D20" si="1">SUM(B9:B19)</f>
        <v>57744</v>
      </c>
      <c r="C20" s="410">
        <f t="shared" si="1"/>
        <v>67055</v>
      </c>
      <c r="D20" s="410">
        <f t="shared" si="1"/>
        <v>67055</v>
      </c>
      <c r="E20" s="410">
        <f>SUM(E9:E19)</f>
        <v>55834</v>
      </c>
      <c r="F20" s="410">
        <f>SUM(F9:F19)</f>
        <v>0</v>
      </c>
      <c r="G20" s="410">
        <f>SUM(G9:G19)</f>
        <v>55834</v>
      </c>
      <c r="I20" s="22"/>
      <c r="J20" s="22"/>
    </row>
    <row r="21" spans="1:10" s="78" customFormat="1" ht="27.95" customHeight="1" thickBot="1" x14ac:dyDescent="0.45">
      <c r="A21" s="432" t="s">
        <v>280</v>
      </c>
      <c r="B21" s="549">
        <f t="shared" ref="B21:D21" si="2">B7+B20</f>
        <v>941003</v>
      </c>
      <c r="C21" s="549">
        <f t="shared" si="2"/>
        <v>911877</v>
      </c>
      <c r="D21" s="549">
        <f t="shared" si="2"/>
        <v>911877</v>
      </c>
      <c r="E21" s="549">
        <f>E7+E20</f>
        <v>1093037</v>
      </c>
      <c r="F21" s="549">
        <f>F7+F20</f>
        <v>1700</v>
      </c>
      <c r="G21" s="549">
        <f>G7+G20</f>
        <v>1094737</v>
      </c>
      <c r="I21" s="22"/>
      <c r="J21" s="22"/>
    </row>
    <row r="22" spans="1:10" s="10" customFormat="1" ht="27.95" customHeight="1" x14ac:dyDescent="0.35">
      <c r="I22" s="22"/>
      <c r="J22" s="22"/>
    </row>
    <row r="23" spans="1:10" s="10" customFormat="1" ht="27.95" customHeight="1" x14ac:dyDescent="0.35">
      <c r="I23" s="22"/>
      <c r="J23" s="22"/>
    </row>
    <row r="24" spans="1:10" s="10" customFormat="1" ht="27.95" customHeight="1" thickBot="1" x14ac:dyDescent="0.4">
      <c r="A24" s="415" t="s">
        <v>80</v>
      </c>
      <c r="B24" s="415"/>
      <c r="C24" s="415"/>
      <c r="D24" s="415"/>
      <c r="E24" s="415"/>
      <c r="F24" s="415"/>
      <c r="G24" s="415"/>
      <c r="I24" s="22"/>
      <c r="J24" s="22"/>
    </row>
    <row r="25" spans="1:10" s="10" customFormat="1" ht="27.95" customHeight="1" x14ac:dyDescent="0.35">
      <c r="A25" s="433" t="s">
        <v>156</v>
      </c>
      <c r="B25" s="13" t="s">
        <v>695</v>
      </c>
      <c r="C25" s="13" t="s">
        <v>578</v>
      </c>
      <c r="D25" s="13" t="s">
        <v>554</v>
      </c>
      <c r="E25" s="13" t="s">
        <v>560</v>
      </c>
      <c r="F25" s="13" t="s">
        <v>553</v>
      </c>
      <c r="G25" s="13" t="s">
        <v>580</v>
      </c>
      <c r="I25" s="22"/>
      <c r="J25" s="22"/>
    </row>
    <row r="26" spans="1:10" s="10" customFormat="1" ht="27.95" customHeight="1" thickBot="1" x14ac:dyDescent="0.4">
      <c r="A26" s="434"/>
      <c r="B26" s="35" t="s">
        <v>701</v>
      </c>
      <c r="C26" s="35" t="s">
        <v>335</v>
      </c>
      <c r="D26" s="35" t="s">
        <v>348</v>
      </c>
      <c r="E26" s="35" t="s">
        <v>348</v>
      </c>
      <c r="F26" s="35" t="s">
        <v>552</v>
      </c>
      <c r="G26" s="35" t="s">
        <v>348</v>
      </c>
      <c r="I26" s="22"/>
      <c r="J26" s="22"/>
    </row>
    <row r="27" spans="1:10" s="10" customFormat="1" ht="40.5" customHeight="1" thickBot="1" x14ac:dyDescent="0.45">
      <c r="A27" s="435" t="s">
        <v>703</v>
      </c>
      <c r="B27" s="595">
        <v>3487</v>
      </c>
      <c r="C27" s="595"/>
      <c r="D27" s="595"/>
      <c r="E27" s="595">
        <v>6532</v>
      </c>
      <c r="F27" s="595">
        <v>12865</v>
      </c>
      <c r="G27" s="596">
        <f>SUM(E27:F27)</f>
        <v>19397</v>
      </c>
      <c r="I27" s="22"/>
      <c r="J27" s="22"/>
    </row>
    <row r="28" spans="1:10" s="10" customFormat="1" ht="27.95" customHeight="1" thickBot="1" x14ac:dyDescent="0.45">
      <c r="A28" s="436" t="s">
        <v>281</v>
      </c>
      <c r="B28" s="394">
        <f t="shared" ref="B28:D28" si="3">SUM(B27)</f>
        <v>3487</v>
      </c>
      <c r="C28" s="394">
        <f t="shared" si="3"/>
        <v>0</v>
      </c>
      <c r="D28" s="394">
        <f t="shared" si="3"/>
        <v>0</v>
      </c>
      <c r="E28" s="394">
        <f>SUM(E27)</f>
        <v>6532</v>
      </c>
      <c r="F28" s="394">
        <f t="shared" ref="F28:G28" si="4">SUM(F27)</f>
        <v>12865</v>
      </c>
      <c r="G28" s="394">
        <f t="shared" si="4"/>
        <v>19397</v>
      </c>
      <c r="I28" s="22"/>
      <c r="J28" s="22"/>
    </row>
    <row r="29" spans="1:10" s="10" customFormat="1" ht="27.95" customHeight="1" thickBot="1" x14ac:dyDescent="0.45">
      <c r="A29" s="437"/>
      <c r="B29" s="565"/>
      <c r="C29" s="565"/>
      <c r="D29" s="565"/>
      <c r="E29" s="565"/>
      <c r="F29" s="565"/>
      <c r="G29" s="565"/>
      <c r="I29" s="22"/>
      <c r="J29" s="22"/>
    </row>
    <row r="30" spans="1:10" s="10" customFormat="1" ht="27.95" customHeight="1" thickBot="1" x14ac:dyDescent="0.45">
      <c r="A30" s="436" t="s">
        <v>282</v>
      </c>
      <c r="B30" s="394">
        <f t="shared" ref="B30:D30" si="5">B21+B28</f>
        <v>944490</v>
      </c>
      <c r="C30" s="394">
        <f t="shared" si="5"/>
        <v>911877</v>
      </c>
      <c r="D30" s="394">
        <f t="shared" si="5"/>
        <v>911877</v>
      </c>
      <c r="E30" s="394">
        <f>E21+E28</f>
        <v>1099569</v>
      </c>
      <c r="F30" s="394">
        <f t="shared" ref="F30:G30" si="6">F21+F28</f>
        <v>14565</v>
      </c>
      <c r="G30" s="394">
        <f t="shared" si="6"/>
        <v>1114134</v>
      </c>
      <c r="I30" s="22"/>
      <c r="J30" s="22"/>
    </row>
    <row r="31" spans="1:10" ht="26.25" x14ac:dyDescent="0.4">
      <c r="B31" s="568"/>
      <c r="C31" s="568"/>
      <c r="D31" s="568"/>
      <c r="E31" s="568"/>
      <c r="F31" s="568"/>
      <c r="G31" s="568"/>
      <c r="J31" s="75"/>
    </row>
    <row r="32" spans="1:10" ht="26.25" x14ac:dyDescent="0.4">
      <c r="A32" s="29" t="s">
        <v>72</v>
      </c>
      <c r="B32" s="565"/>
      <c r="C32" s="565"/>
      <c r="D32" s="565"/>
      <c r="E32" s="565"/>
      <c r="F32" s="565"/>
      <c r="G32" s="567"/>
      <c r="J32" s="75"/>
    </row>
    <row r="33" spans="1:10" ht="26.25" x14ac:dyDescent="0.4">
      <c r="A33" s="29" t="s">
        <v>73</v>
      </c>
      <c r="B33" s="565"/>
      <c r="C33" s="565"/>
      <c r="D33" s="565"/>
      <c r="E33" s="565"/>
      <c r="F33" s="565"/>
      <c r="G33" s="565"/>
      <c r="J33" s="75"/>
    </row>
    <row r="34" spans="1:10" ht="26.25" x14ac:dyDescent="0.4">
      <c r="B34" s="568"/>
      <c r="C34" s="568"/>
      <c r="D34" s="568"/>
      <c r="E34" s="568"/>
      <c r="F34" s="568"/>
      <c r="G34" s="568"/>
      <c r="J34" s="75"/>
    </row>
    <row r="35" spans="1:10" ht="26.25" x14ac:dyDescent="0.4">
      <c r="B35" s="568"/>
      <c r="C35" s="568"/>
      <c r="D35" s="568"/>
      <c r="E35" s="568"/>
      <c r="F35" s="568"/>
      <c r="G35" s="568"/>
      <c r="J35" s="75"/>
    </row>
    <row r="36" spans="1:10" ht="26.25" x14ac:dyDescent="0.4">
      <c r="B36" s="568"/>
      <c r="C36" s="568"/>
      <c r="D36" s="568"/>
      <c r="E36" s="568"/>
      <c r="F36" s="568"/>
      <c r="G36" s="568"/>
      <c r="J36" s="75"/>
    </row>
    <row r="37" spans="1:10" ht="26.25" x14ac:dyDescent="0.4">
      <c r="B37" s="568"/>
      <c r="C37" s="568"/>
      <c r="D37" s="568"/>
      <c r="E37" s="568"/>
      <c r="F37" s="568"/>
      <c r="G37" s="568"/>
    </row>
    <row r="38" spans="1:10" ht="26.25" x14ac:dyDescent="0.4">
      <c r="B38" s="568"/>
      <c r="C38" s="568"/>
      <c r="D38" s="568"/>
      <c r="E38" s="568"/>
      <c r="F38" s="568"/>
      <c r="G38" s="531"/>
    </row>
    <row r="39" spans="1:10" ht="26.25" x14ac:dyDescent="0.4">
      <c r="B39" s="568"/>
      <c r="C39" s="568"/>
      <c r="D39" s="568"/>
      <c r="E39" s="568"/>
      <c r="F39" s="568"/>
      <c r="G39" s="568"/>
    </row>
  </sheetData>
  <customSheetViews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6" orientation="portrait" r:id="rId3"/>
  <headerFooter alignWithMargins="0">
    <oddHeader xml:space="preserve">&amp;R&amp;"Times New Roman CE,Félkövér"&amp;12 
&amp;"-,Félkövér"11. melléklet a 20/2025. (IX.30.) önkormányzati rendelethez
"11. melléklet a 4/2025. (II.28) önkormányzati rendelethez"&amp;"Times New Roman CE,Félkövér"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3"/>
  <dimension ref="A1:K43"/>
  <sheetViews>
    <sheetView zoomScale="95" zoomScaleNormal="95" workbookViewId="0">
      <selection activeCell="E28" sqref="E28"/>
    </sheetView>
  </sheetViews>
  <sheetFormatPr defaultRowHeight="15.75" x14ac:dyDescent="0.25"/>
  <cols>
    <col min="1" max="1" width="110" style="25" customWidth="1"/>
    <col min="2" max="2" width="24.1640625" style="25" customWidth="1"/>
    <col min="3" max="3" width="31.6640625" style="25" customWidth="1"/>
    <col min="4" max="4" width="38.83203125" style="25" customWidth="1"/>
    <col min="5" max="5" width="37.5" style="25" customWidth="1"/>
    <col min="6" max="6" width="23.5" style="25" customWidth="1"/>
    <col min="7" max="7" width="39" style="25" customWidth="1"/>
    <col min="8" max="8" width="9.33203125" style="25"/>
    <col min="9" max="9" width="16.33203125" style="25" customWidth="1"/>
    <col min="10" max="16384" width="9.33203125" style="25"/>
  </cols>
  <sheetData>
    <row r="1" spans="1:11" x14ac:dyDescent="0.25">
      <c r="A1" s="23"/>
      <c r="B1" s="23"/>
      <c r="C1" s="23"/>
      <c r="D1" s="23"/>
      <c r="E1" s="23"/>
      <c r="F1" s="23"/>
      <c r="G1" s="23"/>
    </row>
    <row r="2" spans="1:11" s="568" customFormat="1" ht="26.25" x14ac:dyDescent="0.4">
      <c r="A2" s="1021" t="s">
        <v>285</v>
      </c>
      <c r="B2" s="1021"/>
      <c r="C2" s="1021"/>
      <c r="D2" s="1021"/>
      <c r="E2" s="1021"/>
      <c r="F2" s="1021"/>
      <c r="G2" s="1021"/>
    </row>
    <row r="4" spans="1:11" ht="24" thickBot="1" x14ac:dyDescent="0.4">
      <c r="A4" s="416" t="s">
        <v>36</v>
      </c>
      <c r="B4" s="5"/>
      <c r="C4" s="5"/>
      <c r="D4" s="5"/>
      <c r="E4" s="5"/>
      <c r="F4" s="5"/>
      <c r="G4" s="12" t="s">
        <v>203</v>
      </c>
    </row>
    <row r="5" spans="1:11" ht="33.75" customHeight="1" x14ac:dyDescent="0.35">
      <c r="A5" s="433" t="s">
        <v>156</v>
      </c>
      <c r="B5" s="302" t="s">
        <v>695</v>
      </c>
      <c r="C5" s="302" t="s">
        <v>578</v>
      </c>
      <c r="D5" s="302" t="s">
        <v>554</v>
      </c>
      <c r="E5" s="302" t="s">
        <v>560</v>
      </c>
      <c r="F5" s="302" t="s">
        <v>553</v>
      </c>
      <c r="G5" s="302" t="s">
        <v>580</v>
      </c>
    </row>
    <row r="6" spans="1:11" ht="40.5" customHeight="1" thickBot="1" x14ac:dyDescent="0.4">
      <c r="A6" s="80"/>
      <c r="B6" s="398" t="s">
        <v>701</v>
      </c>
      <c r="C6" s="398" t="s">
        <v>335</v>
      </c>
      <c r="D6" s="398" t="s">
        <v>348</v>
      </c>
      <c r="E6" s="398" t="s">
        <v>348</v>
      </c>
      <c r="F6" s="398" t="s">
        <v>552</v>
      </c>
      <c r="G6" s="398" t="s">
        <v>348</v>
      </c>
    </row>
    <row r="7" spans="1:11" ht="30" customHeight="1" thickBot="1" x14ac:dyDescent="0.45">
      <c r="A7" s="443" t="s">
        <v>510</v>
      </c>
      <c r="B7" s="558">
        <v>1759011</v>
      </c>
      <c r="C7" s="558">
        <v>1979865</v>
      </c>
      <c r="D7" s="558">
        <v>1979865</v>
      </c>
      <c r="E7" s="558">
        <v>2007554</v>
      </c>
      <c r="F7" s="558">
        <f>11719+7121</f>
        <v>18840</v>
      </c>
      <c r="G7" s="558">
        <f>SUM(E7:F7)</f>
        <v>2026394</v>
      </c>
      <c r="I7" s="26"/>
      <c r="K7" s="26"/>
    </row>
    <row r="8" spans="1:11" ht="30" customHeight="1" x14ac:dyDescent="0.4">
      <c r="A8" s="444" t="s">
        <v>515</v>
      </c>
      <c r="B8" s="553"/>
      <c r="C8" s="553"/>
      <c r="D8" s="553"/>
      <c r="E8" s="553"/>
      <c r="F8" s="581"/>
      <c r="G8" s="553"/>
      <c r="I8" s="26"/>
      <c r="K8" s="26"/>
    </row>
    <row r="9" spans="1:11" ht="30" customHeight="1" x14ac:dyDescent="0.4">
      <c r="A9" s="318" t="s">
        <v>256</v>
      </c>
      <c r="B9" s="382">
        <v>226</v>
      </c>
      <c r="C9" s="382">
        <v>241</v>
      </c>
      <c r="D9" s="382">
        <v>241</v>
      </c>
      <c r="E9" s="382">
        <v>241</v>
      </c>
      <c r="F9" s="597"/>
      <c r="G9" s="382">
        <f>SUM(E9:F9)</f>
        <v>241</v>
      </c>
      <c r="I9" s="26"/>
      <c r="K9" s="26"/>
    </row>
    <row r="10" spans="1:11" ht="56.25" customHeight="1" thickBot="1" x14ac:dyDescent="0.45">
      <c r="A10" s="438" t="s">
        <v>550</v>
      </c>
      <c r="B10" s="383"/>
      <c r="C10" s="383">
        <v>10000</v>
      </c>
      <c r="D10" s="383">
        <v>10000</v>
      </c>
      <c r="E10" s="383">
        <v>0</v>
      </c>
      <c r="F10" s="598"/>
      <c r="G10" s="382">
        <f t="shared" ref="G10" si="0">SUM(E10:F10)</f>
        <v>0</v>
      </c>
      <c r="I10" s="26"/>
      <c r="K10" s="26"/>
    </row>
    <row r="11" spans="1:11" ht="30" customHeight="1" thickBot="1" x14ac:dyDescent="0.45">
      <c r="A11" s="439" t="s">
        <v>516</v>
      </c>
      <c r="B11" s="394">
        <f t="shared" ref="B11:D11" si="1">SUM(B9:B10)</f>
        <v>226</v>
      </c>
      <c r="C11" s="394">
        <f t="shared" si="1"/>
        <v>10241</v>
      </c>
      <c r="D11" s="394">
        <f t="shared" si="1"/>
        <v>10241</v>
      </c>
      <c r="E11" s="394">
        <f>SUM(E9:E10)</f>
        <v>241</v>
      </c>
      <c r="F11" s="394">
        <f>SUM(F9:F10)</f>
        <v>0</v>
      </c>
      <c r="G11" s="394">
        <f>SUM(G9:G10)</f>
        <v>241</v>
      </c>
      <c r="I11" s="26"/>
      <c r="K11" s="26"/>
    </row>
    <row r="12" spans="1:11" ht="30" customHeight="1" thickBot="1" x14ac:dyDescent="0.45">
      <c r="A12" s="440" t="s">
        <v>283</v>
      </c>
      <c r="B12" s="549">
        <f t="shared" ref="B12:D12" si="2">B7+B11</f>
        <v>1759237</v>
      </c>
      <c r="C12" s="549">
        <f t="shared" si="2"/>
        <v>1990106</v>
      </c>
      <c r="D12" s="549">
        <f t="shared" si="2"/>
        <v>1990106</v>
      </c>
      <c r="E12" s="549">
        <f>E7+E11</f>
        <v>2007795</v>
      </c>
      <c r="F12" s="549">
        <f>F7+F11</f>
        <v>18840</v>
      </c>
      <c r="G12" s="549">
        <f>G7+G11</f>
        <v>2026635</v>
      </c>
      <c r="I12" s="26"/>
      <c r="K12" s="26"/>
    </row>
    <row r="13" spans="1:11" ht="30" customHeight="1" x14ac:dyDescent="0.35">
      <c r="A13" s="214"/>
      <c r="B13" s="32"/>
      <c r="C13" s="32"/>
      <c r="D13" s="32"/>
      <c r="E13" s="32"/>
      <c r="F13" s="32"/>
      <c r="G13" s="32"/>
      <c r="I13" s="26"/>
      <c r="K13" s="26"/>
    </row>
    <row r="14" spans="1:11" ht="30" customHeight="1" thickBot="1" x14ac:dyDescent="0.4">
      <c r="A14" s="416" t="s">
        <v>80</v>
      </c>
      <c r="B14" s="5"/>
      <c r="C14" s="5"/>
      <c r="D14" s="5"/>
      <c r="E14" s="5"/>
      <c r="F14" s="5"/>
      <c r="G14" s="5"/>
      <c r="I14" s="26"/>
      <c r="K14" s="26"/>
    </row>
    <row r="15" spans="1:11" ht="30" customHeight="1" x14ac:dyDescent="0.35">
      <c r="A15" s="441" t="s">
        <v>156</v>
      </c>
      <c r="B15" s="302" t="s">
        <v>695</v>
      </c>
      <c r="C15" s="302" t="s">
        <v>578</v>
      </c>
      <c r="D15" s="302" t="s">
        <v>554</v>
      </c>
      <c r="E15" s="302" t="s">
        <v>560</v>
      </c>
      <c r="F15" s="302" t="s">
        <v>553</v>
      </c>
      <c r="G15" s="302" t="s">
        <v>580</v>
      </c>
      <c r="I15" s="26"/>
      <c r="K15" s="26"/>
    </row>
    <row r="16" spans="1:11" ht="30" customHeight="1" thickBot="1" x14ac:dyDescent="0.4">
      <c r="A16" s="442"/>
      <c r="B16" s="398" t="s">
        <v>701</v>
      </c>
      <c r="C16" s="398" t="s">
        <v>335</v>
      </c>
      <c r="D16" s="398" t="s">
        <v>348</v>
      </c>
      <c r="E16" s="398" t="s">
        <v>348</v>
      </c>
      <c r="F16" s="398" t="s">
        <v>552</v>
      </c>
      <c r="G16" s="398" t="s">
        <v>348</v>
      </c>
      <c r="I16" s="26"/>
      <c r="K16" s="26"/>
    </row>
    <row r="17" spans="1:11" ht="30" customHeight="1" thickBot="1" x14ac:dyDescent="0.45">
      <c r="A17" s="445" t="s">
        <v>466</v>
      </c>
      <c r="B17" s="570">
        <v>70069</v>
      </c>
      <c r="C17" s="570">
        <v>700</v>
      </c>
      <c r="D17" s="570">
        <v>700</v>
      </c>
      <c r="E17" s="570">
        <v>23254</v>
      </c>
      <c r="F17" s="570">
        <f>512+3163</f>
        <v>3675</v>
      </c>
      <c r="G17" s="570">
        <f>SUM(E17:F17)</f>
        <v>26929</v>
      </c>
      <c r="H17" s="568"/>
      <c r="I17" s="26"/>
      <c r="K17" s="26"/>
    </row>
    <row r="18" spans="1:11" ht="30" customHeight="1" thickBot="1" x14ac:dyDescent="0.45">
      <c r="A18" s="436" t="s">
        <v>565</v>
      </c>
      <c r="B18" s="394">
        <f t="shared" ref="B18:D18" si="3">SUM(B17)</f>
        <v>70069</v>
      </c>
      <c r="C18" s="394">
        <f t="shared" si="3"/>
        <v>700</v>
      </c>
      <c r="D18" s="394">
        <f t="shared" si="3"/>
        <v>700</v>
      </c>
      <c r="E18" s="394">
        <f>SUM(E17)</f>
        <v>23254</v>
      </c>
      <c r="F18" s="394">
        <f t="shared" ref="F18:G18" si="4">SUM(F17)</f>
        <v>3675</v>
      </c>
      <c r="G18" s="394">
        <f t="shared" si="4"/>
        <v>26929</v>
      </c>
      <c r="H18" s="568"/>
      <c r="I18" s="75"/>
      <c r="K18" s="26"/>
    </row>
    <row r="19" spans="1:11" ht="30" customHeight="1" thickBot="1" x14ac:dyDescent="0.45">
      <c r="A19" s="437"/>
      <c r="B19" s="565"/>
      <c r="C19" s="565"/>
      <c r="D19" s="565"/>
      <c r="E19" s="565"/>
      <c r="F19" s="566"/>
      <c r="G19" s="566"/>
      <c r="H19" s="568"/>
      <c r="I19" s="26"/>
      <c r="K19" s="26"/>
    </row>
    <row r="20" spans="1:11" ht="30" customHeight="1" thickBot="1" x14ac:dyDescent="0.45">
      <c r="A20" s="436" t="s">
        <v>284</v>
      </c>
      <c r="B20" s="599">
        <f t="shared" ref="B20:D20" si="5">B12+B18</f>
        <v>1829306</v>
      </c>
      <c r="C20" s="599">
        <f t="shared" si="5"/>
        <v>1990806</v>
      </c>
      <c r="D20" s="599">
        <f t="shared" si="5"/>
        <v>1990806</v>
      </c>
      <c r="E20" s="599">
        <f>E12+E18</f>
        <v>2031049</v>
      </c>
      <c r="F20" s="599">
        <f t="shared" ref="F20:G20" si="6">F12+F18</f>
        <v>22515</v>
      </c>
      <c r="G20" s="599">
        <f t="shared" si="6"/>
        <v>2053564</v>
      </c>
      <c r="H20" s="568"/>
      <c r="I20" s="26"/>
      <c r="K20" s="26"/>
    </row>
    <row r="21" spans="1:11" ht="26.25" x14ac:dyDescent="0.4">
      <c r="B21" s="568"/>
      <c r="C21" s="568"/>
      <c r="D21" s="568"/>
      <c r="E21" s="568"/>
      <c r="F21" s="568"/>
      <c r="G21" s="568"/>
      <c r="H21" s="568"/>
      <c r="K21" s="26"/>
    </row>
    <row r="22" spans="1:11" ht="26.25" x14ac:dyDescent="0.4">
      <c r="A22" s="29" t="s">
        <v>72</v>
      </c>
      <c r="B22" s="565"/>
      <c r="C22" s="565"/>
      <c r="D22" s="565"/>
      <c r="E22" s="565"/>
      <c r="F22" s="565"/>
      <c r="G22" s="600"/>
      <c r="H22" s="568"/>
      <c r="K22" s="26"/>
    </row>
    <row r="23" spans="1:11" ht="26.25" x14ac:dyDescent="0.4">
      <c r="A23" s="29" t="s">
        <v>73</v>
      </c>
      <c r="B23" s="565"/>
      <c r="C23" s="565"/>
      <c r="D23" s="565"/>
      <c r="E23" s="565"/>
      <c r="F23" s="565"/>
      <c r="G23" s="565"/>
      <c r="H23" s="568"/>
      <c r="K23" s="26"/>
    </row>
    <row r="24" spans="1:11" ht="26.25" x14ac:dyDescent="0.4">
      <c r="B24" s="568"/>
      <c r="C24" s="568"/>
      <c r="D24" s="568"/>
      <c r="E24" s="568"/>
      <c r="F24" s="568"/>
      <c r="G24" s="568"/>
      <c r="H24" s="568"/>
      <c r="K24" s="26"/>
    </row>
    <row r="25" spans="1:11" ht="26.25" x14ac:dyDescent="0.4">
      <c r="B25" s="568"/>
      <c r="C25" s="568"/>
      <c r="D25" s="568"/>
      <c r="E25" s="568"/>
      <c r="F25" s="568"/>
      <c r="G25" s="568"/>
      <c r="H25" s="568"/>
    </row>
    <row r="26" spans="1:11" ht="26.25" x14ac:dyDescent="0.4">
      <c r="B26" s="568"/>
      <c r="C26" s="568"/>
      <c r="D26" s="568"/>
      <c r="E26" s="568"/>
      <c r="F26" s="568"/>
      <c r="G26" s="568"/>
      <c r="H26" s="568"/>
    </row>
    <row r="27" spans="1:11" ht="26.25" x14ac:dyDescent="0.4">
      <c r="B27" s="568"/>
      <c r="C27" s="568"/>
      <c r="D27" s="568"/>
      <c r="E27" s="568"/>
      <c r="F27" s="568"/>
      <c r="G27" s="568"/>
      <c r="H27" s="568"/>
    </row>
    <row r="28" spans="1:11" ht="26.25" x14ac:dyDescent="0.4">
      <c r="B28" s="568"/>
      <c r="C28" s="568"/>
      <c r="D28" s="568"/>
      <c r="E28" s="568"/>
      <c r="F28" s="568"/>
      <c r="G28" s="568"/>
      <c r="H28" s="568"/>
    </row>
    <row r="29" spans="1:11" ht="26.25" x14ac:dyDescent="0.4">
      <c r="B29" s="568"/>
      <c r="C29" s="568"/>
      <c r="D29" s="568"/>
      <c r="E29" s="568"/>
      <c r="F29" s="568"/>
      <c r="G29" s="568"/>
      <c r="H29" s="568"/>
    </row>
    <row r="30" spans="1:11" ht="26.25" x14ac:dyDescent="0.4">
      <c r="B30" s="568"/>
      <c r="C30" s="568"/>
      <c r="D30" s="568"/>
      <c r="E30" s="568"/>
      <c r="F30" s="568"/>
      <c r="G30" s="568"/>
      <c r="H30" s="568"/>
    </row>
    <row r="31" spans="1:11" ht="26.25" x14ac:dyDescent="0.4">
      <c r="B31" s="568"/>
      <c r="C31" s="568"/>
      <c r="D31" s="568"/>
      <c r="E31" s="568"/>
      <c r="F31" s="568"/>
      <c r="G31" s="568"/>
      <c r="H31" s="568"/>
    </row>
    <row r="32" spans="1:11" ht="26.25" x14ac:dyDescent="0.4">
      <c r="B32" s="568"/>
      <c r="C32" s="568"/>
      <c r="D32" s="568"/>
      <c r="E32" s="568"/>
      <c r="F32" s="568"/>
      <c r="G32" s="568"/>
      <c r="H32" s="568"/>
    </row>
    <row r="33" spans="2:8" ht="26.25" x14ac:dyDescent="0.4">
      <c r="B33" s="568"/>
      <c r="C33" s="568"/>
      <c r="D33" s="568"/>
      <c r="E33" s="568"/>
      <c r="F33" s="568"/>
      <c r="G33" s="568"/>
      <c r="H33" s="568"/>
    </row>
    <row r="34" spans="2:8" ht="26.25" x14ac:dyDescent="0.4">
      <c r="B34" s="568"/>
      <c r="C34" s="568"/>
      <c r="D34" s="568"/>
      <c r="E34" s="568"/>
      <c r="F34" s="568"/>
      <c r="G34" s="568"/>
      <c r="H34" s="568"/>
    </row>
    <row r="35" spans="2:8" ht="26.25" x14ac:dyDescent="0.4">
      <c r="B35" s="568"/>
      <c r="C35" s="568"/>
      <c r="D35" s="568"/>
      <c r="E35" s="568"/>
      <c r="F35" s="568"/>
      <c r="G35" s="568"/>
      <c r="H35" s="568"/>
    </row>
    <row r="36" spans="2:8" ht="26.25" x14ac:dyDescent="0.4">
      <c r="B36" s="568"/>
      <c r="C36" s="568"/>
      <c r="D36" s="568"/>
      <c r="E36" s="568"/>
      <c r="F36" s="568"/>
      <c r="G36" s="568"/>
      <c r="H36" s="568"/>
    </row>
    <row r="37" spans="2:8" ht="26.25" x14ac:dyDescent="0.4">
      <c r="B37" s="568"/>
      <c r="C37" s="568"/>
      <c r="D37" s="568"/>
      <c r="E37" s="568"/>
      <c r="F37" s="568"/>
      <c r="G37" s="568"/>
      <c r="H37" s="568"/>
    </row>
    <row r="38" spans="2:8" ht="26.25" x14ac:dyDescent="0.4">
      <c r="B38" s="568"/>
      <c r="C38" s="568"/>
      <c r="D38" s="568"/>
      <c r="E38" s="568"/>
      <c r="F38" s="568"/>
      <c r="G38" s="568"/>
      <c r="H38" s="568"/>
    </row>
    <row r="39" spans="2:8" ht="26.25" x14ac:dyDescent="0.4">
      <c r="B39" s="568"/>
      <c r="C39" s="568"/>
      <c r="D39" s="568"/>
      <c r="E39" s="568"/>
      <c r="F39" s="568"/>
      <c r="G39" s="568"/>
      <c r="H39" s="568"/>
    </row>
    <row r="40" spans="2:8" ht="26.25" x14ac:dyDescent="0.4">
      <c r="B40" s="568"/>
      <c r="C40" s="568"/>
      <c r="D40" s="568"/>
      <c r="E40" s="568"/>
      <c r="F40" s="568"/>
      <c r="G40" s="568"/>
      <c r="H40" s="568"/>
    </row>
    <row r="41" spans="2:8" ht="26.25" x14ac:dyDescent="0.4">
      <c r="B41" s="568"/>
      <c r="C41" s="568"/>
      <c r="D41" s="568"/>
      <c r="E41" s="568"/>
      <c r="F41" s="568"/>
      <c r="G41" s="568"/>
      <c r="H41" s="568"/>
    </row>
    <row r="42" spans="2:8" ht="26.25" x14ac:dyDescent="0.4">
      <c r="B42" s="568"/>
      <c r="C42" s="568"/>
      <c r="D42" s="568"/>
      <c r="E42" s="568"/>
      <c r="F42" s="568"/>
      <c r="G42" s="568"/>
      <c r="H42" s="568"/>
    </row>
    <row r="43" spans="2:8" ht="26.25" x14ac:dyDescent="0.4">
      <c r="B43" s="568"/>
      <c r="C43" s="568"/>
      <c r="D43" s="568"/>
      <c r="E43" s="568"/>
      <c r="F43" s="568"/>
      <c r="G43" s="568"/>
      <c r="H43" s="568"/>
    </row>
  </sheetData>
  <customSheetViews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39" orientation="portrait" r:id="rId3"/>
  <headerFooter alignWithMargins="0">
    <oddHeader xml:space="preserve">&amp;R&amp;"-,Félkövér"&amp;12 
12. melléklet a 20/2025. (IX.30.) önkormányzati rendelethe&amp;"Times New Roman CE,Félkövér"z
"12. melléklet a 4/2025. (II.28) önkormányzati rendelethez"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4"/>
  <dimension ref="A2:K125"/>
  <sheetViews>
    <sheetView zoomScale="118" zoomScaleNormal="118" workbookViewId="0">
      <selection activeCell="A133" sqref="A133"/>
    </sheetView>
  </sheetViews>
  <sheetFormatPr defaultRowHeight="15.75" x14ac:dyDescent="0.25"/>
  <cols>
    <col min="1" max="1" width="111.6640625" style="119" customWidth="1"/>
    <col min="2" max="5" width="34.1640625" style="120" customWidth="1"/>
    <col min="6" max="6" width="29.5" style="120" customWidth="1"/>
    <col min="7" max="7" width="38.1640625" style="97" bestFit="1" customWidth="1"/>
    <col min="8" max="8" width="13.83203125" style="113" customWidth="1"/>
    <col min="9" max="9" width="18.1640625" customWidth="1"/>
    <col min="10" max="16384" width="9.33203125" style="113"/>
  </cols>
  <sheetData>
    <row r="2" spans="1:11" s="708" customFormat="1" ht="26.25" x14ac:dyDescent="0.4">
      <c r="A2" s="1068" t="s">
        <v>120</v>
      </c>
      <c r="B2" s="1068"/>
      <c r="C2" s="1068"/>
      <c r="D2" s="1068"/>
      <c r="E2" s="1068"/>
      <c r="F2" s="1068"/>
      <c r="G2" s="1068"/>
      <c r="I2" s="709"/>
    </row>
    <row r="3" spans="1:11" ht="19.5" thickBot="1" x14ac:dyDescent="0.35">
      <c r="A3" s="114" t="s">
        <v>36</v>
      </c>
      <c r="B3" s="115"/>
      <c r="C3" s="115"/>
      <c r="D3" s="115"/>
      <c r="E3" s="115"/>
      <c r="F3" s="115"/>
      <c r="G3" s="116" t="s">
        <v>203</v>
      </c>
    </row>
    <row r="4" spans="1:11" ht="25.5" customHeight="1" x14ac:dyDescent="0.3">
      <c r="A4" s="98" t="s">
        <v>156</v>
      </c>
      <c r="B4" s="395" t="s">
        <v>695</v>
      </c>
      <c r="C4" s="395" t="s">
        <v>578</v>
      </c>
      <c r="D4" s="395" t="s">
        <v>554</v>
      </c>
      <c r="E4" s="395" t="s">
        <v>560</v>
      </c>
      <c r="F4" s="395" t="s">
        <v>553</v>
      </c>
      <c r="G4" s="395" t="s">
        <v>580</v>
      </c>
    </row>
    <row r="5" spans="1:11" ht="27.75" customHeight="1" thickBot="1" x14ac:dyDescent="0.35">
      <c r="A5" s="117"/>
      <c r="B5" s="397" t="s">
        <v>701</v>
      </c>
      <c r="C5" s="397" t="s">
        <v>335</v>
      </c>
      <c r="D5" s="397" t="s">
        <v>348</v>
      </c>
      <c r="E5" s="397" t="s">
        <v>348</v>
      </c>
      <c r="F5" s="397" t="s">
        <v>552</v>
      </c>
      <c r="G5" s="397" t="s">
        <v>348</v>
      </c>
    </row>
    <row r="6" spans="1:11" s="29" customFormat="1" ht="27" customHeight="1" x14ac:dyDescent="0.4">
      <c r="A6" s="446" t="s">
        <v>467</v>
      </c>
      <c r="B6" s="601">
        <v>195334</v>
      </c>
      <c r="C6" s="601">
        <v>209018</v>
      </c>
      <c r="D6" s="601">
        <v>209018</v>
      </c>
      <c r="E6" s="601">
        <v>228733</v>
      </c>
      <c r="F6" s="601"/>
      <c r="G6" s="601">
        <f>SUM(E6:F6)</f>
        <v>228733</v>
      </c>
      <c r="H6" s="25"/>
      <c r="I6" s="75"/>
      <c r="K6" s="75"/>
    </row>
    <row r="7" spans="1:11" ht="27" customHeight="1" x14ac:dyDescent="0.4">
      <c r="A7" s="447" t="s">
        <v>4</v>
      </c>
      <c r="B7" s="602">
        <v>3041731</v>
      </c>
      <c r="C7" s="602">
        <v>3134054</v>
      </c>
      <c r="D7" s="602">
        <v>3134054</v>
      </c>
      <c r="E7" s="602">
        <v>3350166</v>
      </c>
      <c r="F7" s="602">
        <v>-6482</v>
      </c>
      <c r="G7" s="602">
        <f>SUM(E7:F7)</f>
        <v>3343684</v>
      </c>
      <c r="H7" s="25"/>
      <c r="I7" s="75"/>
      <c r="K7" s="75"/>
    </row>
    <row r="8" spans="1:11" ht="27" customHeight="1" thickBot="1" x14ac:dyDescent="0.45">
      <c r="A8" s="448" t="s">
        <v>116</v>
      </c>
      <c r="B8" s="562">
        <f t="shared" ref="B8:D8" si="0">SUM(B6:B7)</f>
        <v>3237065</v>
      </c>
      <c r="C8" s="562">
        <f t="shared" si="0"/>
        <v>3343072</v>
      </c>
      <c r="D8" s="562">
        <f t="shared" si="0"/>
        <v>3343072</v>
      </c>
      <c r="E8" s="562">
        <f>SUM(E6:E7)</f>
        <v>3578899</v>
      </c>
      <c r="F8" s="562">
        <f t="shared" ref="F8:G8" si="1">SUM(F6:F7)</f>
        <v>-6482</v>
      </c>
      <c r="G8" s="562">
        <f t="shared" si="1"/>
        <v>3572417</v>
      </c>
      <c r="H8" s="25"/>
      <c r="I8" s="75"/>
      <c r="K8" s="75"/>
    </row>
    <row r="9" spans="1:11" ht="27" customHeight="1" x14ac:dyDescent="0.4">
      <c r="A9" s="449" t="s">
        <v>176</v>
      </c>
      <c r="B9" s="603"/>
      <c r="C9" s="603"/>
      <c r="D9" s="603"/>
      <c r="E9" s="603"/>
      <c r="F9" s="603"/>
      <c r="G9" s="603"/>
      <c r="I9" s="75"/>
      <c r="K9" s="75"/>
    </row>
    <row r="10" spans="1:11" ht="27" customHeight="1" x14ac:dyDescent="0.4">
      <c r="A10" s="447" t="s">
        <v>191</v>
      </c>
      <c r="B10" s="604">
        <v>436339</v>
      </c>
      <c r="C10" s="604">
        <v>400000</v>
      </c>
      <c r="D10" s="604">
        <v>400000</v>
      </c>
      <c r="E10" s="604">
        <v>417946</v>
      </c>
      <c r="F10" s="604"/>
      <c r="G10" s="604">
        <f>SUM(E10:F10)</f>
        <v>417946</v>
      </c>
      <c r="H10" s="25"/>
      <c r="I10" s="75"/>
      <c r="K10" s="75"/>
    </row>
    <row r="11" spans="1:11" ht="27" customHeight="1" x14ac:dyDescent="0.4">
      <c r="A11" s="450" t="s">
        <v>198</v>
      </c>
      <c r="B11" s="604">
        <v>1096041</v>
      </c>
      <c r="C11" s="604">
        <v>700000</v>
      </c>
      <c r="D11" s="604">
        <v>700000</v>
      </c>
      <c r="E11" s="604">
        <v>700330</v>
      </c>
      <c r="F11" s="604"/>
      <c r="G11" s="604">
        <f t="shared" ref="G11:G15" si="2">SUM(E11:F11)</f>
        <v>700330</v>
      </c>
      <c r="H11" s="25"/>
      <c r="I11" s="75"/>
      <c r="K11" s="75"/>
    </row>
    <row r="12" spans="1:11" ht="27" customHeight="1" x14ac:dyDescent="0.4">
      <c r="A12" s="450" t="s">
        <v>252</v>
      </c>
      <c r="B12" s="604"/>
      <c r="C12" s="604">
        <v>160000</v>
      </c>
      <c r="D12" s="604">
        <v>160000</v>
      </c>
      <c r="E12" s="604">
        <v>160000</v>
      </c>
      <c r="F12" s="604"/>
      <c r="G12" s="604">
        <f t="shared" si="2"/>
        <v>160000</v>
      </c>
      <c r="H12" s="25"/>
      <c r="I12" s="75"/>
      <c r="K12" s="75"/>
    </row>
    <row r="13" spans="1:11" ht="27" customHeight="1" x14ac:dyDescent="0.4">
      <c r="A13" s="450" t="s">
        <v>126</v>
      </c>
      <c r="B13" s="604">
        <v>538480</v>
      </c>
      <c r="C13" s="604">
        <v>554736</v>
      </c>
      <c r="D13" s="604">
        <v>554736</v>
      </c>
      <c r="E13" s="604">
        <v>554736</v>
      </c>
      <c r="F13" s="604"/>
      <c r="G13" s="604">
        <f>SUM(E13:F13)</f>
        <v>554736</v>
      </c>
      <c r="I13" s="75"/>
      <c r="K13" s="75"/>
    </row>
    <row r="14" spans="1:11" ht="27" customHeight="1" x14ac:dyDescent="0.4">
      <c r="A14" s="451" t="s">
        <v>583</v>
      </c>
      <c r="B14" s="604">
        <v>75865</v>
      </c>
      <c r="C14" s="604"/>
      <c r="D14" s="604"/>
      <c r="E14" s="604"/>
      <c r="F14" s="604">
        <v>3137</v>
      </c>
      <c r="G14" s="604">
        <f>SUM(E14:F14)</f>
        <v>3137</v>
      </c>
      <c r="I14" s="75"/>
      <c r="K14" s="75"/>
    </row>
    <row r="15" spans="1:11" ht="27" customHeight="1" x14ac:dyDescent="0.4">
      <c r="A15" s="452" t="s">
        <v>403</v>
      </c>
      <c r="B15" s="602">
        <v>6140</v>
      </c>
      <c r="C15" s="602"/>
      <c r="D15" s="602">
        <v>0</v>
      </c>
      <c r="E15" s="602">
        <v>21112</v>
      </c>
      <c r="F15" s="602"/>
      <c r="G15" s="604">
        <f t="shared" si="2"/>
        <v>21112</v>
      </c>
      <c r="I15" s="75"/>
      <c r="K15" s="75"/>
    </row>
    <row r="16" spans="1:11" ht="27" customHeight="1" x14ac:dyDescent="0.4">
      <c r="A16" s="453" t="s">
        <v>186</v>
      </c>
      <c r="B16" s="605">
        <f t="shared" ref="B16:D16" si="3">SUM(B10:B15)</f>
        <v>2152865</v>
      </c>
      <c r="C16" s="605">
        <f t="shared" si="3"/>
        <v>1814736</v>
      </c>
      <c r="D16" s="605">
        <f t="shared" si="3"/>
        <v>1814736</v>
      </c>
      <c r="E16" s="605">
        <f>SUM(E10:E15)</f>
        <v>1854124</v>
      </c>
      <c r="F16" s="605">
        <f>SUM(F10:F15)</f>
        <v>3137</v>
      </c>
      <c r="G16" s="605">
        <f>SUM(G10:G15)</f>
        <v>1857261</v>
      </c>
      <c r="I16" s="75"/>
      <c r="K16" s="75"/>
    </row>
    <row r="17" spans="1:11" ht="27" customHeight="1" x14ac:dyDescent="0.4">
      <c r="A17" s="454" t="s">
        <v>5</v>
      </c>
      <c r="B17" s="603"/>
      <c r="C17" s="603"/>
      <c r="D17" s="603"/>
      <c r="E17" s="603"/>
      <c r="F17" s="603"/>
      <c r="G17" s="603"/>
      <c r="I17" s="75"/>
      <c r="K17" s="75"/>
    </row>
    <row r="18" spans="1:11" ht="27" customHeight="1" x14ac:dyDescent="0.4">
      <c r="A18" s="447" t="s">
        <v>363</v>
      </c>
      <c r="B18" s="604">
        <v>94383</v>
      </c>
      <c r="C18" s="604">
        <v>80000</v>
      </c>
      <c r="D18" s="604">
        <v>80000</v>
      </c>
      <c r="E18" s="604">
        <v>80000</v>
      </c>
      <c r="F18" s="604"/>
      <c r="G18" s="604">
        <f t="shared" ref="G18:G24" si="4">SUM(E18:F18)</f>
        <v>80000</v>
      </c>
      <c r="I18" s="75"/>
      <c r="K18" s="75"/>
    </row>
    <row r="19" spans="1:11" ht="27" customHeight="1" x14ac:dyDescent="0.4">
      <c r="A19" s="447" t="s">
        <v>350</v>
      </c>
      <c r="B19" s="604">
        <v>85391</v>
      </c>
      <c r="C19" s="604">
        <v>63000</v>
      </c>
      <c r="D19" s="604">
        <v>63000</v>
      </c>
      <c r="E19" s="604">
        <v>63000</v>
      </c>
      <c r="F19" s="604"/>
      <c r="G19" s="604">
        <f t="shared" si="4"/>
        <v>63000</v>
      </c>
      <c r="I19" s="75"/>
      <c r="K19" s="75"/>
    </row>
    <row r="20" spans="1:11" ht="27" customHeight="1" x14ac:dyDescent="0.4">
      <c r="A20" s="455" t="s">
        <v>209</v>
      </c>
      <c r="B20" s="606">
        <v>12399</v>
      </c>
      <c r="C20" s="606">
        <v>17500</v>
      </c>
      <c r="D20" s="606">
        <v>17500</v>
      </c>
      <c r="E20" s="606">
        <v>29623</v>
      </c>
      <c r="F20" s="606">
        <f>161-1000-1205</f>
        <v>-2044</v>
      </c>
      <c r="G20" s="606">
        <f t="shared" si="4"/>
        <v>27579</v>
      </c>
      <c r="H20" s="25"/>
      <c r="I20" s="75"/>
      <c r="K20" s="75"/>
    </row>
    <row r="21" spans="1:11" ht="27" customHeight="1" x14ac:dyDescent="0.4">
      <c r="A21" s="450" t="s">
        <v>192</v>
      </c>
      <c r="B21" s="604">
        <v>14986</v>
      </c>
      <c r="C21" s="604">
        <v>15000</v>
      </c>
      <c r="D21" s="604">
        <v>15000</v>
      </c>
      <c r="E21" s="604">
        <v>15000</v>
      </c>
      <c r="F21" s="604"/>
      <c r="G21" s="604">
        <f t="shared" si="4"/>
        <v>15000</v>
      </c>
      <c r="I21" s="75"/>
      <c r="K21" s="75"/>
    </row>
    <row r="22" spans="1:11" ht="27" customHeight="1" x14ac:dyDescent="0.4">
      <c r="A22" s="417" t="s">
        <v>615</v>
      </c>
      <c r="B22" s="606">
        <v>3962</v>
      </c>
      <c r="C22" s="606"/>
      <c r="D22" s="606"/>
      <c r="E22" s="606"/>
      <c r="F22" s="606"/>
      <c r="G22" s="606">
        <f t="shared" si="4"/>
        <v>0</v>
      </c>
      <c r="I22" s="75"/>
      <c r="K22" s="75"/>
    </row>
    <row r="23" spans="1:11" ht="40.5" customHeight="1" x14ac:dyDescent="0.4">
      <c r="A23" s="450" t="s">
        <v>547</v>
      </c>
      <c r="B23" s="604"/>
      <c r="C23" s="604">
        <v>472625</v>
      </c>
      <c r="D23" s="604">
        <v>472625</v>
      </c>
      <c r="E23" s="604">
        <v>492766</v>
      </c>
      <c r="F23" s="604">
        <f>-11600+1500</f>
        <v>-10100</v>
      </c>
      <c r="G23" s="604">
        <f t="shared" si="4"/>
        <v>482666</v>
      </c>
      <c r="H23" s="25"/>
      <c r="I23" s="75"/>
      <c r="K23" s="75"/>
    </row>
    <row r="24" spans="1:11" ht="27" customHeight="1" x14ac:dyDescent="0.4">
      <c r="A24" s="456" t="s">
        <v>617</v>
      </c>
      <c r="B24" s="604">
        <v>254004</v>
      </c>
      <c r="C24" s="604"/>
      <c r="D24" s="604"/>
      <c r="E24" s="604"/>
      <c r="F24" s="604"/>
      <c r="G24" s="604">
        <f t="shared" si="4"/>
        <v>0</v>
      </c>
      <c r="H24" s="25"/>
      <c r="I24" s="75"/>
      <c r="K24" s="75"/>
    </row>
    <row r="25" spans="1:11" ht="27" customHeight="1" x14ac:dyDescent="0.4">
      <c r="A25" s="457" t="s">
        <v>134</v>
      </c>
      <c r="B25" s="606">
        <v>24336</v>
      </c>
      <c r="C25" s="606">
        <v>10000</v>
      </c>
      <c r="D25" s="606">
        <v>10000</v>
      </c>
      <c r="E25" s="606">
        <v>19911</v>
      </c>
      <c r="F25" s="606"/>
      <c r="G25" s="606">
        <f t="shared" ref="G25:G27" si="5">SUM(E25:F25)</f>
        <v>19911</v>
      </c>
      <c r="H25" s="25"/>
      <c r="I25" s="75"/>
      <c r="K25" s="75"/>
    </row>
    <row r="26" spans="1:11" ht="27" customHeight="1" x14ac:dyDescent="0.4">
      <c r="A26" s="457" t="s">
        <v>189</v>
      </c>
      <c r="B26" s="606">
        <v>397</v>
      </c>
      <c r="C26" s="606">
        <v>0</v>
      </c>
      <c r="D26" s="606">
        <v>0</v>
      </c>
      <c r="E26" s="606">
        <v>453</v>
      </c>
      <c r="F26" s="606"/>
      <c r="G26" s="606">
        <f t="shared" si="5"/>
        <v>453</v>
      </c>
      <c r="H26" s="25"/>
      <c r="I26" s="75"/>
      <c r="K26" s="75"/>
    </row>
    <row r="27" spans="1:11" ht="27" customHeight="1" x14ac:dyDescent="0.4">
      <c r="A27" s="455" t="s">
        <v>417</v>
      </c>
      <c r="B27" s="606">
        <v>304</v>
      </c>
      <c r="C27" s="606">
        <v>1000</v>
      </c>
      <c r="D27" s="606">
        <v>1000</v>
      </c>
      <c r="E27" s="606">
        <v>2696</v>
      </c>
      <c r="F27" s="606"/>
      <c r="G27" s="606">
        <f t="shared" si="5"/>
        <v>2696</v>
      </c>
      <c r="H27" s="25"/>
      <c r="I27" s="75"/>
      <c r="K27" s="75"/>
    </row>
    <row r="28" spans="1:11" ht="27" customHeight="1" x14ac:dyDescent="0.4">
      <c r="A28" s="447" t="s">
        <v>121</v>
      </c>
      <c r="B28" s="604">
        <v>13040</v>
      </c>
      <c r="C28" s="604">
        <v>13040</v>
      </c>
      <c r="D28" s="604">
        <v>13040</v>
      </c>
      <c r="E28" s="604">
        <v>13040</v>
      </c>
      <c r="F28" s="604"/>
      <c r="G28" s="604">
        <f>SUM(E28:F28)</f>
        <v>13040</v>
      </c>
      <c r="I28" s="75"/>
      <c r="K28" s="75"/>
    </row>
    <row r="29" spans="1:11" ht="27" customHeight="1" x14ac:dyDescent="0.4">
      <c r="A29" s="457" t="s">
        <v>148</v>
      </c>
      <c r="B29" s="606">
        <v>1200</v>
      </c>
      <c r="C29" s="606">
        <v>1200</v>
      </c>
      <c r="D29" s="606">
        <v>1200</v>
      </c>
      <c r="E29" s="606">
        <v>1200</v>
      </c>
      <c r="F29" s="606"/>
      <c r="G29" s="606">
        <f>SUM(E29:F29)</f>
        <v>1200</v>
      </c>
      <c r="I29" s="75"/>
      <c r="K29" s="75"/>
    </row>
    <row r="30" spans="1:11" ht="27" customHeight="1" x14ac:dyDescent="0.4">
      <c r="A30" s="455" t="s">
        <v>419</v>
      </c>
      <c r="B30" s="606"/>
      <c r="C30" s="606">
        <v>0</v>
      </c>
      <c r="D30" s="606">
        <v>0</v>
      </c>
      <c r="E30" s="606">
        <v>1500</v>
      </c>
      <c r="F30" s="606"/>
      <c r="G30" s="606">
        <f t="shared" ref="G30:G32" si="6">SUM(E30:F30)</f>
        <v>1500</v>
      </c>
      <c r="H30" s="25"/>
      <c r="I30" s="75"/>
      <c r="K30" s="75"/>
    </row>
    <row r="31" spans="1:11" ht="27" customHeight="1" x14ac:dyDescent="0.4">
      <c r="A31" s="458" t="s">
        <v>468</v>
      </c>
      <c r="B31" s="606">
        <v>1000</v>
      </c>
      <c r="C31" s="606"/>
      <c r="D31" s="606"/>
      <c r="E31" s="606"/>
      <c r="F31" s="606"/>
      <c r="G31" s="606">
        <f t="shared" si="6"/>
        <v>0</v>
      </c>
      <c r="H31" s="25"/>
      <c r="I31" s="75"/>
      <c r="K31" s="75"/>
    </row>
    <row r="32" spans="1:11" ht="27" customHeight="1" x14ac:dyDescent="0.4">
      <c r="A32" s="417" t="s">
        <v>616</v>
      </c>
      <c r="B32" s="606">
        <v>1500</v>
      </c>
      <c r="C32" s="606"/>
      <c r="D32" s="606"/>
      <c r="E32" s="606"/>
      <c r="F32" s="606"/>
      <c r="G32" s="606">
        <f t="shared" si="6"/>
        <v>0</v>
      </c>
      <c r="H32" s="25"/>
      <c r="I32" s="75"/>
      <c r="K32" s="75"/>
    </row>
    <row r="33" spans="1:11" ht="27" customHeight="1" x14ac:dyDescent="0.4">
      <c r="A33" s="459" t="s">
        <v>504</v>
      </c>
      <c r="B33" s="606"/>
      <c r="C33" s="606">
        <v>0</v>
      </c>
      <c r="D33" s="606">
        <v>0</v>
      </c>
      <c r="E33" s="606">
        <v>3000</v>
      </c>
      <c r="F33" s="606"/>
      <c r="G33" s="606">
        <f t="shared" ref="G33:G40" si="7">SUM(E33:F33)</f>
        <v>3000</v>
      </c>
      <c r="H33" s="25"/>
      <c r="I33" s="75"/>
      <c r="K33" s="75"/>
    </row>
    <row r="34" spans="1:11" ht="27" customHeight="1" x14ac:dyDescent="0.4">
      <c r="A34" s="455" t="s">
        <v>200</v>
      </c>
      <c r="B34" s="606">
        <v>2932</v>
      </c>
      <c r="C34" s="606">
        <v>3154</v>
      </c>
      <c r="D34" s="606">
        <v>3154</v>
      </c>
      <c r="E34" s="606">
        <v>3390</v>
      </c>
      <c r="F34" s="606"/>
      <c r="G34" s="606">
        <f t="shared" si="7"/>
        <v>3390</v>
      </c>
      <c r="H34" s="25"/>
      <c r="I34" s="75"/>
      <c r="K34" s="75"/>
    </row>
    <row r="35" spans="1:11" ht="27" customHeight="1" x14ac:dyDescent="0.4">
      <c r="A35" s="457" t="s">
        <v>199</v>
      </c>
      <c r="B35" s="606">
        <v>3970</v>
      </c>
      <c r="C35" s="606">
        <v>4200</v>
      </c>
      <c r="D35" s="606">
        <v>4200</v>
      </c>
      <c r="E35" s="606">
        <v>4200</v>
      </c>
      <c r="F35" s="606"/>
      <c r="G35" s="606">
        <f t="shared" si="7"/>
        <v>4200</v>
      </c>
      <c r="I35" s="75"/>
      <c r="K35" s="75"/>
    </row>
    <row r="36" spans="1:11" ht="27" customHeight="1" x14ac:dyDescent="0.4">
      <c r="A36" s="457" t="s">
        <v>404</v>
      </c>
      <c r="B36" s="606">
        <v>1560557</v>
      </c>
      <c r="C36" s="606">
        <v>1414000</v>
      </c>
      <c r="D36" s="606">
        <v>1414000</v>
      </c>
      <c r="E36" s="606">
        <v>1433093</v>
      </c>
      <c r="F36" s="606">
        <v>100000</v>
      </c>
      <c r="G36" s="606">
        <f t="shared" si="7"/>
        <v>1533093</v>
      </c>
      <c r="H36" s="25"/>
      <c r="I36" s="75"/>
      <c r="K36" s="75"/>
    </row>
    <row r="37" spans="1:11" ht="43.5" customHeight="1" x14ac:dyDescent="0.4">
      <c r="A37" s="457" t="s">
        <v>676</v>
      </c>
      <c r="B37" s="606">
        <v>1956</v>
      </c>
      <c r="C37" s="606">
        <v>2500</v>
      </c>
      <c r="D37" s="606">
        <v>2500</v>
      </c>
      <c r="E37" s="606">
        <v>2500</v>
      </c>
      <c r="F37" s="606"/>
      <c r="G37" s="606">
        <f>SUM(E37:F37)</f>
        <v>2500</v>
      </c>
      <c r="I37" s="75"/>
      <c r="K37" s="75"/>
    </row>
    <row r="38" spans="1:11" ht="27" customHeight="1" x14ac:dyDescent="0.4">
      <c r="A38" s="457" t="s">
        <v>556</v>
      </c>
      <c r="B38" s="606"/>
      <c r="C38" s="606"/>
      <c r="D38" s="606">
        <v>50000</v>
      </c>
      <c r="E38" s="606">
        <v>50000</v>
      </c>
      <c r="F38" s="606"/>
      <c r="G38" s="606">
        <f t="shared" ref="G38:G39" si="8">SUM(E38:F38)</f>
        <v>50000</v>
      </c>
      <c r="I38" s="75"/>
      <c r="K38" s="75"/>
    </row>
    <row r="39" spans="1:11" ht="27" customHeight="1" x14ac:dyDescent="0.4">
      <c r="A39" s="457" t="s">
        <v>557</v>
      </c>
      <c r="B39" s="606"/>
      <c r="C39" s="606"/>
      <c r="D39" s="606">
        <v>10516</v>
      </c>
      <c r="E39" s="606">
        <v>10516</v>
      </c>
      <c r="F39" s="606"/>
      <c r="G39" s="606">
        <f t="shared" si="8"/>
        <v>10516</v>
      </c>
      <c r="I39" s="75"/>
      <c r="K39" s="75"/>
    </row>
    <row r="40" spans="1:11" ht="36" customHeight="1" x14ac:dyDescent="0.4">
      <c r="A40" s="457" t="s">
        <v>457</v>
      </c>
      <c r="B40" s="606">
        <v>3810</v>
      </c>
      <c r="C40" s="606">
        <v>3810</v>
      </c>
      <c r="D40" s="606">
        <v>3810</v>
      </c>
      <c r="E40" s="606">
        <v>3810</v>
      </c>
      <c r="F40" s="606"/>
      <c r="G40" s="606">
        <f t="shared" si="7"/>
        <v>3810</v>
      </c>
      <c r="I40" s="75"/>
      <c r="K40" s="75"/>
    </row>
    <row r="41" spans="1:11" ht="27" customHeight="1" x14ac:dyDescent="0.4">
      <c r="A41" s="450" t="s">
        <v>499</v>
      </c>
      <c r="B41" s="604">
        <v>3670722</v>
      </c>
      <c r="C41" s="604">
        <v>3833106</v>
      </c>
      <c r="D41" s="604">
        <v>3833106</v>
      </c>
      <c r="E41" s="604">
        <v>3833106</v>
      </c>
      <c r="F41" s="604"/>
      <c r="G41" s="604">
        <f>SUM(E41:F41)</f>
        <v>3833106</v>
      </c>
      <c r="I41" s="75"/>
      <c r="K41" s="75"/>
    </row>
    <row r="42" spans="1:11" ht="27" customHeight="1" x14ac:dyDescent="0.4">
      <c r="A42" s="460" t="s">
        <v>618</v>
      </c>
      <c r="B42" s="606">
        <v>4100</v>
      </c>
      <c r="C42" s="606"/>
      <c r="D42" s="606"/>
      <c r="E42" s="606"/>
      <c r="F42" s="606">
        <v>2500</v>
      </c>
      <c r="G42" s="606">
        <f>SUM(E42:F42)</f>
        <v>2500</v>
      </c>
      <c r="I42" s="75"/>
      <c r="K42" s="75"/>
    </row>
    <row r="43" spans="1:11" ht="27" customHeight="1" x14ac:dyDescent="0.4">
      <c r="A43" s="457" t="s">
        <v>492</v>
      </c>
      <c r="B43" s="606"/>
      <c r="C43" s="606"/>
      <c r="D43" s="606">
        <v>0</v>
      </c>
      <c r="E43" s="606">
        <v>5000</v>
      </c>
      <c r="F43" s="606"/>
      <c r="G43" s="606">
        <f>SUM(E43:F43)</f>
        <v>5000</v>
      </c>
      <c r="H43" s="25"/>
      <c r="I43" s="75"/>
      <c r="K43" s="75"/>
    </row>
    <row r="44" spans="1:11" ht="27" customHeight="1" x14ac:dyDescent="0.4">
      <c r="A44" s="461" t="s">
        <v>377</v>
      </c>
      <c r="B44" s="603"/>
      <c r="C44" s="603"/>
      <c r="D44" s="603"/>
      <c r="E44" s="603"/>
      <c r="F44" s="603"/>
      <c r="G44" s="608">
        <f t="shared" ref="G44:G55" si="9">SUM(E44:F44)</f>
        <v>0</v>
      </c>
      <c r="I44" s="75"/>
      <c r="K44" s="75"/>
    </row>
    <row r="45" spans="1:11" ht="27" customHeight="1" x14ac:dyDescent="0.4">
      <c r="A45" s="455" t="s">
        <v>378</v>
      </c>
      <c r="B45" s="606">
        <v>179000</v>
      </c>
      <c r="C45" s="606">
        <v>127000</v>
      </c>
      <c r="D45" s="606">
        <v>127000</v>
      </c>
      <c r="E45" s="606">
        <v>158000</v>
      </c>
      <c r="F45" s="606">
        <f>23000+3000</f>
        <v>26000</v>
      </c>
      <c r="G45" s="606">
        <f t="shared" si="9"/>
        <v>184000</v>
      </c>
      <c r="H45" s="25"/>
      <c r="I45" s="75"/>
      <c r="K45" s="75"/>
    </row>
    <row r="46" spans="1:11" ht="57" customHeight="1" x14ac:dyDescent="0.4">
      <c r="A46" s="455" t="s">
        <v>426</v>
      </c>
      <c r="B46" s="606">
        <v>98494</v>
      </c>
      <c r="C46" s="606">
        <v>67000</v>
      </c>
      <c r="D46" s="606">
        <v>67000</v>
      </c>
      <c r="E46" s="606">
        <v>82161</v>
      </c>
      <c r="F46" s="606">
        <f>839+3000</f>
        <v>3839</v>
      </c>
      <c r="G46" s="606">
        <f t="shared" si="9"/>
        <v>86000</v>
      </c>
      <c r="I46" s="75"/>
      <c r="K46" s="75"/>
    </row>
    <row r="47" spans="1:11" ht="27" customHeight="1" x14ac:dyDescent="0.4">
      <c r="A47" s="449" t="s">
        <v>365</v>
      </c>
      <c r="B47" s="607"/>
      <c r="C47" s="607"/>
      <c r="D47" s="607"/>
      <c r="E47" s="607"/>
      <c r="F47" s="607"/>
      <c r="G47" s="606">
        <f t="shared" si="9"/>
        <v>0</v>
      </c>
      <c r="I47" s="75"/>
      <c r="K47" s="75"/>
    </row>
    <row r="48" spans="1:11" ht="27" customHeight="1" x14ac:dyDescent="0.4">
      <c r="A48" s="455" t="s">
        <v>427</v>
      </c>
      <c r="B48" s="606">
        <v>2050</v>
      </c>
      <c r="C48" s="606">
        <v>1000</v>
      </c>
      <c r="D48" s="606">
        <v>1000</v>
      </c>
      <c r="E48" s="606">
        <v>1000</v>
      </c>
      <c r="F48" s="606"/>
      <c r="G48" s="606">
        <f t="shared" si="9"/>
        <v>1000</v>
      </c>
      <c r="I48" s="75"/>
      <c r="K48" s="75"/>
    </row>
    <row r="49" spans="1:11" ht="27" customHeight="1" x14ac:dyDescent="0.4">
      <c r="A49" s="455" t="s">
        <v>119</v>
      </c>
      <c r="B49" s="606">
        <v>6000</v>
      </c>
      <c r="C49" s="606">
        <v>8000</v>
      </c>
      <c r="D49" s="606">
        <v>8000</v>
      </c>
      <c r="E49" s="606">
        <v>8000</v>
      </c>
      <c r="F49" s="606"/>
      <c r="G49" s="606">
        <f t="shared" si="9"/>
        <v>8000</v>
      </c>
      <c r="I49" s="75"/>
      <c r="K49" s="75"/>
    </row>
    <row r="50" spans="1:11" ht="27" customHeight="1" x14ac:dyDescent="0.4">
      <c r="A50" s="457" t="s">
        <v>79</v>
      </c>
      <c r="B50" s="606">
        <v>2000</v>
      </c>
      <c r="C50" s="606">
        <v>2000</v>
      </c>
      <c r="D50" s="606">
        <v>2000</v>
      </c>
      <c r="E50" s="606">
        <v>2000</v>
      </c>
      <c r="F50" s="606"/>
      <c r="G50" s="606">
        <f t="shared" si="9"/>
        <v>2000</v>
      </c>
      <c r="I50" s="75"/>
      <c r="K50" s="75"/>
    </row>
    <row r="51" spans="1:11" ht="27" customHeight="1" x14ac:dyDescent="0.4">
      <c r="A51" s="462" t="s">
        <v>619</v>
      </c>
      <c r="B51" s="606">
        <v>4000</v>
      </c>
      <c r="C51" s="606"/>
      <c r="D51" s="606"/>
      <c r="E51" s="606"/>
      <c r="F51" s="606"/>
      <c r="G51" s="606">
        <f t="shared" si="9"/>
        <v>0</v>
      </c>
      <c r="I51" s="75"/>
      <c r="K51" s="75"/>
    </row>
    <row r="52" spans="1:11" ht="27" customHeight="1" x14ac:dyDescent="0.4">
      <c r="A52" s="457" t="s">
        <v>464</v>
      </c>
      <c r="B52" s="606">
        <v>2000</v>
      </c>
      <c r="C52" s="606">
        <v>2000</v>
      </c>
      <c r="D52" s="606">
        <v>2000</v>
      </c>
      <c r="E52" s="606">
        <v>2000</v>
      </c>
      <c r="F52" s="606"/>
      <c r="G52" s="606">
        <f t="shared" si="9"/>
        <v>2000</v>
      </c>
      <c r="I52" s="75"/>
      <c r="K52" s="75"/>
    </row>
    <row r="53" spans="1:11" ht="27" customHeight="1" x14ac:dyDescent="0.4">
      <c r="A53" s="463" t="s">
        <v>620</v>
      </c>
      <c r="B53" s="608"/>
      <c r="C53" s="608"/>
      <c r="D53" s="608"/>
      <c r="E53" s="608"/>
      <c r="F53" s="608"/>
      <c r="G53" s="606">
        <f t="shared" si="9"/>
        <v>0</v>
      </c>
      <c r="I53" s="75"/>
      <c r="K53" s="75"/>
    </row>
    <row r="54" spans="1:11" ht="27" customHeight="1" x14ac:dyDescent="0.4">
      <c r="A54" s="464" t="s">
        <v>621</v>
      </c>
      <c r="B54" s="606">
        <v>130000</v>
      </c>
      <c r="C54" s="606"/>
      <c r="D54" s="606"/>
      <c r="E54" s="606"/>
      <c r="F54" s="606"/>
      <c r="G54" s="606">
        <f t="shared" si="9"/>
        <v>0</v>
      </c>
      <c r="I54" s="75"/>
      <c r="K54" s="75"/>
    </row>
    <row r="55" spans="1:11" ht="44.25" customHeight="1" x14ac:dyDescent="0.4">
      <c r="A55" s="449" t="s">
        <v>372</v>
      </c>
      <c r="B55" s="607"/>
      <c r="C55" s="607"/>
      <c r="D55" s="607"/>
      <c r="E55" s="607"/>
      <c r="F55" s="607"/>
      <c r="G55" s="606">
        <f t="shared" si="9"/>
        <v>0</v>
      </c>
      <c r="I55" s="75"/>
      <c r="K55" s="75"/>
    </row>
    <row r="56" spans="1:11" ht="27" customHeight="1" x14ac:dyDescent="0.4">
      <c r="A56" s="447" t="s">
        <v>436</v>
      </c>
      <c r="B56" s="604">
        <v>7077</v>
      </c>
      <c r="C56" s="604">
        <v>6000</v>
      </c>
      <c r="D56" s="604">
        <v>6000</v>
      </c>
      <c r="E56" s="604">
        <v>8807</v>
      </c>
      <c r="F56" s="604"/>
      <c r="G56" s="604">
        <f>SUM(E56:F56)</f>
        <v>8807</v>
      </c>
      <c r="H56" s="25"/>
      <c r="I56" s="75"/>
      <c r="K56" s="75"/>
    </row>
    <row r="57" spans="1:11" ht="27" customHeight="1" x14ac:dyDescent="0.4">
      <c r="A57" s="451" t="s">
        <v>622</v>
      </c>
      <c r="B57" s="604">
        <v>21395</v>
      </c>
      <c r="C57" s="604"/>
      <c r="D57" s="604"/>
      <c r="E57" s="604"/>
      <c r="F57" s="604"/>
      <c r="G57" s="604"/>
      <c r="H57" s="25"/>
      <c r="I57" s="75"/>
      <c r="K57" s="75"/>
    </row>
    <row r="58" spans="1:11" ht="27" customHeight="1" x14ac:dyDescent="0.4">
      <c r="A58" s="457" t="s">
        <v>373</v>
      </c>
      <c r="B58" s="606">
        <v>4482</v>
      </c>
      <c r="C58" s="606">
        <v>2241</v>
      </c>
      <c r="D58" s="606">
        <v>2241</v>
      </c>
      <c r="E58" s="606">
        <v>2241</v>
      </c>
      <c r="F58" s="606"/>
      <c r="G58" s="606">
        <f t="shared" ref="G58:G69" si="10">SUM(E58:F58)</f>
        <v>2241</v>
      </c>
      <c r="I58" s="75"/>
      <c r="K58" s="75"/>
    </row>
    <row r="59" spans="1:11" ht="47.25" customHeight="1" x14ac:dyDescent="0.4">
      <c r="A59" s="126" t="s">
        <v>623</v>
      </c>
      <c r="B59" s="606">
        <v>24066</v>
      </c>
      <c r="C59" s="606"/>
      <c r="D59" s="606"/>
      <c r="E59" s="606"/>
      <c r="F59" s="606"/>
      <c r="G59" s="606">
        <f t="shared" si="10"/>
        <v>0</v>
      </c>
      <c r="I59" s="75"/>
      <c r="K59" s="75"/>
    </row>
    <row r="60" spans="1:11" ht="27" customHeight="1" x14ac:dyDescent="0.4">
      <c r="A60" s="457" t="s">
        <v>360</v>
      </c>
      <c r="B60" s="606">
        <v>6537</v>
      </c>
      <c r="C60" s="606">
        <v>5500</v>
      </c>
      <c r="D60" s="606">
        <v>5500</v>
      </c>
      <c r="E60" s="606">
        <v>17920</v>
      </c>
      <c r="F60" s="606">
        <v>-9132</v>
      </c>
      <c r="G60" s="606">
        <f t="shared" si="10"/>
        <v>8788</v>
      </c>
      <c r="H60" s="25"/>
      <c r="I60" s="75"/>
      <c r="K60" s="75"/>
    </row>
    <row r="61" spans="1:11" ht="27" customHeight="1" x14ac:dyDescent="0.4">
      <c r="A61" s="457" t="s">
        <v>508</v>
      </c>
      <c r="B61" s="606"/>
      <c r="C61" s="606">
        <v>0</v>
      </c>
      <c r="D61" s="606">
        <v>0</v>
      </c>
      <c r="E61" s="606">
        <v>3300</v>
      </c>
      <c r="F61" s="606"/>
      <c r="G61" s="606">
        <f t="shared" si="10"/>
        <v>3300</v>
      </c>
      <c r="H61" s="25"/>
      <c r="I61" s="75"/>
      <c r="K61" s="75"/>
    </row>
    <row r="62" spans="1:11" ht="27" customHeight="1" x14ac:dyDescent="0.4">
      <c r="A62" s="465" t="s">
        <v>624</v>
      </c>
      <c r="B62" s="606">
        <v>26740</v>
      </c>
      <c r="C62" s="606"/>
      <c r="D62" s="606"/>
      <c r="E62" s="606"/>
      <c r="F62" s="606"/>
      <c r="G62" s="606">
        <f t="shared" si="10"/>
        <v>0</v>
      </c>
      <c r="H62" s="25"/>
      <c r="I62" s="75"/>
      <c r="K62" s="75"/>
    </row>
    <row r="63" spans="1:11" ht="43.5" customHeight="1" x14ac:dyDescent="0.4">
      <c r="A63" s="457" t="s">
        <v>534</v>
      </c>
      <c r="B63" s="606">
        <v>200000</v>
      </c>
      <c r="C63" s="606">
        <v>100000</v>
      </c>
      <c r="D63" s="606">
        <v>100000</v>
      </c>
      <c r="E63" s="606">
        <v>100000</v>
      </c>
      <c r="F63" s="606">
        <v>100000</v>
      </c>
      <c r="G63" s="606">
        <f t="shared" si="10"/>
        <v>200000</v>
      </c>
      <c r="I63" s="75"/>
      <c r="K63" s="75"/>
    </row>
    <row r="64" spans="1:11" ht="27" customHeight="1" x14ac:dyDescent="0.4">
      <c r="A64" s="126" t="s">
        <v>625</v>
      </c>
      <c r="B64" s="606">
        <v>384000</v>
      </c>
      <c r="C64" s="606"/>
      <c r="D64" s="606"/>
      <c r="E64" s="606"/>
      <c r="F64" s="606"/>
      <c r="G64" s="606">
        <f t="shared" si="10"/>
        <v>0</v>
      </c>
      <c r="I64" s="75"/>
      <c r="K64" s="75"/>
    </row>
    <row r="65" spans="1:11" ht="27" customHeight="1" x14ac:dyDescent="0.4">
      <c r="A65" s="457" t="s">
        <v>437</v>
      </c>
      <c r="B65" s="606">
        <v>18288</v>
      </c>
      <c r="C65" s="606">
        <v>18500</v>
      </c>
      <c r="D65" s="606">
        <v>18500</v>
      </c>
      <c r="E65" s="606">
        <v>20024</v>
      </c>
      <c r="F65" s="606"/>
      <c r="G65" s="606">
        <f t="shared" si="10"/>
        <v>20024</v>
      </c>
      <c r="H65" s="25"/>
      <c r="I65" s="75"/>
      <c r="K65" s="75"/>
    </row>
    <row r="66" spans="1:11" ht="27" customHeight="1" x14ac:dyDescent="0.4">
      <c r="A66" s="457" t="s">
        <v>626</v>
      </c>
      <c r="B66" s="606">
        <v>118515</v>
      </c>
      <c r="C66" s="606"/>
      <c r="D66" s="606"/>
      <c r="E66" s="606"/>
      <c r="F66" s="606"/>
      <c r="G66" s="606">
        <f t="shared" si="10"/>
        <v>0</v>
      </c>
      <c r="H66" s="25"/>
      <c r="I66" s="75"/>
      <c r="K66" s="75"/>
    </row>
    <row r="67" spans="1:11" ht="27" customHeight="1" x14ac:dyDescent="0.4">
      <c r="A67" s="457" t="s">
        <v>342</v>
      </c>
      <c r="B67" s="606">
        <v>80000</v>
      </c>
      <c r="C67" s="606">
        <v>50000</v>
      </c>
      <c r="D67" s="606">
        <v>50000</v>
      </c>
      <c r="E67" s="606">
        <v>50000</v>
      </c>
      <c r="F67" s="606"/>
      <c r="G67" s="606">
        <f t="shared" si="10"/>
        <v>50000</v>
      </c>
      <c r="I67" s="75"/>
      <c r="K67" s="75"/>
    </row>
    <row r="68" spans="1:11" ht="45" customHeight="1" thickBot="1" x14ac:dyDescent="0.45">
      <c r="A68" s="466" t="s">
        <v>692</v>
      </c>
      <c r="B68" s="609"/>
      <c r="C68" s="609"/>
      <c r="D68" s="609"/>
      <c r="E68" s="609"/>
      <c r="F68" s="609">
        <v>40000</v>
      </c>
      <c r="G68" s="609">
        <f t="shared" si="10"/>
        <v>40000</v>
      </c>
      <c r="I68" s="75"/>
      <c r="K68" s="75"/>
    </row>
    <row r="69" spans="1:11" ht="27" customHeight="1" x14ac:dyDescent="0.4">
      <c r="A69" s="449" t="s">
        <v>8</v>
      </c>
      <c r="B69" s="607"/>
      <c r="C69" s="607"/>
      <c r="D69" s="607"/>
      <c r="E69" s="607"/>
      <c r="F69" s="607"/>
      <c r="G69" s="606">
        <f t="shared" si="10"/>
        <v>0</v>
      </c>
      <c r="I69" s="75"/>
      <c r="K69" s="75"/>
    </row>
    <row r="70" spans="1:11" ht="36" customHeight="1" x14ac:dyDescent="0.4">
      <c r="A70" s="447" t="s">
        <v>35</v>
      </c>
      <c r="B70" s="604">
        <v>4937</v>
      </c>
      <c r="C70" s="604">
        <v>8000</v>
      </c>
      <c r="D70" s="604">
        <v>8000</v>
      </c>
      <c r="E70" s="604">
        <v>8939</v>
      </c>
      <c r="F70" s="604">
        <v>-53</v>
      </c>
      <c r="G70" s="604">
        <f>SUM(E70:F70)</f>
        <v>8886</v>
      </c>
      <c r="H70" s="25"/>
      <c r="I70" s="75"/>
      <c r="K70" s="75"/>
    </row>
    <row r="71" spans="1:11" ht="49.5" customHeight="1" x14ac:dyDescent="0.4">
      <c r="A71" s="447" t="s">
        <v>694</v>
      </c>
      <c r="B71" s="604"/>
      <c r="C71" s="604"/>
      <c r="D71" s="604"/>
      <c r="E71" s="604"/>
      <c r="F71" s="604">
        <v>53</v>
      </c>
      <c r="G71" s="604">
        <f>SUM(E71:F71)</f>
        <v>53</v>
      </c>
      <c r="H71" s="25"/>
      <c r="I71" s="75"/>
      <c r="K71" s="75"/>
    </row>
    <row r="72" spans="1:11" ht="27" customHeight="1" x14ac:dyDescent="0.4">
      <c r="A72" s="467" t="s">
        <v>555</v>
      </c>
      <c r="B72" s="606">
        <v>25421</v>
      </c>
      <c r="C72" s="606">
        <v>25500</v>
      </c>
      <c r="D72" s="606">
        <v>25500</v>
      </c>
      <c r="E72" s="606">
        <v>25500</v>
      </c>
      <c r="F72" s="606">
        <v>-79</v>
      </c>
      <c r="G72" s="606">
        <f>SUM(E72:F72)</f>
        <v>25421</v>
      </c>
      <c r="H72" s="238"/>
      <c r="I72" s="75"/>
      <c r="K72" s="75"/>
    </row>
    <row r="73" spans="1:11" ht="27" customHeight="1" x14ac:dyDescent="0.4">
      <c r="A73" s="467" t="s">
        <v>28</v>
      </c>
      <c r="B73" s="606">
        <v>6118</v>
      </c>
      <c r="C73" s="606">
        <v>7000</v>
      </c>
      <c r="D73" s="606">
        <v>7000</v>
      </c>
      <c r="E73" s="606">
        <v>7888</v>
      </c>
      <c r="F73" s="606"/>
      <c r="G73" s="606">
        <f t="shared" ref="G73:G91" si="11">SUM(E73:F73)</f>
        <v>7888</v>
      </c>
      <c r="H73" s="25"/>
      <c r="I73" s="75"/>
      <c r="K73" s="75"/>
    </row>
    <row r="74" spans="1:11" ht="27" customHeight="1" x14ac:dyDescent="0.4">
      <c r="A74" s="467" t="s">
        <v>338</v>
      </c>
      <c r="B74" s="606">
        <v>31145</v>
      </c>
      <c r="C74" s="606">
        <v>30000</v>
      </c>
      <c r="D74" s="606">
        <v>30000</v>
      </c>
      <c r="E74" s="606">
        <v>30735</v>
      </c>
      <c r="F74" s="606"/>
      <c r="G74" s="606">
        <f t="shared" si="11"/>
        <v>30735</v>
      </c>
      <c r="H74" s="25"/>
      <c r="I74" s="75"/>
      <c r="K74" s="75"/>
    </row>
    <row r="75" spans="1:11" ht="27" customHeight="1" x14ac:dyDescent="0.4">
      <c r="A75" s="467" t="s">
        <v>216</v>
      </c>
      <c r="B75" s="606">
        <v>600</v>
      </c>
      <c r="C75" s="606">
        <v>300</v>
      </c>
      <c r="D75" s="606">
        <v>300</v>
      </c>
      <c r="E75" s="606">
        <v>300</v>
      </c>
      <c r="F75" s="606"/>
      <c r="G75" s="606">
        <f t="shared" si="11"/>
        <v>300</v>
      </c>
      <c r="H75" s="238"/>
      <c r="I75" s="75"/>
      <c r="K75" s="75"/>
    </row>
    <row r="76" spans="1:11" ht="27" customHeight="1" x14ac:dyDescent="0.4">
      <c r="A76" s="467" t="s">
        <v>122</v>
      </c>
      <c r="B76" s="606">
        <v>7269</v>
      </c>
      <c r="C76" s="606">
        <v>8300</v>
      </c>
      <c r="D76" s="606">
        <v>8300</v>
      </c>
      <c r="E76" s="606">
        <v>10152</v>
      </c>
      <c r="F76" s="606">
        <v>-370</v>
      </c>
      <c r="G76" s="606">
        <f t="shared" si="11"/>
        <v>9782</v>
      </c>
      <c r="H76" s="25"/>
      <c r="I76" s="75"/>
      <c r="K76" s="75"/>
    </row>
    <row r="77" spans="1:11" ht="40.5" customHeight="1" x14ac:dyDescent="0.4">
      <c r="A77" s="457" t="s">
        <v>344</v>
      </c>
      <c r="B77" s="606">
        <v>3218</v>
      </c>
      <c r="C77" s="606">
        <v>3500</v>
      </c>
      <c r="D77" s="606">
        <v>3500</v>
      </c>
      <c r="E77" s="606">
        <v>3645</v>
      </c>
      <c r="F77" s="606">
        <v>-219</v>
      </c>
      <c r="G77" s="606">
        <f t="shared" si="11"/>
        <v>3426</v>
      </c>
      <c r="H77" s="25"/>
      <c r="I77" s="75"/>
      <c r="K77" s="75"/>
    </row>
    <row r="78" spans="1:11" ht="48.75" customHeight="1" x14ac:dyDescent="0.4">
      <c r="A78" s="457" t="s">
        <v>575</v>
      </c>
      <c r="B78" s="606"/>
      <c r="C78" s="606"/>
      <c r="D78" s="606"/>
      <c r="E78" s="606">
        <v>54</v>
      </c>
      <c r="F78" s="606"/>
      <c r="G78" s="606">
        <f t="shared" si="11"/>
        <v>54</v>
      </c>
      <c r="H78" s="25"/>
      <c r="I78" s="75"/>
      <c r="K78" s="75"/>
    </row>
    <row r="79" spans="1:11" ht="27" customHeight="1" x14ac:dyDescent="0.4">
      <c r="A79" s="457" t="s">
        <v>379</v>
      </c>
      <c r="B79" s="606">
        <v>3810</v>
      </c>
      <c r="C79" s="606">
        <v>3810</v>
      </c>
      <c r="D79" s="606">
        <v>3810</v>
      </c>
      <c r="E79" s="606">
        <v>3810</v>
      </c>
      <c r="F79" s="606"/>
      <c r="G79" s="606">
        <f t="shared" si="11"/>
        <v>3810</v>
      </c>
      <c r="H79" s="238"/>
      <c r="I79" s="75"/>
      <c r="K79" s="75"/>
    </row>
    <row r="80" spans="1:11" ht="27" customHeight="1" x14ac:dyDescent="0.4">
      <c r="A80" s="457" t="s">
        <v>361</v>
      </c>
      <c r="B80" s="606">
        <v>175</v>
      </c>
      <c r="C80" s="606">
        <v>500</v>
      </c>
      <c r="D80" s="606">
        <v>500</v>
      </c>
      <c r="E80" s="606">
        <v>500</v>
      </c>
      <c r="F80" s="606"/>
      <c r="G80" s="606">
        <f t="shared" si="11"/>
        <v>500</v>
      </c>
      <c r="H80" s="238"/>
      <c r="I80" s="75"/>
      <c r="K80" s="75"/>
    </row>
    <row r="81" spans="1:11" ht="27" customHeight="1" x14ac:dyDescent="0.4">
      <c r="A81" s="457" t="s">
        <v>444</v>
      </c>
      <c r="B81" s="606"/>
      <c r="C81" s="606">
        <v>7500</v>
      </c>
      <c r="D81" s="606">
        <v>7500</v>
      </c>
      <c r="E81" s="606">
        <v>8719</v>
      </c>
      <c r="F81" s="606">
        <v>-184</v>
      </c>
      <c r="G81" s="606">
        <f t="shared" si="11"/>
        <v>8535</v>
      </c>
      <c r="H81" s="25"/>
      <c r="I81" s="75"/>
      <c r="K81" s="75"/>
    </row>
    <row r="82" spans="1:11" ht="27" customHeight="1" x14ac:dyDescent="0.4">
      <c r="A82" s="457" t="s">
        <v>445</v>
      </c>
      <c r="B82" s="606">
        <v>2137</v>
      </c>
      <c r="C82" s="606">
        <v>2500</v>
      </c>
      <c r="D82" s="606">
        <v>2500</v>
      </c>
      <c r="E82" s="606">
        <v>2863</v>
      </c>
      <c r="F82" s="606">
        <v>-84</v>
      </c>
      <c r="G82" s="606">
        <f t="shared" si="11"/>
        <v>2779</v>
      </c>
      <c r="H82" s="25"/>
      <c r="I82" s="75"/>
      <c r="K82" s="75"/>
    </row>
    <row r="83" spans="1:11" ht="27" customHeight="1" x14ac:dyDescent="0.4">
      <c r="A83" s="457" t="s">
        <v>446</v>
      </c>
      <c r="B83" s="606">
        <v>2137</v>
      </c>
      <c r="C83" s="606">
        <v>2500</v>
      </c>
      <c r="D83" s="606">
        <v>2500</v>
      </c>
      <c r="E83" s="606">
        <v>2863</v>
      </c>
      <c r="F83" s="606">
        <f>-84+1000</f>
        <v>916</v>
      </c>
      <c r="G83" s="606">
        <f t="shared" si="11"/>
        <v>3779</v>
      </c>
      <c r="H83" s="25"/>
      <c r="I83" s="75"/>
      <c r="K83" s="75"/>
    </row>
    <row r="84" spans="1:11" ht="27" customHeight="1" x14ac:dyDescent="0.4">
      <c r="A84" s="449" t="s">
        <v>7</v>
      </c>
      <c r="B84" s="607"/>
      <c r="C84" s="607"/>
      <c r="D84" s="607"/>
      <c r="E84" s="607"/>
      <c r="F84" s="607"/>
      <c r="G84" s="608"/>
      <c r="H84" s="239"/>
      <c r="I84" s="75"/>
      <c r="K84" s="75"/>
    </row>
    <row r="85" spans="1:11" ht="27" customHeight="1" x14ac:dyDescent="0.4">
      <c r="A85" s="455" t="s">
        <v>41</v>
      </c>
      <c r="B85" s="606">
        <v>52514</v>
      </c>
      <c r="C85" s="606">
        <v>15000</v>
      </c>
      <c r="D85" s="606">
        <v>15000</v>
      </c>
      <c r="E85" s="606">
        <v>68504</v>
      </c>
      <c r="F85" s="606">
        <v>1659</v>
      </c>
      <c r="G85" s="606">
        <f t="shared" si="11"/>
        <v>70163</v>
      </c>
      <c r="H85" s="25"/>
      <c r="I85" s="75"/>
      <c r="K85" s="75"/>
    </row>
    <row r="86" spans="1:11" ht="27" customHeight="1" x14ac:dyDescent="0.4">
      <c r="A86" s="467" t="s">
        <v>339</v>
      </c>
      <c r="B86" s="606">
        <v>475</v>
      </c>
      <c r="C86" s="606">
        <v>1500</v>
      </c>
      <c r="D86" s="606">
        <v>1500</v>
      </c>
      <c r="E86" s="606">
        <v>1500</v>
      </c>
      <c r="F86" s="606"/>
      <c r="G86" s="606">
        <f t="shared" si="11"/>
        <v>1500</v>
      </c>
      <c r="I86" s="75"/>
      <c r="K86" s="75"/>
    </row>
    <row r="87" spans="1:11" ht="27" customHeight="1" x14ac:dyDescent="0.4">
      <c r="A87" s="467" t="s">
        <v>468</v>
      </c>
      <c r="B87" s="606"/>
      <c r="C87" s="606">
        <v>0</v>
      </c>
      <c r="D87" s="606">
        <v>0</v>
      </c>
      <c r="E87" s="606">
        <v>350</v>
      </c>
      <c r="F87" s="606"/>
      <c r="G87" s="606">
        <f t="shared" si="11"/>
        <v>350</v>
      </c>
      <c r="I87" s="75"/>
      <c r="K87" s="75"/>
    </row>
    <row r="88" spans="1:11" ht="27" customHeight="1" x14ac:dyDescent="0.4">
      <c r="A88" s="467" t="s">
        <v>415</v>
      </c>
      <c r="B88" s="606">
        <v>1000</v>
      </c>
      <c r="C88" s="606">
        <v>0</v>
      </c>
      <c r="D88" s="606">
        <v>0</v>
      </c>
      <c r="E88" s="606">
        <v>350</v>
      </c>
      <c r="F88" s="606"/>
      <c r="G88" s="606">
        <f t="shared" si="11"/>
        <v>350</v>
      </c>
      <c r="I88" s="75"/>
      <c r="K88" s="75"/>
    </row>
    <row r="89" spans="1:11" ht="65.25" customHeight="1" x14ac:dyDescent="0.4">
      <c r="A89" s="467" t="s">
        <v>352</v>
      </c>
      <c r="B89" s="606">
        <v>4000</v>
      </c>
      <c r="C89" s="606">
        <v>4500</v>
      </c>
      <c r="D89" s="606">
        <v>4500</v>
      </c>
      <c r="E89" s="606">
        <v>4500</v>
      </c>
      <c r="F89" s="606"/>
      <c r="G89" s="606">
        <f t="shared" si="11"/>
        <v>4500</v>
      </c>
      <c r="I89" s="75"/>
      <c r="K89" s="75"/>
    </row>
    <row r="90" spans="1:11" ht="27" customHeight="1" x14ac:dyDescent="0.4">
      <c r="A90" s="463" t="s">
        <v>6</v>
      </c>
      <c r="B90" s="608"/>
      <c r="C90" s="608"/>
      <c r="D90" s="608"/>
      <c r="E90" s="608"/>
      <c r="F90" s="608"/>
      <c r="G90" s="608"/>
      <c r="I90" s="75"/>
      <c r="K90" s="75"/>
    </row>
    <row r="91" spans="1:11" ht="27" customHeight="1" x14ac:dyDescent="0.4">
      <c r="A91" s="455" t="s">
        <v>270</v>
      </c>
      <c r="B91" s="606">
        <v>5988</v>
      </c>
      <c r="C91" s="606">
        <v>0</v>
      </c>
      <c r="D91" s="606">
        <v>0</v>
      </c>
      <c r="E91" s="606">
        <v>5981</v>
      </c>
      <c r="F91" s="606">
        <v>9132</v>
      </c>
      <c r="G91" s="606">
        <f t="shared" si="11"/>
        <v>15113</v>
      </c>
      <c r="I91" s="75"/>
      <c r="K91" s="75"/>
    </row>
    <row r="92" spans="1:11" s="95" customFormat="1" ht="27" customHeight="1" thickBot="1" x14ac:dyDescent="0.45">
      <c r="A92" s="448" t="s">
        <v>201</v>
      </c>
      <c r="B92" s="562">
        <f t="shared" ref="B92:G92" si="12">SUM(B18:B91)</f>
        <v>7220537</v>
      </c>
      <c r="C92" s="562">
        <f t="shared" si="12"/>
        <v>6443786</v>
      </c>
      <c r="D92" s="562">
        <f t="shared" si="12"/>
        <v>6504302</v>
      </c>
      <c r="E92" s="562">
        <f t="shared" si="12"/>
        <v>6710410</v>
      </c>
      <c r="F92" s="562">
        <f t="shared" si="12"/>
        <v>261834</v>
      </c>
      <c r="G92" s="562">
        <f t="shared" si="12"/>
        <v>6972244</v>
      </c>
      <c r="I92" s="75"/>
      <c r="K92" s="75"/>
    </row>
    <row r="93" spans="1:11" ht="27" customHeight="1" x14ac:dyDescent="0.4">
      <c r="A93" s="468" t="s">
        <v>95</v>
      </c>
      <c r="B93" s="603"/>
      <c r="C93" s="603"/>
      <c r="D93" s="603"/>
      <c r="E93" s="603"/>
      <c r="F93" s="603"/>
      <c r="G93" s="603"/>
      <c r="I93" s="75"/>
      <c r="K93" s="75"/>
    </row>
    <row r="94" spans="1:11" ht="27" customHeight="1" x14ac:dyDescent="0.4">
      <c r="A94" s="469" t="s">
        <v>385</v>
      </c>
      <c r="B94" s="606"/>
      <c r="C94" s="606">
        <v>76672</v>
      </c>
      <c r="D94" s="606">
        <v>76672</v>
      </c>
      <c r="E94" s="606">
        <v>0</v>
      </c>
      <c r="F94" s="606"/>
      <c r="G94" s="606">
        <f>SUM(E94:F94)</f>
        <v>0</v>
      </c>
      <c r="H94" s="25"/>
      <c r="I94" s="75"/>
      <c r="K94" s="75"/>
    </row>
    <row r="95" spans="1:11" ht="27" customHeight="1" x14ac:dyDescent="0.4">
      <c r="A95" s="469" t="s">
        <v>491</v>
      </c>
      <c r="B95" s="606">
        <v>744</v>
      </c>
      <c r="C95" s="606"/>
      <c r="D95" s="606"/>
      <c r="E95" s="606">
        <v>22097</v>
      </c>
      <c r="F95" s="606"/>
      <c r="G95" s="606">
        <f t="shared" ref="G95:G104" si="13">SUM(E95:F95)</f>
        <v>22097</v>
      </c>
      <c r="H95" s="25"/>
      <c r="I95" s="75"/>
      <c r="K95" s="75"/>
    </row>
    <row r="96" spans="1:11" ht="27" customHeight="1" x14ac:dyDescent="0.4">
      <c r="A96" s="469" t="s">
        <v>490</v>
      </c>
      <c r="B96" s="606">
        <v>4340</v>
      </c>
      <c r="C96" s="606"/>
      <c r="D96" s="606"/>
      <c r="E96" s="606">
        <v>9278</v>
      </c>
      <c r="F96" s="606"/>
      <c r="G96" s="606">
        <f t="shared" si="13"/>
        <v>9278</v>
      </c>
      <c r="H96" s="25"/>
      <c r="I96" s="75"/>
      <c r="K96" s="75"/>
    </row>
    <row r="97" spans="1:11" ht="27" customHeight="1" x14ac:dyDescent="0.4">
      <c r="A97" s="470" t="s">
        <v>443</v>
      </c>
      <c r="B97" s="606">
        <v>1215</v>
      </c>
      <c r="C97" s="606"/>
      <c r="D97" s="606"/>
      <c r="E97" s="606">
        <v>15217</v>
      </c>
      <c r="F97" s="606"/>
      <c r="G97" s="606">
        <f t="shared" si="13"/>
        <v>15217</v>
      </c>
      <c r="H97" s="25"/>
      <c r="I97" s="75"/>
      <c r="K97" s="75"/>
    </row>
    <row r="98" spans="1:11" ht="44.25" customHeight="1" x14ac:dyDescent="0.4">
      <c r="A98" s="469" t="s">
        <v>501</v>
      </c>
      <c r="B98" s="606"/>
      <c r="C98" s="606"/>
      <c r="D98" s="606"/>
      <c r="E98" s="606">
        <v>2000</v>
      </c>
      <c r="F98" s="606"/>
      <c r="G98" s="606">
        <f t="shared" si="13"/>
        <v>2000</v>
      </c>
      <c r="H98" s="25"/>
      <c r="I98" s="75"/>
      <c r="K98" s="75"/>
    </row>
    <row r="99" spans="1:11" ht="27" customHeight="1" x14ac:dyDescent="0.4">
      <c r="A99" s="471" t="s">
        <v>460</v>
      </c>
      <c r="B99" s="606">
        <v>1618</v>
      </c>
      <c r="C99" s="606"/>
      <c r="D99" s="606"/>
      <c r="E99" s="606"/>
      <c r="F99" s="606"/>
      <c r="G99" s="606"/>
      <c r="H99" s="25"/>
      <c r="I99" s="75"/>
      <c r="K99" s="75"/>
    </row>
    <row r="100" spans="1:11" ht="27" customHeight="1" x14ac:dyDescent="0.4">
      <c r="A100" s="469" t="s">
        <v>502</v>
      </c>
      <c r="B100" s="606">
        <v>3371</v>
      </c>
      <c r="C100" s="606"/>
      <c r="D100" s="606"/>
      <c r="E100" s="606">
        <v>2249</v>
      </c>
      <c r="F100" s="606"/>
      <c r="G100" s="606">
        <f t="shared" si="13"/>
        <v>2249</v>
      </c>
      <c r="H100" s="25"/>
      <c r="I100" s="75"/>
      <c r="K100" s="75"/>
    </row>
    <row r="101" spans="1:11" ht="27" customHeight="1" x14ac:dyDescent="0.4">
      <c r="A101" s="469" t="s">
        <v>503</v>
      </c>
      <c r="B101" s="606">
        <v>1353</v>
      </c>
      <c r="C101" s="606"/>
      <c r="D101" s="606"/>
      <c r="E101" s="606">
        <v>5002</v>
      </c>
      <c r="F101" s="606"/>
      <c r="G101" s="606">
        <f t="shared" si="13"/>
        <v>5002</v>
      </c>
      <c r="H101" s="25"/>
      <c r="I101" s="75"/>
      <c r="K101" s="75"/>
    </row>
    <row r="102" spans="1:11" ht="27" customHeight="1" x14ac:dyDescent="0.4">
      <c r="A102" s="470" t="s">
        <v>440</v>
      </c>
      <c r="B102" s="606"/>
      <c r="C102" s="606"/>
      <c r="D102" s="606"/>
      <c r="E102" s="606">
        <v>20828</v>
      </c>
      <c r="F102" s="606"/>
      <c r="G102" s="606">
        <f t="shared" si="13"/>
        <v>20828</v>
      </c>
      <c r="H102" s="25"/>
      <c r="I102" s="75"/>
      <c r="K102" s="75"/>
    </row>
    <row r="103" spans="1:11" ht="39.75" customHeight="1" x14ac:dyDescent="0.4">
      <c r="A103" s="470" t="s">
        <v>671</v>
      </c>
      <c r="B103" s="606"/>
      <c r="C103" s="606"/>
      <c r="D103" s="606"/>
      <c r="E103" s="606">
        <v>1850</v>
      </c>
      <c r="F103" s="606">
        <v>35735</v>
      </c>
      <c r="G103" s="606">
        <f t="shared" si="13"/>
        <v>37585</v>
      </c>
      <c r="H103" s="25"/>
      <c r="I103" s="75"/>
      <c r="K103" s="75"/>
    </row>
    <row r="104" spans="1:11" ht="27" customHeight="1" x14ac:dyDescent="0.4">
      <c r="A104" s="470" t="s">
        <v>570</v>
      </c>
      <c r="B104" s="606"/>
      <c r="C104" s="606"/>
      <c r="D104" s="606"/>
      <c r="E104" s="606">
        <v>300</v>
      </c>
      <c r="F104" s="606"/>
      <c r="G104" s="606">
        <f t="shared" si="13"/>
        <v>300</v>
      </c>
      <c r="H104" s="25"/>
      <c r="I104" s="75"/>
      <c r="K104" s="75"/>
    </row>
    <row r="105" spans="1:11" s="95" customFormat="1" ht="27" customHeight="1" thickBot="1" x14ac:dyDescent="0.45">
      <c r="A105" s="448" t="s">
        <v>201</v>
      </c>
      <c r="B105" s="562">
        <f t="shared" ref="B105:G105" si="14">SUM(B94:B104)</f>
        <v>12641</v>
      </c>
      <c r="C105" s="562">
        <f t="shared" si="14"/>
        <v>76672</v>
      </c>
      <c r="D105" s="562">
        <f t="shared" si="14"/>
        <v>76672</v>
      </c>
      <c r="E105" s="562">
        <f t="shared" si="14"/>
        <v>78821</v>
      </c>
      <c r="F105" s="562">
        <f t="shared" si="14"/>
        <v>35735</v>
      </c>
      <c r="G105" s="562">
        <f t="shared" si="14"/>
        <v>114556</v>
      </c>
      <c r="I105" s="75"/>
      <c r="K105" s="75"/>
    </row>
    <row r="106" spans="1:11" s="95" customFormat="1" ht="27" customHeight="1" thickBot="1" x14ac:dyDescent="0.45">
      <c r="A106" s="472" t="s">
        <v>117</v>
      </c>
      <c r="B106" s="610">
        <f t="shared" ref="B106:G106" si="15">B16+B92+B105</f>
        <v>9386043</v>
      </c>
      <c r="C106" s="610">
        <f t="shared" si="15"/>
        <v>8335194</v>
      </c>
      <c r="D106" s="610">
        <f t="shared" si="15"/>
        <v>8395710</v>
      </c>
      <c r="E106" s="610">
        <f t="shared" si="15"/>
        <v>8643355</v>
      </c>
      <c r="F106" s="610">
        <f t="shared" si="15"/>
        <v>300706</v>
      </c>
      <c r="G106" s="610">
        <f t="shared" si="15"/>
        <v>8944061</v>
      </c>
      <c r="I106" s="75"/>
      <c r="K106" s="75"/>
    </row>
    <row r="107" spans="1:11" s="118" customFormat="1" ht="45.75" customHeight="1" thickBot="1" x14ac:dyDescent="0.45">
      <c r="A107" s="472" t="s">
        <v>289</v>
      </c>
      <c r="B107" s="610">
        <f t="shared" ref="B107:G107" si="16">B106+B8</f>
        <v>12623108</v>
      </c>
      <c r="C107" s="610">
        <f t="shared" si="16"/>
        <v>11678266</v>
      </c>
      <c r="D107" s="610">
        <f t="shared" si="16"/>
        <v>11738782</v>
      </c>
      <c r="E107" s="610">
        <f t="shared" si="16"/>
        <v>12222254</v>
      </c>
      <c r="F107" s="610">
        <f t="shared" si="16"/>
        <v>294224</v>
      </c>
      <c r="G107" s="610">
        <f t="shared" si="16"/>
        <v>12516478</v>
      </c>
      <c r="I107" s="75"/>
      <c r="K107" s="75"/>
    </row>
    <row r="108" spans="1:11" ht="27" customHeight="1" x14ac:dyDescent="0.3">
      <c r="A108" s="473"/>
      <c r="I108" s="75"/>
      <c r="K108" s="75"/>
    </row>
    <row r="109" spans="1:11" ht="27" customHeight="1" thickBot="1" x14ac:dyDescent="0.35">
      <c r="A109" s="114" t="s">
        <v>80</v>
      </c>
      <c r="B109" s="121"/>
      <c r="C109" s="121"/>
      <c r="D109" s="121"/>
      <c r="E109" s="121"/>
      <c r="F109" s="121"/>
      <c r="G109" s="122"/>
      <c r="I109" s="75"/>
      <c r="K109" s="75"/>
    </row>
    <row r="110" spans="1:11" ht="27" customHeight="1" x14ac:dyDescent="0.3">
      <c r="A110" s="474" t="s">
        <v>156</v>
      </c>
      <c r="B110" s="395" t="s">
        <v>695</v>
      </c>
      <c r="C110" s="395" t="s">
        <v>578</v>
      </c>
      <c r="D110" s="395" t="s">
        <v>554</v>
      </c>
      <c r="E110" s="395" t="s">
        <v>560</v>
      </c>
      <c r="F110" s="395" t="s">
        <v>553</v>
      </c>
      <c r="G110" s="395" t="s">
        <v>580</v>
      </c>
      <c r="I110" s="75"/>
      <c r="K110" s="75"/>
    </row>
    <row r="111" spans="1:11" ht="27" customHeight="1" thickBot="1" x14ac:dyDescent="0.35">
      <c r="A111" s="475"/>
      <c r="B111" s="397" t="s">
        <v>701</v>
      </c>
      <c r="C111" s="397" t="s">
        <v>335</v>
      </c>
      <c r="D111" s="397" t="s">
        <v>348</v>
      </c>
      <c r="E111" s="397" t="s">
        <v>348</v>
      </c>
      <c r="F111" s="397" t="s">
        <v>552</v>
      </c>
      <c r="G111" s="397" t="s">
        <v>348</v>
      </c>
      <c r="I111" s="75"/>
      <c r="K111" s="75"/>
    </row>
    <row r="112" spans="1:11" ht="27" customHeight="1" x14ac:dyDescent="0.4">
      <c r="A112" s="476" t="s">
        <v>467</v>
      </c>
      <c r="B112" s="611">
        <v>8940</v>
      </c>
      <c r="C112" s="611"/>
      <c r="D112" s="611">
        <v>0</v>
      </c>
      <c r="E112" s="611">
        <v>7732</v>
      </c>
      <c r="F112" s="611"/>
      <c r="G112" s="611">
        <f>SUM(E112:F112)</f>
        <v>7732</v>
      </c>
      <c r="H112" s="25"/>
      <c r="I112" s="75"/>
      <c r="K112" s="75"/>
    </row>
    <row r="113" spans="1:11" ht="27" customHeight="1" thickBot="1" x14ac:dyDescent="0.45">
      <c r="A113" s="455" t="s">
        <v>4</v>
      </c>
      <c r="B113" s="606">
        <v>147537</v>
      </c>
      <c r="C113" s="606">
        <v>72163</v>
      </c>
      <c r="D113" s="606">
        <v>72163</v>
      </c>
      <c r="E113" s="606">
        <v>93286</v>
      </c>
      <c r="F113" s="606">
        <f>12500</f>
        <v>12500</v>
      </c>
      <c r="G113" s="612">
        <f>SUM(E113:F113)</f>
        <v>105786</v>
      </c>
      <c r="H113" s="25"/>
      <c r="I113" s="75"/>
      <c r="K113" s="75"/>
    </row>
    <row r="114" spans="1:11" s="95" customFormat="1" ht="55.5" customHeight="1" thickBot="1" x14ac:dyDescent="0.45">
      <c r="A114" s="123" t="s">
        <v>288</v>
      </c>
      <c r="B114" s="613">
        <f t="shared" ref="B114:D114" si="17">SUM(B112:B113)</f>
        <v>156477</v>
      </c>
      <c r="C114" s="613">
        <f t="shared" si="17"/>
        <v>72163</v>
      </c>
      <c r="D114" s="613">
        <f t="shared" si="17"/>
        <v>72163</v>
      </c>
      <c r="E114" s="613">
        <f>SUM(E112:E113)</f>
        <v>101018</v>
      </c>
      <c r="F114" s="613">
        <f t="shared" ref="F114:G114" si="18">SUM(F112:F113)</f>
        <v>12500</v>
      </c>
      <c r="G114" s="613">
        <f t="shared" si="18"/>
        <v>113518</v>
      </c>
      <c r="I114" s="75"/>
      <c r="K114" s="75"/>
    </row>
    <row r="115" spans="1:11" ht="27" customHeight="1" thickBot="1" x14ac:dyDescent="0.45">
      <c r="A115" s="477"/>
      <c r="B115" s="614"/>
      <c r="C115" s="614"/>
      <c r="D115" s="614"/>
      <c r="E115" s="614"/>
      <c r="F115" s="614"/>
      <c r="G115" s="614"/>
      <c r="I115" s="75"/>
      <c r="K115" s="75"/>
    </row>
    <row r="116" spans="1:11" s="95" customFormat="1" ht="44.25" customHeight="1" thickBot="1" x14ac:dyDescent="0.45">
      <c r="A116" s="123" t="s">
        <v>290</v>
      </c>
      <c r="B116" s="613">
        <f t="shared" ref="B116:D116" si="19">B107+B114</f>
        <v>12779585</v>
      </c>
      <c r="C116" s="613">
        <f t="shared" si="19"/>
        <v>11750429</v>
      </c>
      <c r="D116" s="613">
        <f t="shared" si="19"/>
        <v>11810945</v>
      </c>
      <c r="E116" s="613">
        <f>E107+E114</f>
        <v>12323272</v>
      </c>
      <c r="F116" s="613">
        <f t="shared" ref="F116:G116" si="20">F107+F114</f>
        <v>306724</v>
      </c>
      <c r="G116" s="613">
        <f t="shared" si="20"/>
        <v>12629996</v>
      </c>
      <c r="I116" s="75"/>
      <c r="K116" s="75"/>
    </row>
    <row r="117" spans="1:11" ht="26.25" x14ac:dyDescent="0.4">
      <c r="B117" s="614"/>
      <c r="C117" s="614"/>
      <c r="D117" s="614"/>
      <c r="E117" s="614"/>
      <c r="F117" s="614"/>
      <c r="G117" s="615"/>
      <c r="I117" s="75"/>
      <c r="K117" s="75"/>
    </row>
    <row r="118" spans="1:11" ht="26.25" x14ac:dyDescent="0.4">
      <c r="A118" s="119" t="s">
        <v>72</v>
      </c>
      <c r="B118" s="614"/>
      <c r="C118" s="614"/>
      <c r="D118" s="614"/>
      <c r="E118" s="614"/>
      <c r="F118" s="614"/>
      <c r="G118" s="594"/>
      <c r="I118" s="75"/>
      <c r="K118" s="75"/>
    </row>
    <row r="119" spans="1:11" ht="26.25" x14ac:dyDescent="0.4">
      <c r="A119" s="119" t="s">
        <v>73</v>
      </c>
      <c r="B119" s="614"/>
      <c r="C119" s="614"/>
      <c r="D119" s="614"/>
      <c r="E119" s="614"/>
      <c r="F119" s="614"/>
      <c r="G119" s="615"/>
      <c r="I119" s="75"/>
      <c r="K119" s="75"/>
    </row>
    <row r="120" spans="1:11" ht="26.25" x14ac:dyDescent="0.4">
      <c r="B120" s="614"/>
      <c r="C120" s="614"/>
      <c r="D120" s="614"/>
      <c r="E120" s="614"/>
      <c r="F120" s="614"/>
      <c r="G120" s="615"/>
      <c r="I120" s="75"/>
      <c r="K120" s="75"/>
    </row>
    <row r="121" spans="1:11" ht="26.25" x14ac:dyDescent="0.4">
      <c r="B121" s="614"/>
      <c r="C121" s="614"/>
      <c r="D121" s="614"/>
      <c r="E121" s="614"/>
      <c r="F121" s="614"/>
      <c r="G121" s="615"/>
    </row>
    <row r="122" spans="1:11" ht="26.25" x14ac:dyDescent="0.4">
      <c r="B122" s="614"/>
      <c r="C122" s="614"/>
      <c r="D122" s="614"/>
      <c r="E122" s="614"/>
      <c r="F122" s="614"/>
      <c r="G122" s="615"/>
    </row>
    <row r="123" spans="1:11" ht="26.25" x14ac:dyDescent="0.4">
      <c r="B123" s="614"/>
      <c r="C123" s="614"/>
      <c r="D123" s="614"/>
      <c r="E123" s="614"/>
      <c r="F123" s="614"/>
      <c r="G123" s="615"/>
    </row>
    <row r="124" spans="1:11" ht="26.25" x14ac:dyDescent="0.4">
      <c r="B124" s="614"/>
      <c r="C124" s="614"/>
      <c r="D124" s="614"/>
      <c r="E124" s="614"/>
      <c r="F124" s="615"/>
      <c r="G124" s="615"/>
    </row>
    <row r="125" spans="1:11" ht="26.25" x14ac:dyDescent="0.4">
      <c r="B125" s="614"/>
      <c r="C125" s="614"/>
      <c r="D125" s="614"/>
      <c r="E125" s="614"/>
      <c r="F125" s="614"/>
      <c r="G125" s="615"/>
    </row>
  </sheetData>
  <customSheetViews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40" orientation="portrait" r:id="rId3"/>
  <headerFooter alignWithMargins="0">
    <oddHeader xml:space="preserve">&amp;R&amp;"-,Félkövér"&amp;12 
13. melléklet a 20/2025. (IX.30.) önkormányzati rendelethe&amp;"Times New Roman CE,Félkövér"z
"13. melléklet a 4/2025. (II.28) önkormányzati rendelethez"
</oddHeader>
  </headerFooter>
  <rowBreaks count="1" manualBreakCount="1">
    <brk id="68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8"/>
  <sheetViews>
    <sheetView zoomScale="124" zoomScaleNormal="124" workbookViewId="0">
      <selection activeCell="K13" sqref="K13"/>
    </sheetView>
  </sheetViews>
  <sheetFormatPr defaultRowHeight="15.75" x14ac:dyDescent="0.25"/>
  <cols>
    <col min="1" max="1" width="88.6640625" style="25" customWidth="1"/>
    <col min="2" max="2" width="23.83203125" style="25" customWidth="1"/>
    <col min="3" max="3" width="33.33203125" style="25" customWidth="1"/>
    <col min="4" max="4" width="35.5" style="25" customWidth="1"/>
    <col min="5" max="5" width="39.6640625" style="25" customWidth="1"/>
    <col min="6" max="6" width="28.33203125" style="25" customWidth="1"/>
    <col min="7" max="7" width="40.33203125" style="25" customWidth="1"/>
    <col min="8" max="8" width="11.33203125" style="25" bestFit="1" customWidth="1"/>
    <col min="9" max="9" width="9.33203125" style="25"/>
    <col min="10" max="10" width="22.83203125" style="25" customWidth="1"/>
    <col min="11" max="16384" width="9.33203125" style="25"/>
  </cols>
  <sheetData>
    <row r="1" spans="1:11" x14ac:dyDescent="0.25">
      <c r="A1" s="23"/>
      <c r="B1" s="23"/>
      <c r="C1" s="23"/>
      <c r="D1" s="23"/>
      <c r="E1" s="23"/>
      <c r="F1" s="23"/>
      <c r="G1" s="23"/>
    </row>
    <row r="2" spans="1:11" s="568" customFormat="1" ht="26.25" x14ac:dyDescent="0.4">
      <c r="A2" s="1021" t="s">
        <v>530</v>
      </c>
      <c r="B2" s="1021"/>
      <c r="C2" s="1021"/>
      <c r="D2" s="1021"/>
      <c r="E2" s="1021"/>
      <c r="F2" s="1021"/>
      <c r="G2" s="1021"/>
    </row>
    <row r="3" spans="1:11" x14ac:dyDescent="0.25">
      <c r="A3" s="29" t="s">
        <v>12</v>
      </c>
      <c r="B3" s="29"/>
      <c r="C3" s="29"/>
      <c r="D3" s="29"/>
      <c r="E3" s="29"/>
      <c r="F3" s="29"/>
      <c r="G3" s="29"/>
    </row>
    <row r="4" spans="1:11" ht="16.5" thickBot="1" x14ac:dyDescent="0.3">
      <c r="G4" s="69" t="s">
        <v>203</v>
      </c>
    </row>
    <row r="5" spans="1:11" ht="36" customHeight="1" x14ac:dyDescent="0.35">
      <c r="A5" s="441" t="s">
        <v>156</v>
      </c>
      <c r="B5" s="302" t="s">
        <v>695</v>
      </c>
      <c r="C5" s="302" t="s">
        <v>578</v>
      </c>
      <c r="D5" s="302" t="s">
        <v>554</v>
      </c>
      <c r="E5" s="302" t="s">
        <v>560</v>
      </c>
      <c r="F5" s="302" t="s">
        <v>553</v>
      </c>
      <c r="G5" s="302" t="s">
        <v>580</v>
      </c>
    </row>
    <row r="6" spans="1:11" ht="36.75" customHeight="1" thickBot="1" x14ac:dyDescent="0.4">
      <c r="A6" s="77"/>
      <c r="B6" s="398" t="s">
        <v>701</v>
      </c>
      <c r="C6" s="398" t="s">
        <v>335</v>
      </c>
      <c r="D6" s="398" t="s">
        <v>348</v>
      </c>
      <c r="E6" s="398" t="s">
        <v>348</v>
      </c>
      <c r="F6" s="398" t="s">
        <v>552</v>
      </c>
      <c r="G6" s="398" t="s">
        <v>348</v>
      </c>
    </row>
    <row r="7" spans="1:11" ht="30" customHeight="1" x14ac:dyDescent="0.4">
      <c r="A7" s="478" t="s">
        <v>529</v>
      </c>
      <c r="B7" s="559">
        <v>25308</v>
      </c>
      <c r="C7" s="559">
        <v>18500</v>
      </c>
      <c r="D7" s="559">
        <v>18500</v>
      </c>
      <c r="E7" s="559">
        <v>25881</v>
      </c>
      <c r="F7" s="559"/>
      <c r="G7" s="559">
        <f>SUM(E7:F7)</f>
        <v>25881</v>
      </c>
      <c r="J7" s="26"/>
      <c r="K7" s="26"/>
    </row>
    <row r="8" spans="1:11" ht="30" customHeight="1" x14ac:dyDescent="0.4">
      <c r="A8" s="430" t="s">
        <v>413</v>
      </c>
      <c r="B8" s="383">
        <v>6000</v>
      </c>
      <c r="C8" s="383">
        <v>4000</v>
      </c>
      <c r="D8" s="383">
        <v>4000</v>
      </c>
      <c r="E8" s="383">
        <v>4000</v>
      </c>
      <c r="F8" s="383">
        <v>6500</v>
      </c>
      <c r="G8" s="383">
        <f>SUM(E8:F8)</f>
        <v>10500</v>
      </c>
      <c r="J8" s="26"/>
      <c r="K8" s="26"/>
    </row>
    <row r="9" spans="1:11" ht="93" customHeight="1" x14ac:dyDescent="0.4">
      <c r="A9" s="430" t="s">
        <v>520</v>
      </c>
      <c r="B9" s="382">
        <v>18000</v>
      </c>
      <c r="C9" s="382">
        <v>9200</v>
      </c>
      <c r="D9" s="382">
        <v>9200</v>
      </c>
      <c r="E9" s="382">
        <v>9200</v>
      </c>
      <c r="F9" s="382"/>
      <c r="G9" s="383">
        <f t="shared" ref="G9:G27" si="0">SUM(E9:F9)</f>
        <v>9200</v>
      </c>
      <c r="J9" s="26"/>
      <c r="K9" s="26"/>
    </row>
    <row r="10" spans="1:11" ht="30" customHeight="1" x14ac:dyDescent="0.4">
      <c r="A10" s="479" t="s">
        <v>528</v>
      </c>
      <c r="B10" s="382">
        <v>480000</v>
      </c>
      <c r="C10" s="382">
        <v>420000</v>
      </c>
      <c r="D10" s="382">
        <v>420000</v>
      </c>
      <c r="E10" s="382">
        <v>420000</v>
      </c>
      <c r="F10" s="382">
        <v>85000</v>
      </c>
      <c r="G10" s="383">
        <f t="shared" si="0"/>
        <v>505000</v>
      </c>
      <c r="J10" s="26"/>
      <c r="K10" s="26"/>
    </row>
    <row r="11" spans="1:11" ht="47.25" customHeight="1" x14ac:dyDescent="0.4">
      <c r="A11" s="430" t="s">
        <v>527</v>
      </c>
      <c r="B11" s="383">
        <v>330000</v>
      </c>
      <c r="C11" s="383">
        <v>297000</v>
      </c>
      <c r="D11" s="383">
        <v>297000</v>
      </c>
      <c r="E11" s="383">
        <v>297000</v>
      </c>
      <c r="F11" s="383"/>
      <c r="G11" s="383">
        <f t="shared" si="0"/>
        <v>297000</v>
      </c>
      <c r="J11" s="26"/>
      <c r="K11" s="26"/>
    </row>
    <row r="12" spans="1:11" ht="30" customHeight="1" x14ac:dyDescent="0.4">
      <c r="A12" s="112" t="s">
        <v>628</v>
      </c>
      <c r="B12" s="382">
        <v>10000</v>
      </c>
      <c r="C12" s="382"/>
      <c r="D12" s="382"/>
      <c r="E12" s="382"/>
      <c r="F12" s="382"/>
      <c r="G12" s="383">
        <f t="shared" si="0"/>
        <v>0</v>
      </c>
      <c r="J12" s="26"/>
      <c r="K12" s="26"/>
    </row>
    <row r="13" spans="1:11" ht="30" customHeight="1" x14ac:dyDescent="0.4">
      <c r="A13" s="480" t="s">
        <v>268</v>
      </c>
      <c r="B13" s="382">
        <v>15000</v>
      </c>
      <c r="C13" s="382">
        <v>40000</v>
      </c>
      <c r="D13" s="382">
        <v>40000</v>
      </c>
      <c r="E13" s="382">
        <v>40000</v>
      </c>
      <c r="F13" s="382"/>
      <c r="G13" s="383">
        <f t="shared" si="0"/>
        <v>40000</v>
      </c>
      <c r="J13" s="26"/>
      <c r="K13" s="26"/>
    </row>
    <row r="14" spans="1:11" ht="30" customHeight="1" x14ac:dyDescent="0.4">
      <c r="A14" s="422" t="s">
        <v>383</v>
      </c>
      <c r="B14" s="383">
        <v>92637</v>
      </c>
      <c r="C14" s="383">
        <v>55500</v>
      </c>
      <c r="D14" s="383">
        <v>55500</v>
      </c>
      <c r="E14" s="383">
        <v>55500</v>
      </c>
      <c r="F14" s="383"/>
      <c r="G14" s="383">
        <f t="shared" si="0"/>
        <v>55500</v>
      </c>
      <c r="J14" s="26"/>
      <c r="K14" s="26"/>
    </row>
    <row r="15" spans="1:11" ht="30" customHeight="1" x14ac:dyDescent="0.4">
      <c r="A15" s="422" t="s">
        <v>532</v>
      </c>
      <c r="B15" s="383"/>
      <c r="C15" s="383">
        <v>50000</v>
      </c>
      <c r="D15" s="383">
        <v>50000</v>
      </c>
      <c r="E15" s="383">
        <v>58000</v>
      </c>
      <c r="F15" s="383">
        <v>40000</v>
      </c>
      <c r="G15" s="383">
        <f t="shared" si="0"/>
        <v>98000</v>
      </c>
      <c r="J15" s="26"/>
      <c r="K15" s="26"/>
    </row>
    <row r="16" spans="1:11" ht="54.75" customHeight="1" x14ac:dyDescent="0.4">
      <c r="A16" s="422" t="s">
        <v>526</v>
      </c>
      <c r="B16" s="383">
        <v>8268</v>
      </c>
      <c r="C16" s="383">
        <v>8268</v>
      </c>
      <c r="D16" s="383">
        <v>8268</v>
      </c>
      <c r="E16" s="383">
        <v>8268</v>
      </c>
      <c r="F16" s="383"/>
      <c r="G16" s="383">
        <f t="shared" si="0"/>
        <v>8268</v>
      </c>
      <c r="J16" s="26"/>
      <c r="K16" s="26"/>
    </row>
    <row r="17" spans="1:11" ht="52.5" customHeight="1" x14ac:dyDescent="0.4">
      <c r="A17" s="422" t="s">
        <v>525</v>
      </c>
      <c r="B17" s="383">
        <v>8220</v>
      </c>
      <c r="C17" s="383">
        <v>8220</v>
      </c>
      <c r="D17" s="383">
        <v>8220</v>
      </c>
      <c r="E17" s="383">
        <v>8220</v>
      </c>
      <c r="F17" s="383"/>
      <c r="G17" s="383">
        <f t="shared" si="0"/>
        <v>8220</v>
      </c>
      <c r="J17" s="26"/>
      <c r="K17" s="26"/>
    </row>
    <row r="18" spans="1:11" ht="50.25" customHeight="1" x14ac:dyDescent="0.4">
      <c r="A18" s="422" t="s">
        <v>408</v>
      </c>
      <c r="B18" s="401">
        <v>756</v>
      </c>
      <c r="C18" s="401">
        <v>200</v>
      </c>
      <c r="D18" s="401">
        <v>200</v>
      </c>
      <c r="E18" s="401">
        <v>200</v>
      </c>
      <c r="F18" s="401"/>
      <c r="G18" s="383">
        <f t="shared" si="0"/>
        <v>200</v>
      </c>
      <c r="J18" s="26"/>
      <c r="K18" s="26"/>
    </row>
    <row r="19" spans="1:11" ht="30" customHeight="1" x14ac:dyDescent="0.4">
      <c r="A19" s="422" t="s">
        <v>524</v>
      </c>
      <c r="B19" s="401">
        <v>5000</v>
      </c>
      <c r="C19" s="401">
        <v>5000</v>
      </c>
      <c r="D19" s="401">
        <v>5000</v>
      </c>
      <c r="E19" s="401">
        <v>5000</v>
      </c>
      <c r="F19" s="401"/>
      <c r="G19" s="383">
        <f t="shared" si="0"/>
        <v>5000</v>
      </c>
      <c r="J19" s="26"/>
      <c r="K19" s="26"/>
    </row>
    <row r="20" spans="1:11" ht="30" customHeight="1" x14ac:dyDescent="0.4">
      <c r="A20" s="481" t="s">
        <v>523</v>
      </c>
      <c r="B20" s="383">
        <v>1006</v>
      </c>
      <c r="C20" s="383">
        <v>1089</v>
      </c>
      <c r="D20" s="383">
        <v>1089</v>
      </c>
      <c r="E20" s="383">
        <v>1227</v>
      </c>
      <c r="F20" s="383"/>
      <c r="G20" s="383">
        <f t="shared" si="0"/>
        <v>1227</v>
      </c>
      <c r="J20" s="26"/>
      <c r="K20" s="26"/>
    </row>
    <row r="21" spans="1:11" ht="47.25" customHeight="1" x14ac:dyDescent="0.4">
      <c r="A21" s="421" t="s">
        <v>627</v>
      </c>
      <c r="B21" s="383">
        <v>40000</v>
      </c>
      <c r="C21" s="383"/>
      <c r="D21" s="383"/>
      <c r="E21" s="383"/>
      <c r="F21" s="383"/>
      <c r="G21" s="383">
        <f t="shared" si="0"/>
        <v>0</v>
      </c>
      <c r="J21" s="26"/>
      <c r="K21" s="26"/>
    </row>
    <row r="22" spans="1:11" ht="30" customHeight="1" x14ac:dyDescent="0.4">
      <c r="A22" s="481" t="s">
        <v>433</v>
      </c>
      <c r="B22" s="383">
        <v>1000</v>
      </c>
      <c r="C22" s="383">
        <v>1000</v>
      </c>
      <c r="D22" s="383">
        <v>1000</v>
      </c>
      <c r="E22" s="383">
        <v>1000</v>
      </c>
      <c r="F22" s="383"/>
      <c r="G22" s="383">
        <f t="shared" si="0"/>
        <v>1000</v>
      </c>
      <c r="J22" s="26"/>
      <c r="K22" s="26"/>
    </row>
    <row r="23" spans="1:11" ht="30" customHeight="1" x14ac:dyDescent="0.4">
      <c r="A23" s="112" t="s">
        <v>629</v>
      </c>
      <c r="B23" s="383">
        <v>5900</v>
      </c>
      <c r="C23" s="383"/>
      <c r="D23" s="383"/>
      <c r="E23" s="383"/>
      <c r="F23" s="383"/>
      <c r="G23" s="383">
        <f t="shared" si="0"/>
        <v>0</v>
      </c>
      <c r="J23" s="26"/>
      <c r="K23" s="26"/>
    </row>
    <row r="24" spans="1:11" ht="52.5" customHeight="1" x14ac:dyDescent="0.4">
      <c r="A24" s="430" t="s">
        <v>630</v>
      </c>
      <c r="B24" s="383">
        <v>2000</v>
      </c>
      <c r="C24" s="383"/>
      <c r="D24" s="383"/>
      <c r="E24" s="383"/>
      <c r="F24" s="383"/>
      <c r="G24" s="383">
        <f t="shared" si="0"/>
        <v>0</v>
      </c>
      <c r="J24" s="26"/>
      <c r="K24" s="26"/>
    </row>
    <row r="25" spans="1:11" ht="30" customHeight="1" x14ac:dyDescent="0.4">
      <c r="A25" s="481" t="s">
        <v>569</v>
      </c>
      <c r="B25" s="383">
        <v>30000</v>
      </c>
      <c r="C25" s="383"/>
      <c r="D25" s="383"/>
      <c r="E25" s="383">
        <v>7000</v>
      </c>
      <c r="F25" s="383"/>
      <c r="G25" s="383">
        <f t="shared" si="0"/>
        <v>7000</v>
      </c>
      <c r="J25" s="26"/>
      <c r="K25" s="26"/>
    </row>
    <row r="26" spans="1:11" ht="30" customHeight="1" x14ac:dyDescent="0.4">
      <c r="A26" s="481" t="s">
        <v>572</v>
      </c>
      <c r="B26" s="383">
        <v>12000</v>
      </c>
      <c r="C26" s="383"/>
      <c r="D26" s="383"/>
      <c r="E26" s="383">
        <v>58000</v>
      </c>
      <c r="F26" s="383">
        <v>10000</v>
      </c>
      <c r="G26" s="383">
        <f t="shared" si="0"/>
        <v>68000</v>
      </c>
      <c r="J26" s="26"/>
      <c r="K26" s="26"/>
    </row>
    <row r="27" spans="1:11" ht="30" customHeight="1" thickBot="1" x14ac:dyDescent="0.45">
      <c r="A27" s="481" t="s">
        <v>543</v>
      </c>
      <c r="B27" s="383"/>
      <c r="C27" s="383">
        <v>19000</v>
      </c>
      <c r="D27" s="383">
        <v>19000</v>
      </c>
      <c r="E27" s="383">
        <v>19000</v>
      </c>
      <c r="F27" s="383"/>
      <c r="G27" s="383">
        <f t="shared" si="0"/>
        <v>19000</v>
      </c>
      <c r="J27" s="26"/>
      <c r="K27" s="26"/>
    </row>
    <row r="28" spans="1:11" ht="30" customHeight="1" thickBot="1" x14ac:dyDescent="0.45">
      <c r="A28" s="92" t="s">
        <v>522</v>
      </c>
      <c r="B28" s="394">
        <f t="shared" ref="B28:D28" si="1">SUM(B7:B27)</f>
        <v>1091095</v>
      </c>
      <c r="C28" s="394">
        <f t="shared" si="1"/>
        <v>936977</v>
      </c>
      <c r="D28" s="394">
        <f t="shared" si="1"/>
        <v>936977</v>
      </c>
      <c r="E28" s="394">
        <f>SUM(E7:E27)</f>
        <v>1017496</v>
      </c>
      <c r="F28" s="394">
        <f t="shared" ref="F28:G28" si="2">SUM(F7:F27)</f>
        <v>141500</v>
      </c>
      <c r="G28" s="394">
        <f t="shared" si="2"/>
        <v>1158996</v>
      </c>
      <c r="J28" s="26"/>
      <c r="K28" s="26"/>
    </row>
    <row r="29" spans="1:11" ht="26.25" x14ac:dyDescent="0.4">
      <c r="B29" s="568"/>
      <c r="C29" s="568"/>
      <c r="D29" s="568"/>
      <c r="E29" s="568"/>
      <c r="F29" s="568"/>
      <c r="G29" s="568"/>
      <c r="J29" s="26"/>
      <c r="K29" s="26"/>
    </row>
    <row r="30" spans="1:11" ht="26.25" x14ac:dyDescent="0.4">
      <c r="A30" s="29" t="s">
        <v>72</v>
      </c>
      <c r="B30" s="565"/>
      <c r="C30" s="565"/>
      <c r="D30" s="565"/>
      <c r="E30" s="565"/>
      <c r="F30" s="565"/>
      <c r="G30" s="567"/>
      <c r="J30" s="26"/>
      <c r="K30" s="26"/>
    </row>
    <row r="31" spans="1:11" ht="26.25" x14ac:dyDescent="0.4">
      <c r="A31" s="29" t="s">
        <v>73</v>
      </c>
      <c r="B31" s="565"/>
      <c r="C31" s="565"/>
      <c r="D31" s="565"/>
      <c r="E31" s="565"/>
      <c r="F31" s="565"/>
      <c r="G31" s="565"/>
      <c r="J31" s="26"/>
    </row>
    <row r="32" spans="1:11" ht="26.25" x14ac:dyDescent="0.4">
      <c r="B32" s="568"/>
      <c r="C32" s="568"/>
      <c r="D32" s="568"/>
      <c r="E32" s="568"/>
      <c r="F32" s="568"/>
      <c r="G32" s="568"/>
    </row>
    <row r="33" spans="2:7" ht="26.25" x14ac:dyDescent="0.4">
      <c r="B33" s="568"/>
      <c r="C33" s="568"/>
      <c r="D33" s="568"/>
      <c r="E33" s="568"/>
      <c r="F33" s="568"/>
      <c r="G33" s="531"/>
    </row>
    <row r="34" spans="2:7" ht="26.25" x14ac:dyDescent="0.4">
      <c r="B34" s="568"/>
      <c r="C34" s="568"/>
      <c r="D34" s="568"/>
      <c r="E34" s="568"/>
      <c r="F34" s="568"/>
      <c r="G34" s="531"/>
    </row>
    <row r="35" spans="2:7" ht="26.25" x14ac:dyDescent="0.4">
      <c r="B35" s="568"/>
      <c r="C35" s="568"/>
      <c r="D35" s="568"/>
      <c r="E35" s="568"/>
      <c r="F35" s="568"/>
      <c r="G35" s="531"/>
    </row>
    <row r="36" spans="2:7" ht="26.25" x14ac:dyDescent="0.4">
      <c r="B36" s="568"/>
      <c r="C36" s="568"/>
      <c r="D36" s="568"/>
      <c r="E36" s="568"/>
      <c r="F36" s="568"/>
      <c r="G36" s="531"/>
    </row>
    <row r="37" spans="2:7" ht="26.25" x14ac:dyDescent="0.4">
      <c r="B37" s="568"/>
      <c r="C37" s="568"/>
      <c r="D37" s="568"/>
      <c r="E37" s="568"/>
      <c r="F37" s="568"/>
      <c r="G37" s="566"/>
    </row>
    <row r="38" spans="2:7" ht="26.25" x14ac:dyDescent="0.4">
      <c r="B38" s="568"/>
      <c r="C38" s="568"/>
      <c r="D38" s="568"/>
      <c r="E38" s="568"/>
      <c r="F38" s="568"/>
      <c r="G38" s="531"/>
    </row>
    <row r="39" spans="2:7" ht="26.25" x14ac:dyDescent="0.4">
      <c r="B39" s="568"/>
      <c r="C39" s="568"/>
      <c r="D39" s="568"/>
      <c r="E39" s="568"/>
      <c r="F39" s="568"/>
      <c r="G39" s="531"/>
    </row>
    <row r="40" spans="2:7" ht="26.25" x14ac:dyDescent="0.4">
      <c r="B40" s="568"/>
      <c r="C40" s="568"/>
      <c r="D40" s="568"/>
      <c r="E40" s="568"/>
      <c r="F40" s="568"/>
      <c r="G40" s="531"/>
    </row>
    <row r="41" spans="2:7" ht="26.25" x14ac:dyDescent="0.4">
      <c r="B41" s="568"/>
      <c r="C41" s="568"/>
      <c r="D41" s="568"/>
      <c r="E41" s="568"/>
      <c r="F41" s="568"/>
      <c r="G41" s="531"/>
    </row>
    <row r="42" spans="2:7" ht="26.25" x14ac:dyDescent="0.4">
      <c r="B42" s="568"/>
      <c r="C42" s="568"/>
      <c r="D42" s="568"/>
      <c r="E42" s="568"/>
      <c r="F42" s="568"/>
      <c r="G42" s="568"/>
    </row>
    <row r="43" spans="2:7" ht="26.25" x14ac:dyDescent="0.4">
      <c r="B43" s="568"/>
      <c r="C43" s="568"/>
      <c r="D43" s="568"/>
      <c r="E43" s="568"/>
      <c r="F43" s="568"/>
      <c r="G43" s="568"/>
    </row>
    <row r="44" spans="2:7" x14ac:dyDescent="0.25">
      <c r="G44" s="26"/>
    </row>
    <row r="48" spans="2:7" x14ac:dyDescent="0.25">
      <c r="G48" s="242"/>
    </row>
  </sheetData>
  <mergeCells count="1">
    <mergeCell ref="A2:G2"/>
  </mergeCells>
  <printOptions horizontalCentered="1" verticalCentered="1"/>
  <pageMargins left="0.59055118110236227" right="0.59055118110236227" top="0" bottom="0" header="0.51181102362204722" footer="0.51181102362204722"/>
  <pageSetup paperSize="9" scale="43" orientation="portrait" r:id="rId1"/>
  <headerFooter alignWithMargins="0">
    <oddHeader xml:space="preserve">&amp;R&amp;"-,Félkövér"&amp;12 14. melléklet a 20/2025. (IX.30.) önkormányzati rendelethez
"14. melléklet a 4/2025. (II.28) önkormányzati rendelethez"
&amp;"Times New Roman CE,Félkövér"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8"/>
  <dimension ref="A1:P54"/>
  <sheetViews>
    <sheetView zoomScale="87" zoomScaleNormal="87" workbookViewId="0">
      <selection activeCell="K13" sqref="K13"/>
    </sheetView>
  </sheetViews>
  <sheetFormatPr defaultRowHeight="23.25" x14ac:dyDescent="0.35"/>
  <cols>
    <col min="1" max="1" width="141.33203125" style="25" bestFit="1" customWidth="1"/>
    <col min="2" max="2" width="30.1640625" style="25" customWidth="1"/>
    <col min="3" max="3" width="38.83203125" style="25" customWidth="1"/>
    <col min="4" max="4" width="41.33203125" style="25" customWidth="1"/>
    <col min="5" max="5" width="38.83203125" style="25" customWidth="1"/>
    <col min="6" max="6" width="31.33203125" style="25" customWidth="1"/>
    <col min="7" max="7" width="39.1640625" style="25" customWidth="1"/>
    <col min="8" max="8" width="9.33203125" style="25"/>
    <col min="9" max="9" width="14.83203125" style="25" customWidth="1"/>
    <col min="10" max="15" width="9.33203125" style="25"/>
    <col min="16" max="16" width="38" style="124" customWidth="1"/>
    <col min="17" max="16384" width="9.33203125" style="25"/>
  </cols>
  <sheetData>
    <row r="1" spans="1:16" x14ac:dyDescent="0.35">
      <c r="A1" s="23"/>
      <c r="B1" s="23"/>
      <c r="C1" s="23"/>
      <c r="D1" s="23"/>
      <c r="E1" s="23"/>
      <c r="F1" s="23"/>
      <c r="G1" s="23"/>
    </row>
    <row r="2" spans="1:16" s="568" customFormat="1" ht="26.25" x14ac:dyDescent="0.4">
      <c r="A2" s="1021" t="s">
        <v>90</v>
      </c>
      <c r="B2" s="1021"/>
      <c r="C2" s="1021"/>
      <c r="D2" s="1021"/>
      <c r="E2" s="1021"/>
      <c r="F2" s="1021"/>
      <c r="G2" s="1021"/>
      <c r="P2" s="531"/>
    </row>
    <row r="3" spans="1:16" x14ac:dyDescent="0.35">
      <c r="B3" s="23"/>
      <c r="C3" s="23"/>
      <c r="D3" s="23"/>
      <c r="E3" s="23"/>
      <c r="F3" s="23"/>
      <c r="G3" s="23"/>
    </row>
    <row r="4" spans="1:16" ht="24" thickBot="1" x14ac:dyDescent="0.4">
      <c r="A4" s="27"/>
      <c r="G4" s="125" t="s">
        <v>203</v>
      </c>
    </row>
    <row r="5" spans="1:16" s="10" customFormat="1" ht="32.1" customHeight="1" x14ac:dyDescent="0.35">
      <c r="A5" s="483" t="s">
        <v>156</v>
      </c>
      <c r="B5" s="306" t="s">
        <v>695</v>
      </c>
      <c r="C5" s="306" t="s">
        <v>578</v>
      </c>
      <c r="D5" s="306" t="s">
        <v>554</v>
      </c>
      <c r="E5" s="306" t="s">
        <v>560</v>
      </c>
      <c r="F5" s="306" t="s">
        <v>553</v>
      </c>
      <c r="G5" s="306" t="s">
        <v>580</v>
      </c>
      <c r="P5" s="482"/>
    </row>
    <row r="6" spans="1:16" s="10" customFormat="1" ht="32.1" customHeight="1" thickBot="1" x14ac:dyDescent="0.4">
      <c r="A6" s="484"/>
      <c r="B6" s="398" t="s">
        <v>701</v>
      </c>
      <c r="C6" s="398" t="s">
        <v>335</v>
      </c>
      <c r="D6" s="398" t="s">
        <v>348</v>
      </c>
      <c r="E6" s="398" t="s">
        <v>348</v>
      </c>
      <c r="F6" s="398" t="s">
        <v>552</v>
      </c>
      <c r="G6" s="398" t="s">
        <v>348</v>
      </c>
      <c r="P6" s="482"/>
    </row>
    <row r="7" spans="1:16" s="10" customFormat="1" ht="32.1" customHeight="1" x14ac:dyDescent="0.4">
      <c r="A7" s="485" t="s">
        <v>351</v>
      </c>
      <c r="B7" s="616">
        <v>364292</v>
      </c>
      <c r="C7" s="616">
        <v>300000</v>
      </c>
      <c r="D7" s="616">
        <v>300000</v>
      </c>
      <c r="E7" s="616">
        <v>374871</v>
      </c>
      <c r="F7" s="616"/>
      <c r="G7" s="616">
        <f>SUM(E7:F7)</f>
        <v>374871</v>
      </c>
      <c r="I7" s="482"/>
      <c r="K7" s="482"/>
      <c r="P7" s="482"/>
    </row>
    <row r="8" spans="1:16" s="10" customFormat="1" ht="32.1" customHeight="1" x14ac:dyDescent="0.4">
      <c r="A8" s="487" t="s">
        <v>521</v>
      </c>
      <c r="B8" s="616">
        <v>514296</v>
      </c>
      <c r="C8" s="616">
        <v>500000</v>
      </c>
      <c r="D8" s="616">
        <v>500000</v>
      </c>
      <c r="E8" s="616">
        <v>581015</v>
      </c>
      <c r="F8" s="616"/>
      <c r="G8" s="616">
        <f t="shared" ref="G8:G11" si="0">SUM(E8:F8)</f>
        <v>581015</v>
      </c>
      <c r="I8" s="482"/>
      <c r="K8" s="482"/>
      <c r="P8" s="482"/>
    </row>
    <row r="9" spans="1:16" s="10" customFormat="1" ht="32.1" customHeight="1" x14ac:dyDescent="0.4">
      <c r="A9" s="487" t="s">
        <v>300</v>
      </c>
      <c r="B9" s="616">
        <v>1915</v>
      </c>
      <c r="C9" s="616">
        <v>5000</v>
      </c>
      <c r="D9" s="616">
        <v>5000</v>
      </c>
      <c r="E9" s="616">
        <v>7985</v>
      </c>
      <c r="F9" s="616"/>
      <c r="G9" s="616">
        <f t="shared" si="0"/>
        <v>7985</v>
      </c>
      <c r="I9" s="482"/>
      <c r="K9" s="482"/>
      <c r="P9" s="482"/>
    </row>
    <row r="10" spans="1:16" s="10" customFormat="1" ht="32.1" customHeight="1" x14ac:dyDescent="0.4">
      <c r="A10" s="487" t="s">
        <v>74</v>
      </c>
      <c r="B10" s="616"/>
      <c r="C10" s="616"/>
      <c r="D10" s="616"/>
      <c r="E10" s="616">
        <v>3933</v>
      </c>
      <c r="F10" s="616"/>
      <c r="G10" s="616">
        <f t="shared" si="0"/>
        <v>3933</v>
      </c>
      <c r="I10" s="482"/>
      <c r="K10" s="482"/>
      <c r="P10" s="482"/>
    </row>
    <row r="11" spans="1:16" s="10" customFormat="1" ht="32.1" customHeight="1" x14ac:dyDescent="0.4">
      <c r="A11" s="488" t="s">
        <v>384</v>
      </c>
      <c r="B11" s="616">
        <v>797994</v>
      </c>
      <c r="C11" s="616">
        <v>550000</v>
      </c>
      <c r="D11" s="616">
        <v>550000</v>
      </c>
      <c r="E11" s="616">
        <v>591662</v>
      </c>
      <c r="F11" s="616">
        <v>17500</v>
      </c>
      <c r="G11" s="616">
        <f t="shared" si="0"/>
        <v>609162</v>
      </c>
      <c r="I11" s="482"/>
      <c r="K11" s="482"/>
      <c r="P11" s="482"/>
    </row>
    <row r="12" spans="1:16" s="10" customFormat="1" ht="32.1" customHeight="1" x14ac:dyDescent="0.4">
      <c r="A12" s="489" t="s">
        <v>451</v>
      </c>
      <c r="B12" s="542">
        <v>22904</v>
      </c>
      <c r="C12" s="542">
        <v>11000</v>
      </c>
      <c r="D12" s="542">
        <v>11000</v>
      </c>
      <c r="E12" s="542">
        <v>11000</v>
      </c>
      <c r="F12" s="542"/>
      <c r="G12" s="542">
        <f>SUM(E12:F12)</f>
        <v>11000</v>
      </c>
      <c r="I12" s="482"/>
      <c r="K12" s="482"/>
      <c r="P12" s="482"/>
    </row>
    <row r="13" spans="1:16" s="10" customFormat="1" ht="32.1" customHeight="1" x14ac:dyDescent="0.4">
      <c r="A13" s="488" t="s">
        <v>364</v>
      </c>
      <c r="B13" s="616">
        <v>1237</v>
      </c>
      <c r="C13" s="616">
        <v>1200</v>
      </c>
      <c r="D13" s="616">
        <v>1200</v>
      </c>
      <c r="E13" s="616">
        <v>1200</v>
      </c>
      <c r="F13" s="616"/>
      <c r="G13" s="616">
        <f>SUM(E13:F13)</f>
        <v>1200</v>
      </c>
      <c r="I13" s="482"/>
      <c r="K13" s="482"/>
      <c r="P13" s="482"/>
    </row>
    <row r="14" spans="1:16" s="10" customFormat="1" ht="32.1" customHeight="1" x14ac:dyDescent="0.4">
      <c r="A14" s="488" t="s">
        <v>83</v>
      </c>
      <c r="B14" s="616"/>
      <c r="C14" s="616">
        <v>2600</v>
      </c>
      <c r="D14" s="616">
        <v>2600</v>
      </c>
      <c r="E14" s="616">
        <v>7136</v>
      </c>
      <c r="F14" s="616"/>
      <c r="G14" s="616">
        <f t="shared" ref="G14:G19" si="1">SUM(E14:F14)</f>
        <v>7136</v>
      </c>
      <c r="I14" s="482"/>
      <c r="K14" s="482"/>
      <c r="P14" s="482"/>
    </row>
    <row r="15" spans="1:16" s="10" customFormat="1" ht="32.1" customHeight="1" x14ac:dyDescent="0.4">
      <c r="A15" s="488" t="s">
        <v>114</v>
      </c>
      <c r="B15" s="616">
        <v>2689</v>
      </c>
      <c r="C15" s="616">
        <v>3000</v>
      </c>
      <c r="D15" s="616">
        <v>3000</v>
      </c>
      <c r="E15" s="616">
        <v>5860</v>
      </c>
      <c r="F15" s="616"/>
      <c r="G15" s="616">
        <f t="shared" si="1"/>
        <v>5860</v>
      </c>
      <c r="I15" s="482"/>
      <c r="K15" s="482"/>
      <c r="P15" s="482"/>
    </row>
    <row r="16" spans="1:16" s="10" customFormat="1" ht="32.1" customHeight="1" x14ac:dyDescent="0.4">
      <c r="A16" s="488" t="s">
        <v>340</v>
      </c>
      <c r="B16" s="616">
        <v>5563</v>
      </c>
      <c r="C16" s="616">
        <v>6500</v>
      </c>
      <c r="D16" s="616">
        <v>6500</v>
      </c>
      <c r="E16" s="616">
        <v>7437</v>
      </c>
      <c r="F16" s="616"/>
      <c r="G16" s="616">
        <f t="shared" si="1"/>
        <v>7437</v>
      </c>
      <c r="I16" s="482"/>
      <c r="K16" s="482"/>
      <c r="P16" s="482"/>
    </row>
    <row r="17" spans="1:16" s="10" customFormat="1" ht="32.1" customHeight="1" x14ac:dyDescent="0.4">
      <c r="A17" s="488" t="s">
        <v>183</v>
      </c>
      <c r="B17" s="616">
        <v>13084</v>
      </c>
      <c r="C17" s="616">
        <v>4000</v>
      </c>
      <c r="D17" s="616">
        <v>4000</v>
      </c>
      <c r="E17" s="616">
        <v>4000</v>
      </c>
      <c r="F17" s="616"/>
      <c r="G17" s="616">
        <f t="shared" si="1"/>
        <v>4000</v>
      </c>
      <c r="I17" s="482"/>
      <c r="K17" s="482"/>
      <c r="P17" s="482"/>
    </row>
    <row r="18" spans="1:16" s="10" customFormat="1" ht="32.1" customHeight="1" x14ac:dyDescent="0.4">
      <c r="A18" s="488" t="s">
        <v>43</v>
      </c>
      <c r="B18" s="616">
        <v>69202</v>
      </c>
      <c r="C18" s="616">
        <v>66000</v>
      </c>
      <c r="D18" s="616">
        <v>66000</v>
      </c>
      <c r="E18" s="616">
        <v>78654</v>
      </c>
      <c r="F18" s="616"/>
      <c r="G18" s="616">
        <f t="shared" si="1"/>
        <v>78654</v>
      </c>
      <c r="I18" s="482"/>
      <c r="K18" s="482"/>
      <c r="P18" s="482"/>
    </row>
    <row r="19" spans="1:16" s="10" customFormat="1" ht="32.1" customHeight="1" x14ac:dyDescent="0.4">
      <c r="A19" s="488" t="s">
        <v>674</v>
      </c>
      <c r="B19" s="616">
        <v>20000</v>
      </c>
      <c r="C19" s="616"/>
      <c r="D19" s="616"/>
      <c r="E19" s="616"/>
      <c r="F19" s="616"/>
      <c r="G19" s="616">
        <f t="shared" si="1"/>
        <v>0</v>
      </c>
      <c r="I19" s="482"/>
      <c r="K19" s="482"/>
      <c r="P19" s="482"/>
    </row>
    <row r="20" spans="1:16" s="10" customFormat="1" ht="60" customHeight="1" x14ac:dyDescent="0.4">
      <c r="A20" s="438" t="s">
        <v>493</v>
      </c>
      <c r="B20" s="542">
        <v>28632</v>
      </c>
      <c r="C20" s="542">
        <v>28632</v>
      </c>
      <c r="D20" s="542">
        <v>28632</v>
      </c>
      <c r="E20" s="542">
        <v>28632</v>
      </c>
      <c r="F20" s="542"/>
      <c r="G20" s="542">
        <f>SUM(E20:F20)</f>
        <v>28632</v>
      </c>
      <c r="I20" s="482"/>
      <c r="K20" s="482"/>
      <c r="P20" s="482"/>
    </row>
    <row r="21" spans="1:16" s="10" customFormat="1" ht="32.1" customHeight="1" thickBot="1" x14ac:dyDescent="0.45">
      <c r="A21" s="490" t="s">
        <v>685</v>
      </c>
      <c r="B21" s="546"/>
      <c r="C21" s="546"/>
      <c r="D21" s="546"/>
      <c r="E21" s="546"/>
      <c r="F21" s="546">
        <v>92470</v>
      </c>
      <c r="G21" s="542">
        <f>SUM(E21:F21)</f>
        <v>92470</v>
      </c>
      <c r="I21" s="482"/>
      <c r="K21" s="482"/>
      <c r="P21" s="482"/>
    </row>
    <row r="22" spans="1:16" s="10" customFormat="1" ht="32.1" customHeight="1" thickBot="1" x14ac:dyDescent="0.45">
      <c r="A22" s="491" t="s">
        <v>91</v>
      </c>
      <c r="B22" s="617">
        <f>SUM(B7:B21)</f>
        <v>1841808</v>
      </c>
      <c r="C22" s="617">
        <f t="shared" ref="C22:G22" si="2">SUM(C7:C21)</f>
        <v>1477932</v>
      </c>
      <c r="D22" s="617">
        <f t="shared" si="2"/>
        <v>1477932</v>
      </c>
      <c r="E22" s="617">
        <f t="shared" si="2"/>
        <v>1703385</v>
      </c>
      <c r="F22" s="617">
        <f t="shared" si="2"/>
        <v>109970</v>
      </c>
      <c r="G22" s="617">
        <f t="shared" si="2"/>
        <v>1813355</v>
      </c>
      <c r="I22" s="482"/>
      <c r="K22" s="482"/>
      <c r="P22" s="482"/>
    </row>
    <row r="23" spans="1:16" s="10" customFormat="1" ht="32.1" customHeight="1" x14ac:dyDescent="0.4">
      <c r="A23" s="315" t="s">
        <v>92</v>
      </c>
      <c r="B23" s="618">
        <v>360</v>
      </c>
      <c r="C23" s="618">
        <v>1000</v>
      </c>
      <c r="D23" s="618">
        <v>1000</v>
      </c>
      <c r="E23" s="618">
        <v>1460</v>
      </c>
      <c r="F23" s="618"/>
      <c r="G23" s="618">
        <f>SUM(E23:F23)</f>
        <v>1460</v>
      </c>
      <c r="I23" s="482"/>
      <c r="K23" s="482"/>
      <c r="P23" s="482"/>
    </row>
    <row r="24" spans="1:16" s="10" customFormat="1" ht="32.1" customHeight="1" x14ac:dyDescent="0.4">
      <c r="A24" s="438" t="s">
        <v>452</v>
      </c>
      <c r="B24" s="545">
        <v>2497</v>
      </c>
      <c r="C24" s="545">
        <v>5000</v>
      </c>
      <c r="D24" s="545">
        <v>5000</v>
      </c>
      <c r="E24" s="545">
        <v>9997</v>
      </c>
      <c r="F24" s="542"/>
      <c r="G24" s="542">
        <f t="shared" ref="G24:G27" si="3">SUM(E24:F24)</f>
        <v>9997</v>
      </c>
      <c r="I24" s="482"/>
      <c r="K24" s="482"/>
      <c r="P24" s="482"/>
    </row>
    <row r="25" spans="1:16" s="10" customFormat="1" ht="32.1" customHeight="1" x14ac:dyDescent="0.4">
      <c r="A25" s="438" t="s">
        <v>251</v>
      </c>
      <c r="B25" s="619">
        <v>2553</v>
      </c>
      <c r="C25" s="619">
        <v>1900</v>
      </c>
      <c r="D25" s="619">
        <v>1900</v>
      </c>
      <c r="E25" s="619">
        <v>1900</v>
      </c>
      <c r="F25" s="542"/>
      <c r="G25" s="542">
        <f t="shared" si="3"/>
        <v>1900</v>
      </c>
      <c r="I25" s="482"/>
      <c r="K25" s="482"/>
      <c r="P25" s="482"/>
    </row>
    <row r="26" spans="1:16" s="10" customFormat="1" ht="32.1" customHeight="1" x14ac:dyDescent="0.4">
      <c r="A26" s="492" t="s">
        <v>631</v>
      </c>
      <c r="B26" s="619">
        <v>2159</v>
      </c>
      <c r="C26" s="619"/>
      <c r="D26" s="619"/>
      <c r="E26" s="619"/>
      <c r="F26" s="546"/>
      <c r="G26" s="546"/>
      <c r="I26" s="482"/>
      <c r="K26" s="482"/>
      <c r="P26" s="482"/>
    </row>
    <row r="27" spans="1:16" s="10" customFormat="1" ht="32.1" customHeight="1" thickBot="1" x14ac:dyDescent="0.45">
      <c r="A27" s="493" t="s">
        <v>494</v>
      </c>
      <c r="B27" s="619"/>
      <c r="C27" s="619"/>
      <c r="D27" s="619"/>
      <c r="E27" s="619">
        <v>2915</v>
      </c>
      <c r="F27" s="546"/>
      <c r="G27" s="546">
        <f t="shared" si="3"/>
        <v>2915</v>
      </c>
      <c r="I27" s="482"/>
      <c r="K27" s="482"/>
      <c r="P27" s="482"/>
    </row>
    <row r="28" spans="1:16" s="10" customFormat="1" ht="32.1" customHeight="1" thickBot="1" x14ac:dyDescent="0.45">
      <c r="A28" s="375" t="s">
        <v>563</v>
      </c>
      <c r="B28" s="620">
        <f t="shared" ref="B28:G28" si="4">SUM(B23:B27)</f>
        <v>7569</v>
      </c>
      <c r="C28" s="620">
        <f t="shared" si="4"/>
        <v>7900</v>
      </c>
      <c r="D28" s="620">
        <f t="shared" si="4"/>
        <v>7900</v>
      </c>
      <c r="E28" s="620">
        <f t="shared" si="4"/>
        <v>16272</v>
      </c>
      <c r="F28" s="620">
        <f t="shared" si="4"/>
        <v>0</v>
      </c>
      <c r="G28" s="620">
        <f t="shared" si="4"/>
        <v>16272</v>
      </c>
      <c r="I28" s="482"/>
      <c r="K28" s="482"/>
      <c r="P28" s="482"/>
    </row>
    <row r="29" spans="1:16" s="10" customFormat="1" ht="32.1" customHeight="1" thickBot="1" x14ac:dyDescent="0.45">
      <c r="A29" s="494" t="s">
        <v>291</v>
      </c>
      <c r="B29" s="549">
        <f t="shared" ref="B29:G29" si="5">B22+B28</f>
        <v>1849377</v>
      </c>
      <c r="C29" s="549">
        <f t="shared" si="5"/>
        <v>1485832</v>
      </c>
      <c r="D29" s="549">
        <f t="shared" si="5"/>
        <v>1485832</v>
      </c>
      <c r="E29" s="549">
        <f t="shared" si="5"/>
        <v>1719657</v>
      </c>
      <c r="F29" s="549">
        <f t="shared" si="5"/>
        <v>109970</v>
      </c>
      <c r="G29" s="549">
        <f t="shared" si="5"/>
        <v>1829627</v>
      </c>
      <c r="I29" s="482"/>
      <c r="K29" s="482"/>
      <c r="P29" s="482"/>
    </row>
    <row r="30" spans="1:16" ht="26.25" x14ac:dyDescent="0.4">
      <c r="B30" s="568"/>
      <c r="C30" s="568"/>
      <c r="D30" s="568"/>
      <c r="E30" s="568"/>
      <c r="F30" s="568"/>
      <c r="G30" s="568"/>
      <c r="K30" s="26"/>
    </row>
    <row r="31" spans="1:16" ht="26.25" x14ac:dyDescent="0.4">
      <c r="B31" s="568"/>
      <c r="C31" s="568"/>
      <c r="D31" s="568"/>
      <c r="E31" s="568"/>
      <c r="F31" s="568"/>
      <c r="G31" s="568"/>
    </row>
    <row r="32" spans="1:16" ht="26.25" x14ac:dyDescent="0.4">
      <c r="A32" s="29" t="s">
        <v>72</v>
      </c>
      <c r="B32" s="568"/>
      <c r="C32" s="568"/>
      <c r="D32" s="568"/>
      <c r="E32" s="568"/>
      <c r="F32" s="568"/>
      <c r="G32" s="621"/>
    </row>
    <row r="33" spans="1:7" ht="26.25" x14ac:dyDescent="0.4">
      <c r="A33" s="29" t="s">
        <v>73</v>
      </c>
      <c r="B33" s="568"/>
      <c r="C33" s="568"/>
      <c r="D33" s="568"/>
      <c r="E33" s="568"/>
      <c r="F33" s="568"/>
      <c r="G33" s="568"/>
    </row>
    <row r="34" spans="1:7" ht="26.25" x14ac:dyDescent="0.4">
      <c r="B34" s="568"/>
      <c r="C34" s="568"/>
      <c r="D34" s="568"/>
      <c r="E34" s="568"/>
      <c r="F34" s="568"/>
      <c r="G34" s="568"/>
    </row>
    <row r="35" spans="1:7" ht="26.25" x14ac:dyDescent="0.4">
      <c r="B35" s="568"/>
      <c r="C35" s="568"/>
      <c r="D35" s="568"/>
      <c r="E35" s="568"/>
      <c r="F35" s="568"/>
      <c r="G35" s="568"/>
    </row>
    <row r="36" spans="1:7" ht="26.25" x14ac:dyDescent="0.4">
      <c r="B36" s="568"/>
      <c r="C36" s="568"/>
      <c r="D36" s="568"/>
      <c r="E36" s="568"/>
      <c r="F36" s="568"/>
      <c r="G36" s="568"/>
    </row>
    <row r="37" spans="1:7" ht="26.25" x14ac:dyDescent="0.4">
      <c r="B37" s="568"/>
      <c r="C37" s="568"/>
      <c r="D37" s="568"/>
      <c r="E37" s="568"/>
      <c r="F37" s="568"/>
      <c r="G37" s="568"/>
    </row>
    <row r="38" spans="1:7" ht="26.25" x14ac:dyDescent="0.4">
      <c r="B38" s="568"/>
      <c r="C38" s="568"/>
      <c r="D38" s="568"/>
      <c r="E38" s="568"/>
      <c r="F38" s="568"/>
      <c r="G38" s="568"/>
    </row>
    <row r="39" spans="1:7" ht="26.25" x14ac:dyDescent="0.4">
      <c r="B39" s="568"/>
      <c r="C39" s="568"/>
      <c r="D39" s="568"/>
      <c r="E39" s="568"/>
      <c r="F39" s="568"/>
      <c r="G39" s="568"/>
    </row>
    <row r="40" spans="1:7" ht="26.25" x14ac:dyDescent="0.4">
      <c r="B40" s="568"/>
      <c r="C40" s="568"/>
      <c r="D40" s="568"/>
      <c r="E40" s="568"/>
      <c r="F40" s="568"/>
      <c r="G40" s="568"/>
    </row>
    <row r="41" spans="1:7" ht="26.25" x14ac:dyDescent="0.4">
      <c r="B41" s="568"/>
      <c r="C41" s="568"/>
      <c r="D41" s="568"/>
      <c r="E41" s="568"/>
      <c r="F41" s="568"/>
      <c r="G41" s="568"/>
    </row>
    <row r="42" spans="1:7" ht="26.25" x14ac:dyDescent="0.4">
      <c r="B42" s="568"/>
      <c r="C42" s="568"/>
      <c r="D42" s="568"/>
      <c r="E42" s="568"/>
      <c r="F42" s="568"/>
      <c r="G42" s="568"/>
    </row>
    <row r="43" spans="1:7" ht="26.25" x14ac:dyDescent="0.4">
      <c r="B43" s="568"/>
      <c r="C43" s="568"/>
      <c r="D43" s="568"/>
      <c r="E43" s="568"/>
      <c r="F43" s="568"/>
      <c r="G43" s="568"/>
    </row>
    <row r="44" spans="1:7" ht="26.25" x14ac:dyDescent="0.4">
      <c r="B44" s="568"/>
      <c r="C44" s="568"/>
      <c r="D44" s="568"/>
      <c r="E44" s="568"/>
      <c r="F44" s="568"/>
      <c r="G44" s="568"/>
    </row>
    <row r="45" spans="1:7" ht="26.25" x14ac:dyDescent="0.4">
      <c r="B45" s="568"/>
      <c r="C45" s="568"/>
      <c r="D45" s="568"/>
      <c r="E45" s="568"/>
      <c r="F45" s="568"/>
      <c r="G45" s="568"/>
    </row>
    <row r="46" spans="1:7" ht="26.25" x14ac:dyDescent="0.4">
      <c r="B46" s="568"/>
      <c r="C46" s="568"/>
      <c r="D46" s="568"/>
      <c r="E46" s="568"/>
      <c r="F46" s="568"/>
      <c r="G46" s="568"/>
    </row>
    <row r="47" spans="1:7" ht="26.25" x14ac:dyDescent="0.4">
      <c r="B47" s="568"/>
      <c r="C47" s="568"/>
      <c r="D47" s="568"/>
      <c r="E47" s="568"/>
      <c r="F47" s="568"/>
      <c r="G47" s="568"/>
    </row>
    <row r="48" spans="1:7" ht="26.25" x14ac:dyDescent="0.4">
      <c r="B48" s="568"/>
      <c r="C48" s="568"/>
      <c r="D48" s="568"/>
      <c r="E48" s="568"/>
      <c r="F48" s="568"/>
      <c r="G48" s="568"/>
    </row>
    <row r="49" spans="2:7" ht="26.25" x14ac:dyDescent="0.4">
      <c r="B49" s="568"/>
      <c r="C49" s="568"/>
      <c r="D49" s="568"/>
      <c r="E49" s="568"/>
      <c r="F49" s="568"/>
      <c r="G49" s="568"/>
    </row>
    <row r="50" spans="2:7" ht="26.25" x14ac:dyDescent="0.4">
      <c r="B50" s="568"/>
      <c r="C50" s="568"/>
      <c r="D50" s="568"/>
      <c r="E50" s="568"/>
      <c r="F50" s="568"/>
      <c r="G50" s="568"/>
    </row>
    <row r="51" spans="2:7" ht="26.25" x14ac:dyDescent="0.4">
      <c r="B51" s="568"/>
      <c r="C51" s="568"/>
      <c r="D51" s="568"/>
      <c r="E51" s="568"/>
      <c r="F51" s="568"/>
      <c r="G51" s="568"/>
    </row>
    <row r="52" spans="2:7" ht="26.25" x14ac:dyDescent="0.4">
      <c r="B52" s="568"/>
      <c r="C52" s="568"/>
      <c r="D52" s="568"/>
      <c r="E52" s="568"/>
      <c r="F52" s="568"/>
      <c r="G52" s="568"/>
    </row>
    <row r="53" spans="2:7" ht="26.25" x14ac:dyDescent="0.4">
      <c r="B53" s="568"/>
      <c r="C53" s="568"/>
      <c r="D53" s="568"/>
      <c r="E53" s="568"/>
      <c r="F53" s="568"/>
      <c r="G53" s="568"/>
    </row>
    <row r="54" spans="2:7" ht="26.25" x14ac:dyDescent="0.4">
      <c r="B54" s="568"/>
      <c r="C54" s="568"/>
      <c r="D54" s="568"/>
      <c r="E54" s="568"/>
      <c r="F54" s="568"/>
      <c r="G54" s="568"/>
    </row>
  </sheetData>
  <customSheetViews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34" orientation="portrait" r:id="rId3"/>
  <headerFooter alignWithMargins="0">
    <oddHeader xml:space="preserve">&amp;R&amp;"Times New Roman CE,Félkövér"&amp;12 
&amp;"-,Félkövér"15. melléklet a 20/2025. (IX.30.) önkormányzati rendelethez
"15. melléklet a 4/2025. (II.28) önkormányzati rendelethez"&amp;"Times New Roman CE,Félkövér"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9"/>
  <dimension ref="A1:L43"/>
  <sheetViews>
    <sheetView zoomScale="87" zoomScaleNormal="87" workbookViewId="0">
      <selection activeCell="K13" sqref="K13"/>
    </sheetView>
  </sheetViews>
  <sheetFormatPr defaultColWidth="12" defaultRowHeight="15.75" x14ac:dyDescent="0.25"/>
  <cols>
    <col min="1" max="1" width="92" style="25" customWidth="1"/>
    <col min="2" max="2" width="23.1640625" style="25" customWidth="1"/>
    <col min="3" max="3" width="34" style="25" customWidth="1"/>
    <col min="4" max="4" width="37.5" style="25" customWidth="1"/>
    <col min="5" max="5" width="39.5" style="25" customWidth="1"/>
    <col min="6" max="6" width="23" style="25" customWidth="1"/>
    <col min="7" max="7" width="39.6640625" style="25" customWidth="1"/>
    <col min="8" max="8" width="12" style="25"/>
    <col min="9" max="9" width="16.33203125" style="25" customWidth="1"/>
    <col min="10" max="16384" width="12" style="25"/>
  </cols>
  <sheetData>
    <row r="1" spans="1:12" x14ac:dyDescent="0.25">
      <c r="A1" s="23"/>
      <c r="B1" s="23"/>
      <c r="C1" s="23"/>
      <c r="D1" s="23"/>
      <c r="E1" s="23"/>
      <c r="F1" s="23"/>
      <c r="G1" s="23"/>
    </row>
    <row r="2" spans="1:12" s="568" customFormat="1" ht="26.25" x14ac:dyDescent="0.4">
      <c r="A2" s="1021" t="s">
        <v>103</v>
      </c>
      <c r="B2" s="1021"/>
      <c r="C2" s="1021"/>
      <c r="D2" s="1021"/>
      <c r="E2" s="1021"/>
      <c r="F2" s="1021"/>
      <c r="G2" s="1021"/>
    </row>
    <row r="3" spans="1:12" x14ac:dyDescent="0.25">
      <c r="A3" s="23"/>
      <c r="B3" s="23"/>
      <c r="C3" s="23"/>
      <c r="D3" s="23"/>
      <c r="E3" s="23"/>
      <c r="F3" s="23"/>
      <c r="G3" s="23"/>
    </row>
    <row r="4" spans="1:12" ht="19.5" thickBot="1" x14ac:dyDescent="0.35">
      <c r="A4" s="28"/>
      <c r="B4" s="29"/>
      <c r="C4" s="29"/>
      <c r="D4" s="29"/>
      <c r="E4" s="29"/>
      <c r="F4" s="29"/>
      <c r="G4" s="12" t="s">
        <v>203</v>
      </c>
    </row>
    <row r="5" spans="1:12" s="496" customFormat="1" ht="30" customHeight="1" x14ac:dyDescent="0.35">
      <c r="A5" s="495" t="s">
        <v>156</v>
      </c>
      <c r="B5" s="306" t="s">
        <v>695</v>
      </c>
      <c r="C5" s="306" t="s">
        <v>578</v>
      </c>
      <c r="D5" s="306" t="s">
        <v>554</v>
      </c>
      <c r="E5" s="306" t="s">
        <v>560</v>
      </c>
      <c r="F5" s="306" t="s">
        <v>553</v>
      </c>
      <c r="G5" s="306" t="s">
        <v>580</v>
      </c>
    </row>
    <row r="6" spans="1:12" s="496" customFormat="1" ht="30" customHeight="1" thickBot="1" x14ac:dyDescent="0.4">
      <c r="A6" s="497"/>
      <c r="B6" s="398" t="s">
        <v>701</v>
      </c>
      <c r="C6" s="398" t="s">
        <v>335</v>
      </c>
      <c r="D6" s="398" t="s">
        <v>348</v>
      </c>
      <c r="E6" s="398" t="s">
        <v>348</v>
      </c>
      <c r="F6" s="398" t="s">
        <v>552</v>
      </c>
      <c r="G6" s="398" t="s">
        <v>348</v>
      </c>
    </row>
    <row r="7" spans="1:12" s="325" customFormat="1" ht="30" customHeight="1" x14ac:dyDescent="0.4">
      <c r="A7" s="486" t="s">
        <v>75</v>
      </c>
      <c r="B7" s="622">
        <v>40000</v>
      </c>
      <c r="C7" s="622">
        <v>40000</v>
      </c>
      <c r="D7" s="622">
        <v>40000</v>
      </c>
      <c r="E7" s="622">
        <v>20000</v>
      </c>
      <c r="F7" s="616"/>
      <c r="G7" s="622">
        <f>SUM(E7:F7)</f>
        <v>20000</v>
      </c>
      <c r="I7" s="124"/>
      <c r="L7" s="124"/>
    </row>
    <row r="8" spans="1:12" s="325" customFormat="1" ht="30" customHeight="1" x14ac:dyDescent="0.4">
      <c r="A8" s="498" t="s">
        <v>178</v>
      </c>
      <c r="B8" s="623">
        <v>15000</v>
      </c>
      <c r="C8" s="623">
        <v>15000</v>
      </c>
      <c r="D8" s="623">
        <v>15000</v>
      </c>
      <c r="E8" s="623">
        <v>15000</v>
      </c>
      <c r="F8" s="624"/>
      <c r="G8" s="622">
        <f t="shared" ref="G8:G30" si="0">SUM(E8:F8)</f>
        <v>15000</v>
      </c>
      <c r="I8" s="124"/>
      <c r="L8" s="124"/>
    </row>
    <row r="9" spans="1:12" s="325" customFormat="1" ht="30" customHeight="1" x14ac:dyDescent="0.4">
      <c r="A9" s="498" t="s">
        <v>1</v>
      </c>
      <c r="B9" s="623"/>
      <c r="C9" s="623">
        <v>5000</v>
      </c>
      <c r="D9" s="623">
        <v>5000</v>
      </c>
      <c r="E9" s="623">
        <v>0</v>
      </c>
      <c r="F9" s="624"/>
      <c r="G9" s="622">
        <f t="shared" si="0"/>
        <v>0</v>
      </c>
      <c r="I9" s="124"/>
      <c r="L9" s="124"/>
    </row>
    <row r="10" spans="1:12" s="325" customFormat="1" ht="30" customHeight="1" x14ac:dyDescent="0.4">
      <c r="A10" s="498" t="s">
        <v>330</v>
      </c>
      <c r="B10" s="623">
        <v>123088</v>
      </c>
      <c r="C10" s="623">
        <v>100000</v>
      </c>
      <c r="D10" s="623">
        <v>100000</v>
      </c>
      <c r="E10" s="623">
        <v>173368</v>
      </c>
      <c r="F10" s="624"/>
      <c r="G10" s="622">
        <f t="shared" si="0"/>
        <v>173368</v>
      </c>
      <c r="I10" s="124"/>
      <c r="L10" s="124"/>
    </row>
    <row r="11" spans="1:12" s="325" customFormat="1" ht="30" customHeight="1" x14ac:dyDescent="0.4">
      <c r="A11" s="498" t="s">
        <v>295</v>
      </c>
      <c r="B11" s="623">
        <v>12853</v>
      </c>
      <c r="C11" s="623">
        <v>20000</v>
      </c>
      <c r="D11" s="623">
        <v>20000</v>
      </c>
      <c r="E11" s="623">
        <v>22147</v>
      </c>
      <c r="F11" s="624"/>
      <c r="G11" s="622">
        <f t="shared" si="0"/>
        <v>22147</v>
      </c>
      <c r="I11" s="124"/>
      <c r="L11" s="124"/>
    </row>
    <row r="12" spans="1:12" s="325" customFormat="1" ht="30" customHeight="1" x14ac:dyDescent="0.4">
      <c r="A12" s="499" t="s">
        <v>367</v>
      </c>
      <c r="B12" s="623">
        <v>2803</v>
      </c>
      <c r="C12" s="623">
        <v>6000</v>
      </c>
      <c r="D12" s="623">
        <v>6000</v>
      </c>
      <c r="E12" s="623">
        <v>22129</v>
      </c>
      <c r="F12" s="624"/>
      <c r="G12" s="622">
        <f t="shared" si="0"/>
        <v>22129</v>
      </c>
      <c r="I12" s="124"/>
      <c r="L12" s="124"/>
    </row>
    <row r="13" spans="1:12" s="325" customFormat="1" ht="30" customHeight="1" x14ac:dyDescent="0.4">
      <c r="A13" s="500" t="s">
        <v>368</v>
      </c>
      <c r="B13" s="623">
        <v>4189</v>
      </c>
      <c r="C13" s="623">
        <v>5000</v>
      </c>
      <c r="D13" s="623">
        <v>5000</v>
      </c>
      <c r="E13" s="623">
        <v>5000</v>
      </c>
      <c r="F13" s="624"/>
      <c r="G13" s="622">
        <f t="shared" si="0"/>
        <v>5000</v>
      </c>
      <c r="I13" s="124"/>
      <c r="L13" s="124"/>
    </row>
    <row r="14" spans="1:12" s="325" customFormat="1" ht="30" customHeight="1" x14ac:dyDescent="0.4">
      <c r="A14" s="498" t="s">
        <v>44</v>
      </c>
      <c r="B14" s="623">
        <v>2388</v>
      </c>
      <c r="C14" s="623">
        <v>800</v>
      </c>
      <c r="D14" s="623">
        <v>800</v>
      </c>
      <c r="E14" s="623">
        <v>2775</v>
      </c>
      <c r="F14" s="624"/>
      <c r="G14" s="622">
        <f t="shared" si="0"/>
        <v>2775</v>
      </c>
      <c r="I14" s="124"/>
      <c r="L14" s="124"/>
    </row>
    <row r="15" spans="1:12" s="325" customFormat="1" ht="30" customHeight="1" x14ac:dyDescent="0.4">
      <c r="A15" s="498" t="s">
        <v>2</v>
      </c>
      <c r="B15" s="623">
        <v>1603</v>
      </c>
      <c r="C15" s="623">
        <v>6000</v>
      </c>
      <c r="D15" s="623">
        <v>6000</v>
      </c>
      <c r="E15" s="623">
        <v>10397</v>
      </c>
      <c r="F15" s="624"/>
      <c r="G15" s="622">
        <f t="shared" si="0"/>
        <v>10397</v>
      </c>
      <c r="I15" s="124"/>
      <c r="L15" s="124"/>
    </row>
    <row r="16" spans="1:12" s="325" customFormat="1" ht="30" customHeight="1" x14ac:dyDescent="0.4">
      <c r="A16" s="498" t="s">
        <v>96</v>
      </c>
      <c r="B16" s="623"/>
      <c r="C16" s="623">
        <v>0</v>
      </c>
      <c r="D16" s="623">
        <v>0</v>
      </c>
      <c r="E16" s="623">
        <v>6783</v>
      </c>
      <c r="F16" s="624"/>
      <c r="G16" s="622">
        <f t="shared" si="0"/>
        <v>6783</v>
      </c>
      <c r="I16" s="124"/>
      <c r="L16" s="124"/>
    </row>
    <row r="17" spans="1:12" s="325" customFormat="1" ht="30" customHeight="1" x14ac:dyDescent="0.4">
      <c r="A17" s="498" t="s">
        <v>179</v>
      </c>
      <c r="B17" s="623">
        <v>117670</v>
      </c>
      <c r="C17" s="623">
        <v>0</v>
      </c>
      <c r="D17" s="623">
        <v>0</v>
      </c>
      <c r="E17" s="623">
        <v>104814</v>
      </c>
      <c r="F17" s="624"/>
      <c r="G17" s="622">
        <f t="shared" si="0"/>
        <v>104814</v>
      </c>
      <c r="I17" s="124"/>
      <c r="L17" s="124"/>
    </row>
    <row r="18" spans="1:12" s="325" customFormat="1" ht="30" customHeight="1" x14ac:dyDescent="0.4">
      <c r="A18" s="498" t="s">
        <v>453</v>
      </c>
      <c r="B18" s="623">
        <v>26923</v>
      </c>
      <c r="C18" s="623">
        <v>35000</v>
      </c>
      <c r="D18" s="623">
        <v>35000</v>
      </c>
      <c r="E18" s="623">
        <v>46036</v>
      </c>
      <c r="F18" s="624"/>
      <c r="G18" s="622">
        <f t="shared" si="0"/>
        <v>46036</v>
      </c>
      <c r="I18" s="124"/>
      <c r="L18" s="124"/>
    </row>
    <row r="19" spans="1:12" s="325" customFormat="1" ht="30" customHeight="1" x14ac:dyDescent="0.4">
      <c r="A19" s="498" t="s">
        <v>87</v>
      </c>
      <c r="B19" s="623">
        <v>21000</v>
      </c>
      <c r="C19" s="623">
        <v>21000</v>
      </c>
      <c r="D19" s="623">
        <v>21000</v>
      </c>
      <c r="E19" s="623">
        <v>21000</v>
      </c>
      <c r="F19" s="624"/>
      <c r="G19" s="622">
        <f t="shared" si="0"/>
        <v>21000</v>
      </c>
      <c r="I19" s="124"/>
      <c r="L19" s="124"/>
    </row>
    <row r="20" spans="1:12" s="325" customFormat="1" ht="63.75" customHeight="1" x14ac:dyDescent="0.4">
      <c r="A20" s="501" t="s">
        <v>388</v>
      </c>
      <c r="B20" s="623">
        <v>7032</v>
      </c>
      <c r="C20" s="623">
        <v>6000</v>
      </c>
      <c r="D20" s="623">
        <v>6000</v>
      </c>
      <c r="E20" s="623">
        <v>7954</v>
      </c>
      <c r="F20" s="624"/>
      <c r="G20" s="622">
        <f t="shared" si="0"/>
        <v>7954</v>
      </c>
      <c r="I20" s="124"/>
      <c r="L20" s="124"/>
    </row>
    <row r="21" spans="1:12" s="325" customFormat="1" ht="30" customHeight="1" x14ac:dyDescent="0.4">
      <c r="A21" s="498" t="s">
        <v>454</v>
      </c>
      <c r="B21" s="623">
        <v>2363</v>
      </c>
      <c r="C21" s="623">
        <v>4000</v>
      </c>
      <c r="D21" s="623">
        <v>4000</v>
      </c>
      <c r="E21" s="623">
        <v>18144</v>
      </c>
      <c r="F21" s="624">
        <v>1056</v>
      </c>
      <c r="G21" s="622">
        <f t="shared" si="0"/>
        <v>19200</v>
      </c>
      <c r="I21" s="124"/>
      <c r="L21" s="124"/>
    </row>
    <row r="22" spans="1:12" s="325" customFormat="1" ht="48.75" customHeight="1" x14ac:dyDescent="0.4">
      <c r="A22" s="500" t="s">
        <v>296</v>
      </c>
      <c r="B22" s="623"/>
      <c r="C22" s="623">
        <v>3000</v>
      </c>
      <c r="D22" s="623">
        <v>3000</v>
      </c>
      <c r="E22" s="623">
        <v>9151</v>
      </c>
      <c r="F22" s="624"/>
      <c r="G22" s="622">
        <f t="shared" si="0"/>
        <v>9151</v>
      </c>
      <c r="I22" s="124"/>
      <c r="L22" s="124"/>
    </row>
    <row r="23" spans="1:12" s="325" customFormat="1" ht="30" customHeight="1" x14ac:dyDescent="0.4">
      <c r="A23" s="488" t="s">
        <v>88</v>
      </c>
      <c r="B23" s="623">
        <v>64320</v>
      </c>
      <c r="C23" s="623">
        <v>0</v>
      </c>
      <c r="D23" s="623">
        <v>0</v>
      </c>
      <c r="E23" s="623">
        <v>36158</v>
      </c>
      <c r="F23" s="624"/>
      <c r="G23" s="622">
        <f t="shared" si="0"/>
        <v>36158</v>
      </c>
      <c r="I23" s="124"/>
      <c r="L23" s="124"/>
    </row>
    <row r="24" spans="1:12" s="325" customFormat="1" ht="30" customHeight="1" x14ac:dyDescent="0.4">
      <c r="A24" s="488" t="s">
        <v>439</v>
      </c>
      <c r="B24" s="623">
        <v>235</v>
      </c>
      <c r="C24" s="623">
        <v>10000</v>
      </c>
      <c r="D24" s="623">
        <v>10000</v>
      </c>
      <c r="E24" s="623">
        <v>10000</v>
      </c>
      <c r="F24" s="624"/>
      <c r="G24" s="622">
        <f t="shared" si="0"/>
        <v>10000</v>
      </c>
      <c r="I24" s="124"/>
      <c r="L24" s="124"/>
    </row>
    <row r="25" spans="1:12" s="325" customFormat="1" ht="30" customHeight="1" x14ac:dyDescent="0.4">
      <c r="A25" s="498" t="s">
        <v>217</v>
      </c>
      <c r="B25" s="623">
        <v>2028</v>
      </c>
      <c r="C25" s="623">
        <v>1500</v>
      </c>
      <c r="D25" s="623">
        <v>1500</v>
      </c>
      <c r="E25" s="623">
        <v>3087</v>
      </c>
      <c r="F25" s="624"/>
      <c r="G25" s="622">
        <f t="shared" si="0"/>
        <v>3087</v>
      </c>
      <c r="I25" s="124"/>
      <c r="L25" s="124"/>
    </row>
    <row r="26" spans="1:12" s="325" customFormat="1" ht="30" customHeight="1" x14ac:dyDescent="0.4">
      <c r="A26" s="501" t="s">
        <v>428</v>
      </c>
      <c r="B26" s="623">
        <v>699</v>
      </c>
      <c r="C26" s="623">
        <v>10000</v>
      </c>
      <c r="D26" s="623">
        <v>10000</v>
      </c>
      <c r="E26" s="623">
        <v>31029</v>
      </c>
      <c r="F26" s="624"/>
      <c r="G26" s="622">
        <f t="shared" si="0"/>
        <v>31029</v>
      </c>
      <c r="I26" s="124"/>
      <c r="L26" s="124"/>
    </row>
    <row r="27" spans="1:12" s="325" customFormat="1" ht="30" customHeight="1" x14ac:dyDescent="0.4">
      <c r="A27" s="502" t="s">
        <v>632</v>
      </c>
      <c r="B27" s="623">
        <v>27951</v>
      </c>
      <c r="C27" s="623"/>
      <c r="D27" s="623"/>
      <c r="E27" s="623"/>
      <c r="F27" s="624"/>
      <c r="G27" s="622">
        <f t="shared" si="0"/>
        <v>0</v>
      </c>
      <c r="I27" s="124"/>
      <c r="L27" s="124"/>
    </row>
    <row r="28" spans="1:12" s="325" customFormat="1" ht="86.25" customHeight="1" x14ac:dyDescent="0.4">
      <c r="A28" s="503" t="s">
        <v>633</v>
      </c>
      <c r="B28" s="623">
        <v>89901</v>
      </c>
      <c r="C28" s="623"/>
      <c r="D28" s="623"/>
      <c r="E28" s="623"/>
      <c r="F28" s="624"/>
      <c r="G28" s="622">
        <f t="shared" si="0"/>
        <v>0</v>
      </c>
      <c r="I28" s="124"/>
      <c r="L28" s="124"/>
    </row>
    <row r="29" spans="1:12" s="325" customFormat="1" ht="30" customHeight="1" x14ac:dyDescent="0.4">
      <c r="A29" s="501" t="s">
        <v>449</v>
      </c>
      <c r="B29" s="623">
        <v>390325</v>
      </c>
      <c r="C29" s="623"/>
      <c r="D29" s="623"/>
      <c r="E29" s="623"/>
      <c r="F29" s="624"/>
      <c r="G29" s="622">
        <f t="shared" si="0"/>
        <v>0</v>
      </c>
      <c r="I29" s="124"/>
      <c r="L29" s="124"/>
    </row>
    <row r="30" spans="1:12" s="325" customFormat="1" ht="30" customHeight="1" thickBot="1" x14ac:dyDescent="0.45">
      <c r="A30" s="501" t="s">
        <v>546</v>
      </c>
      <c r="B30" s="623"/>
      <c r="C30" s="623">
        <v>79000</v>
      </c>
      <c r="D30" s="623">
        <v>79000</v>
      </c>
      <c r="E30" s="623">
        <v>114000</v>
      </c>
      <c r="F30" s="624"/>
      <c r="G30" s="622">
        <f t="shared" si="0"/>
        <v>114000</v>
      </c>
      <c r="I30" s="124"/>
      <c r="L30" s="124"/>
    </row>
    <row r="31" spans="1:12" s="325" customFormat="1" ht="30" customHeight="1" thickBot="1" x14ac:dyDescent="0.45">
      <c r="A31" s="504" t="s">
        <v>292</v>
      </c>
      <c r="B31" s="394">
        <f t="shared" ref="B31:D31" si="1">SUM(B7:B30)</f>
        <v>952371</v>
      </c>
      <c r="C31" s="394">
        <f t="shared" si="1"/>
        <v>367300</v>
      </c>
      <c r="D31" s="394">
        <f t="shared" si="1"/>
        <v>367300</v>
      </c>
      <c r="E31" s="394">
        <f>SUM(E7:E30)</f>
        <v>678972</v>
      </c>
      <c r="F31" s="394">
        <f>SUM(F7:F30)</f>
        <v>1056</v>
      </c>
      <c r="G31" s="394">
        <f>SUM(G7:G30)</f>
        <v>680028</v>
      </c>
      <c r="I31" s="124"/>
      <c r="L31" s="124"/>
    </row>
    <row r="32" spans="1:12" ht="26.25" x14ac:dyDescent="0.4">
      <c r="B32" s="568"/>
      <c r="C32" s="568"/>
      <c r="D32" s="568"/>
      <c r="E32" s="568"/>
      <c r="F32" s="568"/>
      <c r="G32" s="568"/>
    </row>
    <row r="33" spans="1:7" ht="26.25" x14ac:dyDescent="0.4">
      <c r="B33" s="568"/>
      <c r="C33" s="568"/>
      <c r="D33" s="568"/>
      <c r="E33" s="568"/>
      <c r="F33" s="568"/>
      <c r="G33" s="568"/>
    </row>
    <row r="34" spans="1:7" ht="26.25" x14ac:dyDescent="0.4">
      <c r="A34" s="29" t="s">
        <v>72</v>
      </c>
      <c r="B34" s="565"/>
      <c r="C34" s="565"/>
      <c r="D34" s="565"/>
      <c r="E34" s="565"/>
      <c r="F34" s="565"/>
      <c r="G34" s="625"/>
    </row>
    <row r="35" spans="1:7" ht="26.25" x14ac:dyDescent="0.4">
      <c r="A35" s="29" t="s">
        <v>73</v>
      </c>
      <c r="B35" s="565"/>
      <c r="C35" s="565"/>
      <c r="D35" s="565"/>
      <c r="E35" s="565"/>
      <c r="F35" s="565"/>
      <c r="G35" s="565"/>
    </row>
    <row r="36" spans="1:7" ht="26.25" x14ac:dyDescent="0.4">
      <c r="B36" s="568"/>
      <c r="C36" s="568"/>
      <c r="D36" s="568"/>
      <c r="E36" s="568"/>
      <c r="F36" s="568"/>
      <c r="G36" s="568"/>
    </row>
    <row r="37" spans="1:7" ht="26.25" x14ac:dyDescent="0.4">
      <c r="B37" s="568"/>
      <c r="C37" s="568"/>
      <c r="D37" s="568"/>
      <c r="E37" s="568"/>
      <c r="F37" s="568"/>
      <c r="G37" s="568"/>
    </row>
    <row r="38" spans="1:7" ht="26.25" x14ac:dyDescent="0.4">
      <c r="B38" s="568"/>
      <c r="C38" s="568"/>
      <c r="D38" s="568"/>
      <c r="E38" s="568"/>
      <c r="F38" s="568"/>
      <c r="G38" s="568"/>
    </row>
    <row r="39" spans="1:7" ht="26.25" x14ac:dyDescent="0.4">
      <c r="B39" s="626"/>
      <c r="C39" s="626"/>
      <c r="D39" s="626"/>
      <c r="E39" s="626"/>
      <c r="F39" s="568"/>
      <c r="G39" s="568"/>
    </row>
    <row r="40" spans="1:7" ht="26.25" x14ac:dyDescent="0.4">
      <c r="B40" s="568"/>
      <c r="C40" s="568"/>
      <c r="D40" s="568"/>
      <c r="E40" s="568"/>
      <c r="F40" s="568"/>
      <c r="G40" s="568"/>
    </row>
    <row r="41" spans="1:7" ht="26.25" x14ac:dyDescent="0.4">
      <c r="B41" s="568"/>
      <c r="C41" s="568"/>
      <c r="D41" s="568"/>
      <c r="E41" s="568"/>
      <c r="F41" s="568"/>
      <c r="G41" s="568"/>
    </row>
    <row r="42" spans="1:7" ht="26.25" x14ac:dyDescent="0.4">
      <c r="B42" s="568"/>
      <c r="C42" s="568"/>
      <c r="D42" s="568"/>
      <c r="E42" s="568"/>
      <c r="F42" s="568"/>
      <c r="G42" s="568"/>
    </row>
    <row r="43" spans="1:7" ht="26.25" x14ac:dyDescent="0.4">
      <c r="B43" s="568"/>
      <c r="C43" s="568"/>
      <c r="D43" s="568"/>
      <c r="E43" s="568"/>
      <c r="F43" s="568"/>
      <c r="G43" s="568"/>
    </row>
  </sheetData>
  <customSheetViews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1" orientation="portrait" r:id="rId3"/>
  <headerFooter alignWithMargins="0">
    <oddHeader xml:space="preserve">&amp;R&amp;"-,Félkövér"&amp;12 16. melléklet a 20/2025. (IX.30.) önkormányzati rendelethez
"16. melléklet a 4/2025. (II.28) önkormányzati rendelethez"&amp;"Times New Roman CE,Félkövér"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2"/>
  <dimension ref="A1:H59"/>
  <sheetViews>
    <sheetView zoomScaleNormal="100" workbookViewId="0">
      <selection activeCell="J11" sqref="J11"/>
    </sheetView>
  </sheetViews>
  <sheetFormatPr defaultColWidth="10.6640625" defaultRowHeight="15.75" x14ac:dyDescent="0.25"/>
  <cols>
    <col min="1" max="1" width="6" style="127" customWidth="1"/>
    <col min="2" max="2" width="133.5" style="127" customWidth="1"/>
    <col min="3" max="3" width="27" style="127" customWidth="1"/>
    <col min="4" max="4" width="37.83203125" style="127" customWidth="1"/>
    <col min="5" max="5" width="34.5" style="127" customWidth="1"/>
    <col min="6" max="6" width="32.83203125" style="127" customWidth="1"/>
    <col min="7" max="7" width="28.6640625" style="127" customWidth="1"/>
    <col min="8" max="8" width="36.6640625" style="127" customWidth="1"/>
    <col min="9" max="16384" width="10.6640625" style="127"/>
  </cols>
  <sheetData>
    <row r="1" spans="1:8" s="643" customFormat="1" ht="26.25" x14ac:dyDescent="0.4">
      <c r="A1" s="1069" t="s">
        <v>132</v>
      </c>
      <c r="B1" s="1069"/>
      <c r="C1" s="1069"/>
      <c r="D1" s="1069"/>
      <c r="E1" s="1069"/>
      <c r="F1" s="1069"/>
      <c r="G1" s="1069"/>
      <c r="H1" s="1069"/>
    </row>
    <row r="2" spans="1:8" ht="19.5" thickBot="1" x14ac:dyDescent="0.35">
      <c r="B2" s="128"/>
      <c r="C2" s="128"/>
      <c r="D2" s="128"/>
      <c r="E2" s="128"/>
      <c r="F2" s="128"/>
      <c r="G2" s="128"/>
      <c r="H2" s="12" t="s">
        <v>203</v>
      </c>
    </row>
    <row r="3" spans="1:8" ht="30" customHeight="1" x14ac:dyDescent="0.35">
      <c r="A3" s="505"/>
      <c r="B3" s="506" t="s">
        <v>156</v>
      </c>
      <c r="C3" s="302" t="s">
        <v>695</v>
      </c>
      <c r="D3" s="302" t="s">
        <v>578</v>
      </c>
      <c r="E3" s="302" t="s">
        <v>554</v>
      </c>
      <c r="F3" s="302" t="s">
        <v>560</v>
      </c>
      <c r="G3" s="302" t="s">
        <v>553</v>
      </c>
      <c r="H3" s="302" t="s">
        <v>580</v>
      </c>
    </row>
    <row r="4" spans="1:8" ht="30" customHeight="1" thickBot="1" x14ac:dyDescent="0.4">
      <c r="A4" s="507"/>
      <c r="B4" s="508"/>
      <c r="C4" s="397" t="s">
        <v>701</v>
      </c>
      <c r="D4" s="397" t="s">
        <v>335</v>
      </c>
      <c r="E4" s="397" t="s">
        <v>348</v>
      </c>
      <c r="F4" s="397" t="s">
        <v>348</v>
      </c>
      <c r="G4" s="397" t="s">
        <v>552</v>
      </c>
      <c r="H4" s="397" t="s">
        <v>348</v>
      </c>
    </row>
    <row r="5" spans="1:8" ht="30" customHeight="1" x14ac:dyDescent="0.4">
      <c r="A5" s="509" t="s">
        <v>59</v>
      </c>
      <c r="B5" s="510"/>
      <c r="C5" s="627"/>
      <c r="D5" s="627"/>
      <c r="E5" s="627"/>
      <c r="F5" s="627"/>
      <c r="G5" s="627"/>
      <c r="H5" s="627"/>
    </row>
    <row r="6" spans="1:8" ht="30" customHeight="1" x14ac:dyDescent="0.4">
      <c r="A6" s="511"/>
      <c r="B6" s="512" t="s">
        <v>663</v>
      </c>
      <c r="C6" s="628"/>
      <c r="D6" s="628"/>
      <c r="E6" s="628"/>
      <c r="F6" s="628"/>
      <c r="G6" s="628">
        <v>647071</v>
      </c>
      <c r="H6" s="628">
        <f>SUM(F6:G6)</f>
        <v>647071</v>
      </c>
    </row>
    <row r="7" spans="1:8" ht="61.5" customHeight="1" x14ac:dyDescent="0.4">
      <c r="A7" s="511"/>
      <c r="B7" s="512" t="s">
        <v>665</v>
      </c>
      <c r="C7" s="628"/>
      <c r="D7" s="628"/>
      <c r="E7" s="628"/>
      <c r="F7" s="628"/>
      <c r="G7" s="628">
        <v>194065</v>
      </c>
      <c r="H7" s="628">
        <f t="shared" ref="H7:H20" si="0">SUM(F7:G7)</f>
        <v>194065</v>
      </c>
    </row>
    <row r="8" spans="1:8" ht="30" customHeight="1" x14ac:dyDescent="0.4">
      <c r="A8" s="511"/>
      <c r="B8" s="512" t="s">
        <v>664</v>
      </c>
      <c r="C8" s="628"/>
      <c r="D8" s="628"/>
      <c r="E8" s="628"/>
      <c r="F8" s="628"/>
      <c r="G8" s="628">
        <v>544045</v>
      </c>
      <c r="H8" s="628">
        <f t="shared" si="0"/>
        <v>544045</v>
      </c>
    </row>
    <row r="9" spans="1:8" ht="52.5" customHeight="1" x14ac:dyDescent="0.4">
      <c r="A9" s="511"/>
      <c r="B9" s="512" t="s">
        <v>660</v>
      </c>
      <c r="C9" s="628"/>
      <c r="D9" s="628"/>
      <c r="E9" s="628"/>
      <c r="F9" s="628"/>
      <c r="G9" s="628">
        <v>194800</v>
      </c>
      <c r="H9" s="628">
        <f t="shared" si="0"/>
        <v>194800</v>
      </c>
    </row>
    <row r="10" spans="1:8" ht="30" customHeight="1" x14ac:dyDescent="0.4">
      <c r="A10" s="511"/>
      <c r="B10" s="512" t="s">
        <v>661</v>
      </c>
      <c r="C10" s="628"/>
      <c r="D10" s="628"/>
      <c r="E10" s="628"/>
      <c r="F10" s="628"/>
      <c r="G10" s="628">
        <v>358920</v>
      </c>
      <c r="H10" s="628">
        <f t="shared" si="0"/>
        <v>358920</v>
      </c>
    </row>
    <row r="11" spans="1:8" ht="52.5" customHeight="1" x14ac:dyDescent="0.4">
      <c r="A11" s="511"/>
      <c r="B11" s="512" t="s">
        <v>662</v>
      </c>
      <c r="C11" s="628"/>
      <c r="D11" s="628"/>
      <c r="E11" s="628"/>
      <c r="F11" s="628"/>
      <c r="G11" s="628">
        <v>109473</v>
      </c>
      <c r="H11" s="628">
        <f t="shared" si="0"/>
        <v>109473</v>
      </c>
    </row>
    <row r="12" spans="1:8" ht="30" customHeight="1" x14ac:dyDescent="0.4">
      <c r="A12" s="511"/>
      <c r="B12" s="512" t="s">
        <v>667</v>
      </c>
      <c r="C12" s="628"/>
      <c r="D12" s="628"/>
      <c r="E12" s="628"/>
      <c r="F12" s="628"/>
      <c r="G12" s="628">
        <v>460184</v>
      </c>
      <c r="H12" s="628">
        <f t="shared" si="0"/>
        <v>460184</v>
      </c>
    </row>
    <row r="13" spans="1:8" ht="30" customHeight="1" x14ac:dyDescent="0.4">
      <c r="A13" s="511"/>
      <c r="B13" s="512" t="s">
        <v>666</v>
      </c>
      <c r="C13" s="628"/>
      <c r="D13" s="628"/>
      <c r="E13" s="628"/>
      <c r="F13" s="628"/>
      <c r="G13" s="628">
        <v>474062</v>
      </c>
      <c r="H13" s="628">
        <f t="shared" si="0"/>
        <v>474062</v>
      </c>
    </row>
    <row r="14" spans="1:8" ht="58.5" customHeight="1" x14ac:dyDescent="0.4">
      <c r="A14" s="511"/>
      <c r="B14" s="512" t="s">
        <v>672</v>
      </c>
      <c r="C14" s="628"/>
      <c r="D14" s="628"/>
      <c r="E14" s="628"/>
      <c r="F14" s="628"/>
      <c r="G14" s="628">
        <v>449186</v>
      </c>
      <c r="H14" s="628">
        <f t="shared" si="0"/>
        <v>449186</v>
      </c>
    </row>
    <row r="15" spans="1:8" ht="48.75" customHeight="1" x14ac:dyDescent="0.4">
      <c r="A15" s="511"/>
      <c r="B15" s="512" t="s">
        <v>673</v>
      </c>
      <c r="C15" s="628"/>
      <c r="D15" s="628"/>
      <c r="E15" s="628"/>
      <c r="F15" s="628"/>
      <c r="G15" s="628">
        <v>423301</v>
      </c>
      <c r="H15" s="628">
        <f t="shared" si="0"/>
        <v>423301</v>
      </c>
    </row>
    <row r="16" spans="1:8" ht="30" customHeight="1" x14ac:dyDescent="0.4">
      <c r="A16" s="511"/>
      <c r="B16" s="512" t="s">
        <v>704</v>
      </c>
      <c r="C16" s="628"/>
      <c r="D16" s="628"/>
      <c r="E16" s="628"/>
      <c r="F16" s="628"/>
      <c r="G16" s="628">
        <v>225150</v>
      </c>
      <c r="H16" s="628">
        <f t="shared" si="0"/>
        <v>225150</v>
      </c>
    </row>
    <row r="17" spans="1:8" ht="54" customHeight="1" x14ac:dyDescent="0.4">
      <c r="A17" s="511"/>
      <c r="B17" s="512" t="s">
        <v>675</v>
      </c>
      <c r="C17" s="628"/>
      <c r="D17" s="628"/>
      <c r="E17" s="628"/>
      <c r="F17" s="628"/>
      <c r="G17" s="628">
        <v>393968</v>
      </c>
      <c r="H17" s="628">
        <f t="shared" si="0"/>
        <v>393968</v>
      </c>
    </row>
    <row r="18" spans="1:8" ht="62.25" customHeight="1" x14ac:dyDescent="0.4">
      <c r="A18" s="511"/>
      <c r="B18" s="512" t="s">
        <v>677</v>
      </c>
      <c r="C18" s="628"/>
      <c r="D18" s="628"/>
      <c r="E18" s="628"/>
      <c r="F18" s="628"/>
      <c r="G18" s="628">
        <v>514871</v>
      </c>
      <c r="H18" s="628">
        <f t="shared" si="0"/>
        <v>514871</v>
      </c>
    </row>
    <row r="19" spans="1:8" ht="30" customHeight="1" x14ac:dyDescent="0.4">
      <c r="A19" s="511"/>
      <c r="B19" s="512" t="s">
        <v>678</v>
      </c>
      <c r="C19" s="628"/>
      <c r="D19" s="628"/>
      <c r="E19" s="628"/>
      <c r="F19" s="628"/>
      <c r="G19" s="628">
        <v>589110</v>
      </c>
      <c r="H19" s="628">
        <f t="shared" si="0"/>
        <v>589110</v>
      </c>
    </row>
    <row r="20" spans="1:8" ht="30" customHeight="1" x14ac:dyDescent="0.4">
      <c r="A20" s="511"/>
      <c r="B20" s="512" t="s">
        <v>679</v>
      </c>
      <c r="C20" s="628"/>
      <c r="D20" s="628"/>
      <c r="E20" s="628"/>
      <c r="F20" s="628"/>
      <c r="G20" s="628">
        <v>662601</v>
      </c>
      <c r="H20" s="628">
        <f t="shared" si="0"/>
        <v>662601</v>
      </c>
    </row>
    <row r="21" spans="1:8" ht="51" customHeight="1" thickBot="1" x14ac:dyDescent="0.45">
      <c r="A21" s="513"/>
      <c r="B21" s="514" t="s">
        <v>429</v>
      </c>
      <c r="C21" s="629">
        <v>568871</v>
      </c>
      <c r="D21" s="630"/>
      <c r="E21" s="630"/>
      <c r="F21" s="630"/>
      <c r="G21" s="630"/>
      <c r="H21" s="628">
        <f>SUM(F21:G21)</f>
        <v>0</v>
      </c>
    </row>
    <row r="22" spans="1:8" ht="30" customHeight="1" thickBot="1" x14ac:dyDescent="0.45">
      <c r="A22" s="1074" t="s">
        <v>63</v>
      </c>
      <c r="B22" s="1075"/>
      <c r="C22" s="631">
        <f>SUM(C5:C21)</f>
        <v>568871</v>
      </c>
      <c r="D22" s="631">
        <f t="shared" ref="D22:H22" si="1">SUM(D5:D21)</f>
        <v>0</v>
      </c>
      <c r="E22" s="631">
        <f t="shared" si="1"/>
        <v>0</v>
      </c>
      <c r="F22" s="631">
        <f t="shared" si="1"/>
        <v>0</v>
      </c>
      <c r="G22" s="631">
        <f t="shared" si="1"/>
        <v>6240807</v>
      </c>
      <c r="H22" s="631">
        <f t="shared" si="1"/>
        <v>6240807</v>
      </c>
    </row>
    <row r="23" spans="1:8" ht="30" customHeight="1" x14ac:dyDescent="0.4">
      <c r="A23" s="509" t="s">
        <v>57</v>
      </c>
      <c r="B23" s="510"/>
      <c r="C23" s="627"/>
      <c r="D23" s="627"/>
      <c r="E23" s="627"/>
      <c r="F23" s="627"/>
      <c r="G23" s="627"/>
      <c r="H23" s="627"/>
    </row>
    <row r="24" spans="1:8" ht="30" customHeight="1" x14ac:dyDescent="0.4">
      <c r="A24" s="515"/>
      <c r="B24" s="516" t="s">
        <v>127</v>
      </c>
      <c r="C24" s="628">
        <v>363931</v>
      </c>
      <c r="D24" s="628">
        <v>1000000</v>
      </c>
      <c r="E24" s="628">
        <v>1000000</v>
      </c>
      <c r="F24" s="628">
        <v>1000000</v>
      </c>
      <c r="G24" s="632"/>
      <c r="H24" s="628">
        <f>SUM(F24:G24)</f>
        <v>1000000</v>
      </c>
    </row>
    <row r="25" spans="1:8" ht="30" customHeight="1" x14ac:dyDescent="0.4">
      <c r="A25" s="515"/>
      <c r="B25" s="516" t="s">
        <v>635</v>
      </c>
      <c r="C25" s="628">
        <v>15400</v>
      </c>
      <c r="D25" s="628"/>
      <c r="E25" s="628"/>
      <c r="F25" s="628"/>
      <c r="G25" s="632">
        <v>4330</v>
      </c>
      <c r="H25" s="628">
        <f t="shared" ref="H25:H27" si="2">SUM(F25:G25)</f>
        <v>4330</v>
      </c>
    </row>
    <row r="26" spans="1:8" ht="30" customHeight="1" x14ac:dyDescent="0.4">
      <c r="A26" s="515"/>
      <c r="B26" s="516" t="s">
        <v>636</v>
      </c>
      <c r="C26" s="628">
        <v>33600</v>
      </c>
      <c r="D26" s="628"/>
      <c r="E26" s="628"/>
      <c r="F26" s="628"/>
      <c r="G26" s="632">
        <v>2500</v>
      </c>
      <c r="H26" s="628">
        <f t="shared" si="2"/>
        <v>2500</v>
      </c>
    </row>
    <row r="27" spans="1:8" ht="30" customHeight="1" thickBot="1" x14ac:dyDescent="0.45">
      <c r="A27" s="515"/>
      <c r="B27" s="514" t="s">
        <v>686</v>
      </c>
      <c r="C27" s="629">
        <v>1000</v>
      </c>
      <c r="D27" s="629"/>
      <c r="E27" s="629"/>
      <c r="F27" s="629"/>
      <c r="G27" s="629"/>
      <c r="H27" s="629">
        <f t="shared" si="2"/>
        <v>0</v>
      </c>
    </row>
    <row r="28" spans="1:8" ht="30" customHeight="1" thickBot="1" x14ac:dyDescent="0.45">
      <c r="A28" s="517" t="s">
        <v>58</v>
      </c>
      <c r="B28" s="518"/>
      <c r="C28" s="403">
        <f>SUM(C24:C27)</f>
        <v>413931</v>
      </c>
      <c r="D28" s="403">
        <f>SUM(D24:D27)</f>
        <v>1000000</v>
      </c>
      <c r="E28" s="403">
        <f>SUM(E24:E27)</f>
        <v>1000000</v>
      </c>
      <c r="F28" s="403">
        <f>SUM(F24:F27)</f>
        <v>1000000</v>
      </c>
      <c r="G28" s="403">
        <f t="shared" ref="G28:H28" si="3">SUM(G24:G27)</f>
        <v>6830</v>
      </c>
      <c r="H28" s="403">
        <f t="shared" si="3"/>
        <v>1006830</v>
      </c>
    </row>
    <row r="29" spans="1:8" ht="30" customHeight="1" x14ac:dyDescent="0.4">
      <c r="A29" s="519" t="s">
        <v>64</v>
      </c>
      <c r="B29" s="520"/>
      <c r="C29" s="633"/>
      <c r="D29" s="633"/>
      <c r="E29" s="633"/>
      <c r="F29" s="633"/>
      <c r="G29" s="633"/>
      <c r="H29" s="633"/>
    </row>
    <row r="30" spans="1:8" ht="47.25" customHeight="1" x14ac:dyDescent="0.4">
      <c r="A30" s="521"/>
      <c r="B30" s="522" t="s">
        <v>29</v>
      </c>
      <c r="C30" s="634"/>
      <c r="D30" s="634"/>
      <c r="E30" s="634"/>
      <c r="F30" s="634"/>
      <c r="G30" s="634"/>
      <c r="H30" s="634"/>
    </row>
    <row r="31" spans="1:8" ht="30" customHeight="1" x14ac:dyDescent="0.4">
      <c r="A31" s="515"/>
      <c r="B31" s="523" t="s">
        <v>129</v>
      </c>
      <c r="C31" s="628">
        <v>11449</v>
      </c>
      <c r="D31" s="628">
        <v>8000</v>
      </c>
      <c r="E31" s="628">
        <v>8000</v>
      </c>
      <c r="F31" s="628">
        <v>8000</v>
      </c>
      <c r="G31" s="628"/>
      <c r="H31" s="628">
        <f>SUM(F31:G31)</f>
        <v>8000</v>
      </c>
    </row>
    <row r="32" spans="1:8" ht="30" customHeight="1" x14ac:dyDescent="0.4">
      <c r="A32" s="515"/>
      <c r="B32" s="524" t="s">
        <v>634</v>
      </c>
      <c r="C32" s="629">
        <v>2037</v>
      </c>
      <c r="D32" s="629"/>
      <c r="E32" s="629"/>
      <c r="F32" s="629"/>
      <c r="G32" s="629"/>
      <c r="H32" s="628">
        <f>SUM(F32:G32)</f>
        <v>0</v>
      </c>
    </row>
    <row r="33" spans="1:8" ht="30" customHeight="1" x14ac:dyDescent="0.4">
      <c r="A33" s="521"/>
      <c r="B33" s="525" t="s">
        <v>30</v>
      </c>
      <c r="C33" s="635"/>
      <c r="D33" s="635"/>
      <c r="E33" s="635"/>
      <c r="F33" s="635"/>
      <c r="G33" s="636"/>
      <c r="H33" s="635"/>
    </row>
    <row r="34" spans="1:8" ht="50.25" customHeight="1" x14ac:dyDescent="0.4">
      <c r="A34" s="521"/>
      <c r="B34" s="526" t="s">
        <v>566</v>
      </c>
      <c r="C34" s="628"/>
      <c r="D34" s="628"/>
      <c r="E34" s="628"/>
      <c r="F34" s="628">
        <v>38449</v>
      </c>
      <c r="G34" s="628"/>
      <c r="H34" s="628">
        <f t="shared" ref="H34:H36" si="4">SUM(F34:G34)</f>
        <v>38449</v>
      </c>
    </row>
    <row r="35" spans="1:8" ht="30" customHeight="1" x14ac:dyDescent="0.4">
      <c r="A35" s="521"/>
      <c r="B35" s="526" t="s">
        <v>682</v>
      </c>
      <c r="C35" s="628"/>
      <c r="D35" s="628"/>
      <c r="E35" s="628"/>
      <c r="F35" s="628"/>
      <c r="G35" s="628">
        <v>800</v>
      </c>
      <c r="H35" s="628">
        <f t="shared" si="4"/>
        <v>800</v>
      </c>
    </row>
    <row r="36" spans="1:8" ht="30" customHeight="1" x14ac:dyDescent="0.4">
      <c r="A36" s="515"/>
      <c r="B36" s="523" t="s">
        <v>409</v>
      </c>
      <c r="C36" s="628">
        <v>11624</v>
      </c>
      <c r="D36" s="628"/>
      <c r="E36" s="628"/>
      <c r="F36" s="628">
        <v>92239</v>
      </c>
      <c r="G36" s="628"/>
      <c r="H36" s="628">
        <f t="shared" si="4"/>
        <v>92239</v>
      </c>
    </row>
    <row r="37" spans="1:8" ht="30" customHeight="1" x14ac:dyDescent="0.4">
      <c r="A37" s="1072" t="s">
        <v>65</v>
      </c>
      <c r="B37" s="1073"/>
      <c r="C37" s="637">
        <f t="shared" ref="C37:E37" si="5">SUM(C31:C36)</f>
        <v>25110</v>
      </c>
      <c r="D37" s="637">
        <f t="shared" si="5"/>
        <v>8000</v>
      </c>
      <c r="E37" s="637">
        <f t="shared" si="5"/>
        <v>8000</v>
      </c>
      <c r="F37" s="637">
        <f>SUM(F31:F36)</f>
        <v>138688</v>
      </c>
      <c r="G37" s="637">
        <f t="shared" ref="G37:H37" si="6">SUM(G31:G36)</f>
        <v>800</v>
      </c>
      <c r="H37" s="637">
        <f t="shared" si="6"/>
        <v>139488</v>
      </c>
    </row>
    <row r="38" spans="1:8" ht="30" customHeight="1" x14ac:dyDescent="0.4">
      <c r="A38" s="437" t="s">
        <v>104</v>
      </c>
      <c r="B38" s="527"/>
      <c r="C38" s="638"/>
      <c r="D38" s="638"/>
      <c r="E38" s="638"/>
      <c r="F38" s="638"/>
      <c r="G38" s="638"/>
      <c r="H38" s="638"/>
    </row>
    <row r="39" spans="1:8" ht="30" customHeight="1" x14ac:dyDescent="0.4">
      <c r="A39" s="437"/>
      <c r="B39" s="528" t="s">
        <v>180</v>
      </c>
      <c r="C39" s="639"/>
      <c r="D39" s="639"/>
      <c r="E39" s="639"/>
      <c r="F39" s="639"/>
      <c r="G39" s="639"/>
      <c r="H39" s="639"/>
    </row>
    <row r="40" spans="1:8" ht="30" customHeight="1" x14ac:dyDescent="0.4">
      <c r="A40" s="521"/>
      <c r="B40" s="529" t="s">
        <v>354</v>
      </c>
      <c r="C40" s="535">
        <v>160</v>
      </c>
      <c r="D40" s="535"/>
      <c r="E40" s="535"/>
      <c r="F40" s="535">
        <v>35</v>
      </c>
      <c r="G40" s="535"/>
      <c r="H40" s="628">
        <f>SUM(F40:G40)</f>
        <v>35</v>
      </c>
    </row>
    <row r="41" spans="1:8" ht="30" customHeight="1" x14ac:dyDescent="0.4">
      <c r="A41" s="521"/>
      <c r="B41" s="529" t="s">
        <v>98</v>
      </c>
      <c r="C41" s="535"/>
      <c r="D41" s="535"/>
      <c r="E41" s="535"/>
      <c r="F41" s="535"/>
      <c r="G41" s="535"/>
      <c r="H41" s="628"/>
    </row>
    <row r="42" spans="1:8" ht="30" customHeight="1" x14ac:dyDescent="0.4">
      <c r="A42" s="521"/>
      <c r="B42" s="529" t="s">
        <v>559</v>
      </c>
      <c r="C42" s="640">
        <v>43280</v>
      </c>
      <c r="D42" s="640"/>
      <c r="E42" s="640"/>
      <c r="F42" s="640"/>
      <c r="G42" s="640">
        <v>7200</v>
      </c>
      <c r="H42" s="628">
        <f t="shared" ref="H42:H49" si="7">SUM(F42:G42)</f>
        <v>7200</v>
      </c>
    </row>
    <row r="43" spans="1:8" ht="30" customHeight="1" x14ac:dyDescent="0.4">
      <c r="A43" s="521"/>
      <c r="B43" s="529" t="s">
        <v>332</v>
      </c>
      <c r="C43" s="640"/>
      <c r="D43" s="640"/>
      <c r="E43" s="640"/>
      <c r="F43" s="640"/>
      <c r="G43" s="640"/>
      <c r="H43" s="628"/>
    </row>
    <row r="44" spans="1:8" ht="30" customHeight="1" x14ac:dyDescent="0.4">
      <c r="A44" s="521"/>
      <c r="B44" s="529" t="s">
        <v>110</v>
      </c>
      <c r="C44" s="640">
        <v>6826</v>
      </c>
      <c r="D44" s="640"/>
      <c r="E44" s="640"/>
      <c r="F44" s="640"/>
      <c r="G44" s="640"/>
      <c r="H44" s="628">
        <f t="shared" si="7"/>
        <v>0</v>
      </c>
    </row>
    <row r="45" spans="1:8" ht="30" customHeight="1" x14ac:dyDescent="0.4">
      <c r="A45" s="521"/>
      <c r="B45" s="529" t="s">
        <v>71</v>
      </c>
      <c r="C45" s="640"/>
      <c r="D45" s="640"/>
      <c r="E45" s="640"/>
      <c r="F45" s="640"/>
      <c r="G45" s="640"/>
      <c r="H45" s="628"/>
    </row>
    <row r="46" spans="1:8" ht="30" customHeight="1" x14ac:dyDescent="0.4">
      <c r="A46" s="521"/>
      <c r="B46" s="529" t="s">
        <v>188</v>
      </c>
      <c r="C46" s="640">
        <v>272</v>
      </c>
      <c r="D46" s="640"/>
      <c r="E46" s="640"/>
      <c r="F46" s="640"/>
      <c r="G46" s="640"/>
      <c r="H46" s="628">
        <f t="shared" si="7"/>
        <v>0</v>
      </c>
    </row>
    <row r="47" spans="1:8" ht="30" customHeight="1" x14ac:dyDescent="0.4">
      <c r="A47" s="521"/>
      <c r="B47" s="529" t="s">
        <v>13</v>
      </c>
      <c r="C47" s="640"/>
      <c r="D47" s="640"/>
      <c r="E47" s="640"/>
      <c r="F47" s="640"/>
      <c r="G47" s="640"/>
      <c r="H47" s="628">
        <f t="shared" si="7"/>
        <v>0</v>
      </c>
    </row>
    <row r="48" spans="1:8" ht="30" customHeight="1" x14ac:dyDescent="0.4">
      <c r="A48" s="521"/>
      <c r="B48" s="529" t="s">
        <v>141</v>
      </c>
      <c r="C48" s="640"/>
      <c r="D48" s="640"/>
      <c r="E48" s="640"/>
      <c r="F48" s="640"/>
      <c r="G48" s="640"/>
      <c r="H48" s="628">
        <f t="shared" si="7"/>
        <v>0</v>
      </c>
    </row>
    <row r="49" spans="1:8" ht="30" customHeight="1" x14ac:dyDescent="0.4">
      <c r="A49" s="521"/>
      <c r="B49" s="529" t="s">
        <v>4</v>
      </c>
      <c r="C49" s="640">
        <v>1653</v>
      </c>
      <c r="D49" s="640"/>
      <c r="E49" s="640"/>
      <c r="F49" s="640"/>
      <c r="G49" s="640">
        <v>380</v>
      </c>
      <c r="H49" s="628">
        <f t="shared" si="7"/>
        <v>380</v>
      </c>
    </row>
    <row r="50" spans="1:8" ht="30" customHeight="1" x14ac:dyDescent="0.4">
      <c r="A50" s="1072" t="s">
        <v>62</v>
      </c>
      <c r="B50" s="1073"/>
      <c r="C50" s="641">
        <f t="shared" ref="C50:E50" si="8">SUM(C40:C49)</f>
        <v>52191</v>
      </c>
      <c r="D50" s="641">
        <f t="shared" si="8"/>
        <v>0</v>
      </c>
      <c r="E50" s="641">
        <f t="shared" si="8"/>
        <v>0</v>
      </c>
      <c r="F50" s="641">
        <f>SUM(F40:F49)</f>
        <v>35</v>
      </c>
      <c r="G50" s="641">
        <f>SUM(G40:G49)</f>
        <v>7580</v>
      </c>
      <c r="H50" s="641">
        <f>SUM(H40:H49)</f>
        <v>7615</v>
      </c>
    </row>
    <row r="51" spans="1:8" ht="30" customHeight="1" thickBot="1" x14ac:dyDescent="0.45">
      <c r="A51" s="1070" t="s">
        <v>293</v>
      </c>
      <c r="B51" s="1071"/>
      <c r="C51" s="642">
        <f t="shared" ref="C51:H51" si="9">C28+C22+C37+C50</f>
        <v>1060103</v>
      </c>
      <c r="D51" s="642">
        <f t="shared" si="9"/>
        <v>1008000</v>
      </c>
      <c r="E51" s="642">
        <f t="shared" si="9"/>
        <v>1008000</v>
      </c>
      <c r="F51" s="642">
        <f t="shared" si="9"/>
        <v>1138723</v>
      </c>
      <c r="G51" s="642">
        <f t="shared" si="9"/>
        <v>6256017</v>
      </c>
      <c r="H51" s="642">
        <f t="shared" si="9"/>
        <v>7394740</v>
      </c>
    </row>
    <row r="52" spans="1:8" ht="26.25" x14ac:dyDescent="0.4">
      <c r="A52" s="130"/>
      <c r="B52" s="130"/>
      <c r="C52" s="530"/>
      <c r="D52" s="530"/>
      <c r="E52" s="530"/>
      <c r="F52" s="530"/>
      <c r="G52" s="530"/>
      <c r="H52" s="530"/>
    </row>
    <row r="53" spans="1:8" ht="26.25" x14ac:dyDescent="0.4">
      <c r="C53" s="643"/>
      <c r="D53" s="643"/>
      <c r="E53" s="643"/>
      <c r="F53" s="643"/>
      <c r="G53" s="643"/>
      <c r="H53" s="643"/>
    </row>
    <row r="54" spans="1:8" ht="26.25" x14ac:dyDescent="0.4">
      <c r="C54" s="643"/>
      <c r="D54" s="643"/>
      <c r="E54" s="643"/>
      <c r="F54" s="643"/>
      <c r="G54" s="643"/>
      <c r="H54" s="643"/>
    </row>
    <row r="55" spans="1:8" ht="26.25" x14ac:dyDescent="0.4">
      <c r="C55" s="643"/>
      <c r="D55" s="643"/>
      <c r="E55" s="643"/>
      <c r="F55" s="643"/>
      <c r="G55" s="643"/>
      <c r="H55" s="643"/>
    </row>
    <row r="56" spans="1:8" ht="26.25" x14ac:dyDescent="0.4">
      <c r="C56" s="643"/>
      <c r="D56" s="643"/>
      <c r="E56" s="643"/>
      <c r="F56" s="643"/>
      <c r="G56" s="643"/>
      <c r="H56" s="643"/>
    </row>
    <row r="57" spans="1:8" ht="26.25" x14ac:dyDescent="0.4">
      <c r="C57" s="643"/>
      <c r="D57" s="643"/>
      <c r="E57" s="643"/>
      <c r="F57" s="643"/>
      <c r="G57" s="643"/>
      <c r="H57" s="643"/>
    </row>
    <row r="58" spans="1:8" ht="26.25" x14ac:dyDescent="0.4">
      <c r="C58" s="643"/>
      <c r="D58" s="643"/>
      <c r="E58" s="643"/>
      <c r="F58" s="643"/>
      <c r="G58" s="643"/>
      <c r="H58" s="643"/>
    </row>
    <row r="59" spans="1:8" ht="26.25" x14ac:dyDescent="0.4">
      <c r="C59" s="643"/>
      <c r="D59" s="643"/>
      <c r="E59" s="643"/>
      <c r="F59" s="643"/>
      <c r="G59" s="643"/>
      <c r="H59" s="643"/>
    </row>
  </sheetData>
  <mergeCells count="5">
    <mergeCell ref="A1:H1"/>
    <mergeCell ref="A51:B51"/>
    <mergeCell ref="A37:B37"/>
    <mergeCell ref="A22:B22"/>
    <mergeCell ref="A50:B50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33" orientation="portrait" r:id="rId1"/>
  <headerFooter alignWithMargins="0">
    <oddHeader xml:space="preserve">&amp;R&amp;"-,Félkövér"&amp;12 17. melléklet a 20/2025. (IX.30.) önkormányzati rendelethe&amp;"Times New Roman CE,Félkövér"z
"17. melléklet a 4/2025. (II.28) önkormányzati rendelethez"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1"/>
  <dimension ref="A1:H89"/>
  <sheetViews>
    <sheetView zoomScale="91" zoomScaleNormal="91" zoomScalePageLayoutView="55" workbookViewId="0">
      <selection activeCell="O57" sqref="O57"/>
    </sheetView>
  </sheetViews>
  <sheetFormatPr defaultColWidth="10.6640625" defaultRowHeight="15" customHeight="1" x14ac:dyDescent="0.3"/>
  <cols>
    <col min="1" max="1" width="5.6640625" style="20" customWidth="1"/>
    <col min="2" max="2" width="146.5" style="20" customWidth="1"/>
    <col min="3" max="4" width="33.1640625" style="20" customWidth="1"/>
    <col min="5" max="5" width="35.1640625" style="20" customWidth="1"/>
    <col min="6" max="6" width="36" style="20" customWidth="1"/>
    <col min="7" max="7" width="31.33203125" style="20" customWidth="1"/>
    <col min="8" max="8" width="34.5" style="20" customWidth="1"/>
    <col min="9" max="16384" width="10.6640625" style="20"/>
  </cols>
  <sheetData>
    <row r="1" spans="1:8" ht="15" customHeight="1" x14ac:dyDescent="0.3">
      <c r="A1" s="131"/>
      <c r="B1" s="131"/>
      <c r="C1" s="132"/>
      <c r="D1" s="132"/>
      <c r="E1" s="132"/>
      <c r="F1" s="132"/>
      <c r="G1" s="132"/>
      <c r="H1" s="132"/>
    </row>
    <row r="2" spans="1:8" s="643" customFormat="1" ht="23.25" customHeight="1" x14ac:dyDescent="0.4">
      <c r="A2" s="1069" t="s">
        <v>158</v>
      </c>
      <c r="B2" s="1069"/>
      <c r="C2" s="1069"/>
      <c r="D2" s="1069"/>
      <c r="E2" s="1069"/>
      <c r="F2" s="1069"/>
      <c r="G2" s="1069"/>
      <c r="H2" s="1069"/>
    </row>
    <row r="3" spans="1:8" ht="15" customHeight="1" thickBot="1" x14ac:dyDescent="0.35">
      <c r="A3" s="20" t="s">
        <v>12</v>
      </c>
      <c r="H3" s="12" t="s">
        <v>203</v>
      </c>
    </row>
    <row r="4" spans="1:8" ht="18.75" customHeight="1" x14ac:dyDescent="0.3">
      <c r="A4" s="1076" t="s">
        <v>156</v>
      </c>
      <c r="B4" s="1077"/>
      <c r="C4" s="395" t="s">
        <v>695</v>
      </c>
      <c r="D4" s="395" t="s">
        <v>578</v>
      </c>
      <c r="E4" s="395" t="s">
        <v>554</v>
      </c>
      <c r="F4" s="395" t="s">
        <v>560</v>
      </c>
      <c r="G4" s="395" t="s">
        <v>553</v>
      </c>
      <c r="H4" s="395" t="s">
        <v>580</v>
      </c>
    </row>
    <row r="5" spans="1:8" ht="31.5" customHeight="1" thickBot="1" x14ac:dyDescent="0.35">
      <c r="A5" s="133"/>
      <c r="B5" s="134"/>
      <c r="C5" s="397" t="s">
        <v>701</v>
      </c>
      <c r="D5" s="397" t="s">
        <v>335</v>
      </c>
      <c r="E5" s="397" t="s">
        <v>348</v>
      </c>
      <c r="F5" s="397" t="s">
        <v>348</v>
      </c>
      <c r="G5" s="397" t="s">
        <v>552</v>
      </c>
      <c r="H5" s="397" t="s">
        <v>348</v>
      </c>
    </row>
    <row r="6" spans="1:8" ht="26.25" x14ac:dyDescent="0.4">
      <c r="A6" s="135" t="s">
        <v>167</v>
      </c>
      <c r="B6" s="136" t="s">
        <v>128</v>
      </c>
      <c r="C6" s="644"/>
      <c r="D6" s="644"/>
      <c r="E6" s="644"/>
      <c r="F6" s="644"/>
      <c r="G6" s="644"/>
      <c r="H6" s="644"/>
    </row>
    <row r="7" spans="1:8" ht="26.25" x14ac:dyDescent="0.4">
      <c r="A7" s="137"/>
      <c r="B7" s="233" t="s">
        <v>430</v>
      </c>
      <c r="C7" s="535"/>
      <c r="D7" s="535"/>
      <c r="E7" s="535"/>
      <c r="F7" s="535">
        <v>81755</v>
      </c>
      <c r="G7" s="645"/>
      <c r="H7" s="535">
        <f>SUM(F7:G7)</f>
        <v>81755</v>
      </c>
    </row>
    <row r="8" spans="1:8" ht="26.25" x14ac:dyDescent="0.4">
      <c r="A8" s="137"/>
      <c r="B8" s="233" t="s">
        <v>637</v>
      </c>
      <c r="C8" s="535">
        <v>3783</v>
      </c>
      <c r="D8" s="535"/>
      <c r="E8" s="535"/>
      <c r="F8" s="535"/>
      <c r="G8" s="645"/>
      <c r="H8" s="535">
        <f t="shared" ref="H8:H13" si="0">SUM(F8:G8)</f>
        <v>0</v>
      </c>
    </row>
    <row r="9" spans="1:8" ht="42.75" customHeight="1" x14ac:dyDescent="0.4">
      <c r="A9" s="137"/>
      <c r="B9" s="233" t="s">
        <v>638</v>
      </c>
      <c r="C9" s="535">
        <v>4000</v>
      </c>
      <c r="D9" s="535"/>
      <c r="E9" s="535"/>
      <c r="F9" s="535"/>
      <c r="G9" s="645"/>
      <c r="H9" s="535">
        <f t="shared" si="0"/>
        <v>0</v>
      </c>
    </row>
    <row r="10" spans="1:8" ht="26.25" x14ac:dyDescent="0.4">
      <c r="A10" s="137"/>
      <c r="B10" s="233" t="s">
        <v>639</v>
      </c>
      <c r="C10" s="535">
        <v>21344</v>
      </c>
      <c r="D10" s="535"/>
      <c r="E10" s="535"/>
      <c r="F10" s="535"/>
      <c r="G10" s="645"/>
      <c r="H10" s="535">
        <f t="shared" si="0"/>
        <v>0</v>
      </c>
    </row>
    <row r="11" spans="1:8" ht="26.25" x14ac:dyDescent="0.4">
      <c r="A11" s="137"/>
      <c r="B11" s="233" t="s">
        <v>640</v>
      </c>
      <c r="C11" s="535">
        <v>16306</v>
      </c>
      <c r="D11" s="535"/>
      <c r="E11" s="535"/>
      <c r="F11" s="535"/>
      <c r="G11" s="645"/>
      <c r="H11" s="535">
        <f t="shared" si="0"/>
        <v>0</v>
      </c>
    </row>
    <row r="12" spans="1:8" ht="26.25" x14ac:dyDescent="0.4">
      <c r="A12" s="137"/>
      <c r="B12" s="233" t="s">
        <v>573</v>
      </c>
      <c r="C12" s="535"/>
      <c r="D12" s="535"/>
      <c r="E12" s="535"/>
      <c r="F12" s="535">
        <v>7000</v>
      </c>
      <c r="G12" s="645"/>
      <c r="H12" s="535">
        <f t="shared" si="0"/>
        <v>7000</v>
      </c>
    </row>
    <row r="13" spans="1:8" ht="26.25" x14ac:dyDescent="0.4">
      <c r="A13" s="137"/>
      <c r="B13" s="233" t="s">
        <v>533</v>
      </c>
      <c r="C13" s="640">
        <v>8729</v>
      </c>
      <c r="D13" s="640">
        <v>50000</v>
      </c>
      <c r="E13" s="640">
        <v>50000</v>
      </c>
      <c r="F13" s="640">
        <v>50000</v>
      </c>
      <c r="G13" s="646"/>
      <c r="H13" s="535">
        <f t="shared" si="0"/>
        <v>50000</v>
      </c>
    </row>
    <row r="14" spans="1:8" ht="26.25" x14ac:dyDescent="0.4">
      <c r="A14" s="139"/>
      <c r="B14" s="140" t="s">
        <v>154</v>
      </c>
      <c r="C14" s="637">
        <f t="shared" ref="C14:H14" si="1">SUM(C7:C13)</f>
        <v>54162</v>
      </c>
      <c r="D14" s="637">
        <f t="shared" si="1"/>
        <v>50000</v>
      </c>
      <c r="E14" s="637">
        <f t="shared" si="1"/>
        <v>50000</v>
      </c>
      <c r="F14" s="637">
        <f t="shared" si="1"/>
        <v>138755</v>
      </c>
      <c r="G14" s="637">
        <f t="shared" si="1"/>
        <v>0</v>
      </c>
      <c r="H14" s="637">
        <f t="shared" si="1"/>
        <v>138755</v>
      </c>
    </row>
    <row r="15" spans="1:8" ht="15" customHeight="1" x14ac:dyDescent="0.4">
      <c r="A15" s="141" t="s">
        <v>168</v>
      </c>
      <c r="B15" s="142" t="s">
        <v>155</v>
      </c>
      <c r="C15" s="647"/>
      <c r="D15" s="647"/>
      <c r="E15" s="647"/>
      <c r="F15" s="647"/>
      <c r="G15" s="648"/>
      <c r="H15" s="647"/>
    </row>
    <row r="16" spans="1:8" ht="26.25" x14ac:dyDescent="0.4">
      <c r="A16" s="135"/>
      <c r="B16" s="233" t="s">
        <v>541</v>
      </c>
      <c r="C16" s="628"/>
      <c r="D16" s="628">
        <v>100000</v>
      </c>
      <c r="E16" s="628">
        <v>100000</v>
      </c>
      <c r="F16" s="628">
        <v>100000</v>
      </c>
      <c r="G16" s="649"/>
      <c r="H16" s="628">
        <f>SUM(F16:G16)</f>
        <v>100000</v>
      </c>
    </row>
    <row r="17" spans="1:8" ht="26.25" x14ac:dyDescent="0.4">
      <c r="A17" s="139"/>
      <c r="B17" s="140" t="s">
        <v>124</v>
      </c>
      <c r="C17" s="637">
        <f t="shared" ref="C17:E17" si="2">SUM(C16:C16)</f>
        <v>0</v>
      </c>
      <c r="D17" s="637">
        <f t="shared" si="2"/>
        <v>100000</v>
      </c>
      <c r="E17" s="637">
        <f t="shared" si="2"/>
        <v>100000</v>
      </c>
      <c r="F17" s="637">
        <f>SUM(F16:F16)</f>
        <v>100000</v>
      </c>
      <c r="G17" s="650">
        <f>SUM(G16:G16)</f>
        <v>0</v>
      </c>
      <c r="H17" s="637">
        <f>SUM(H16:H16)</f>
        <v>100000</v>
      </c>
    </row>
    <row r="18" spans="1:8" ht="15" customHeight="1" x14ac:dyDescent="0.4">
      <c r="A18" s="135" t="s">
        <v>169</v>
      </c>
      <c r="B18" s="142" t="s">
        <v>171</v>
      </c>
      <c r="C18" s="647"/>
      <c r="D18" s="647"/>
      <c r="E18" s="647"/>
      <c r="F18" s="647"/>
      <c r="G18" s="647"/>
      <c r="H18" s="647"/>
    </row>
    <row r="19" spans="1:8" ht="26.25" x14ac:dyDescent="0.4">
      <c r="A19" s="137"/>
      <c r="B19" s="144" t="s">
        <v>346</v>
      </c>
      <c r="C19" s="628">
        <v>108283</v>
      </c>
      <c r="D19" s="628">
        <v>15000</v>
      </c>
      <c r="E19" s="628">
        <v>15000</v>
      </c>
      <c r="F19" s="628">
        <v>15000</v>
      </c>
      <c r="G19" s="400"/>
      <c r="H19" s="628">
        <f>SUM(F19:G19)</f>
        <v>15000</v>
      </c>
    </row>
    <row r="20" spans="1:8" ht="26.25" x14ac:dyDescent="0.4">
      <c r="A20" s="137"/>
      <c r="B20" s="144" t="s">
        <v>641</v>
      </c>
      <c r="C20" s="628">
        <v>15400</v>
      </c>
      <c r="D20" s="628"/>
      <c r="E20" s="628"/>
      <c r="F20" s="628"/>
      <c r="G20" s="400">
        <v>5499</v>
      </c>
      <c r="H20" s="628">
        <f>SUM(F20:G20)</f>
        <v>5499</v>
      </c>
    </row>
    <row r="21" spans="1:8" ht="26.25" x14ac:dyDescent="0.4">
      <c r="A21" s="137"/>
      <c r="B21" s="220" t="s">
        <v>519</v>
      </c>
      <c r="C21" s="632"/>
      <c r="D21" s="632">
        <v>40000</v>
      </c>
      <c r="E21" s="632">
        <v>40000</v>
      </c>
      <c r="F21" s="632">
        <v>40000</v>
      </c>
      <c r="G21" s="386">
        <f>12600-3484</f>
        <v>9116</v>
      </c>
      <c r="H21" s="628">
        <f t="shared" ref="H21:H22" si="3">SUM(F21:G21)</f>
        <v>49116</v>
      </c>
    </row>
    <row r="22" spans="1:8" ht="39" x14ac:dyDescent="0.4">
      <c r="A22" s="137"/>
      <c r="B22" s="220" t="s">
        <v>693</v>
      </c>
      <c r="C22" s="629"/>
      <c r="D22" s="629"/>
      <c r="E22" s="629"/>
      <c r="F22" s="629"/>
      <c r="G22" s="388">
        <v>3484</v>
      </c>
      <c r="H22" s="628">
        <f t="shared" si="3"/>
        <v>3484</v>
      </c>
    </row>
    <row r="23" spans="1:8" ht="26.25" x14ac:dyDescent="0.4">
      <c r="A23" s="139"/>
      <c r="B23" s="145" t="s">
        <v>137</v>
      </c>
      <c r="C23" s="637">
        <f>SUM(C18:C22)</f>
        <v>123683</v>
      </c>
      <c r="D23" s="637">
        <f t="shared" ref="D23:H23" si="4">SUM(D18:D22)</f>
        <v>55000</v>
      </c>
      <c r="E23" s="637">
        <f t="shared" si="4"/>
        <v>55000</v>
      </c>
      <c r="F23" s="637">
        <f t="shared" si="4"/>
        <v>55000</v>
      </c>
      <c r="G23" s="637">
        <f t="shared" si="4"/>
        <v>18099</v>
      </c>
      <c r="H23" s="637">
        <f t="shared" si="4"/>
        <v>73099</v>
      </c>
    </row>
    <row r="24" spans="1:8" ht="15" customHeight="1" x14ac:dyDescent="0.4">
      <c r="A24" s="135" t="s">
        <v>170</v>
      </c>
      <c r="B24" s="142" t="s">
        <v>138</v>
      </c>
      <c r="C24" s="647"/>
      <c r="D24" s="647"/>
      <c r="E24" s="647"/>
      <c r="F24" s="647"/>
      <c r="G24" s="647"/>
      <c r="H24" s="647"/>
    </row>
    <row r="25" spans="1:8" ht="26.25" x14ac:dyDescent="0.4">
      <c r="A25" s="146" t="s">
        <v>165</v>
      </c>
      <c r="B25" s="147"/>
      <c r="C25" s="651"/>
      <c r="D25" s="651"/>
      <c r="E25" s="651"/>
      <c r="F25" s="651"/>
      <c r="G25" s="651"/>
      <c r="H25" s="651"/>
    </row>
    <row r="26" spans="1:8" ht="26.25" x14ac:dyDescent="0.4">
      <c r="A26" s="137"/>
      <c r="B26" s="148" t="s">
        <v>269</v>
      </c>
      <c r="C26" s="400">
        <v>600839</v>
      </c>
      <c r="D26" s="400"/>
      <c r="E26" s="400"/>
      <c r="F26" s="400">
        <v>1101039</v>
      </c>
      <c r="G26" s="400"/>
      <c r="H26" s="400">
        <f>SUM(F26:G26)</f>
        <v>1101039</v>
      </c>
    </row>
    <row r="27" spans="1:8" ht="26.25" x14ac:dyDescent="0.4">
      <c r="A27" s="137"/>
      <c r="B27" s="148" t="s">
        <v>495</v>
      </c>
      <c r="C27" s="388">
        <v>188</v>
      </c>
      <c r="D27" s="388"/>
      <c r="E27" s="388"/>
      <c r="F27" s="388">
        <v>312</v>
      </c>
      <c r="G27" s="388"/>
      <c r="H27" s="400">
        <f t="shared" ref="H27:H76" si="5">SUM(F27:G27)</f>
        <v>312</v>
      </c>
    </row>
    <row r="28" spans="1:8" ht="26.25" x14ac:dyDescent="0.4">
      <c r="A28" s="146" t="s">
        <v>164</v>
      </c>
      <c r="B28" s="147"/>
      <c r="C28" s="652"/>
      <c r="D28" s="652"/>
      <c r="E28" s="652"/>
      <c r="F28" s="652"/>
      <c r="G28" s="652"/>
      <c r="H28" s="400">
        <f t="shared" si="5"/>
        <v>0</v>
      </c>
    </row>
    <row r="29" spans="1:8" ht="26.25" x14ac:dyDescent="0.4">
      <c r="A29" s="137"/>
      <c r="B29" s="144" t="s">
        <v>420</v>
      </c>
      <c r="C29" s="628">
        <v>3048</v>
      </c>
      <c r="D29" s="628"/>
      <c r="E29" s="628"/>
      <c r="F29" s="628">
        <v>4191</v>
      </c>
      <c r="G29" s="400"/>
      <c r="H29" s="400">
        <f t="shared" si="5"/>
        <v>4191</v>
      </c>
    </row>
    <row r="30" spans="1:8" ht="26.25" x14ac:dyDescent="0.4">
      <c r="A30" s="137"/>
      <c r="B30" s="144" t="s">
        <v>574</v>
      </c>
      <c r="C30" s="628"/>
      <c r="D30" s="628">
        <v>10000</v>
      </c>
      <c r="E30" s="628">
        <v>10000</v>
      </c>
      <c r="F30" s="628">
        <v>33000</v>
      </c>
      <c r="G30" s="400"/>
      <c r="H30" s="400">
        <f t="shared" si="5"/>
        <v>33000</v>
      </c>
    </row>
    <row r="31" spans="1:8" ht="26.25" x14ac:dyDescent="0.4">
      <c r="A31" s="137"/>
      <c r="B31" s="144" t="s">
        <v>642</v>
      </c>
      <c r="C31" s="628">
        <v>828</v>
      </c>
      <c r="D31" s="628"/>
      <c r="E31" s="628"/>
      <c r="F31" s="628"/>
      <c r="G31" s="400"/>
      <c r="H31" s="400">
        <f t="shared" si="5"/>
        <v>0</v>
      </c>
    </row>
    <row r="32" spans="1:8" ht="26.25" x14ac:dyDescent="0.4">
      <c r="A32" s="137"/>
      <c r="B32" s="144" t="s">
        <v>643</v>
      </c>
      <c r="C32" s="628">
        <v>5516</v>
      </c>
      <c r="D32" s="628"/>
      <c r="E32" s="628"/>
      <c r="F32" s="628"/>
      <c r="G32" s="400"/>
      <c r="H32" s="400">
        <f t="shared" si="5"/>
        <v>0</v>
      </c>
    </row>
    <row r="33" spans="1:8" ht="26.25" x14ac:dyDescent="0.4">
      <c r="A33" s="137"/>
      <c r="B33" s="144" t="s">
        <v>644</v>
      </c>
      <c r="C33" s="628">
        <v>1307</v>
      </c>
      <c r="D33" s="628"/>
      <c r="E33" s="628"/>
      <c r="F33" s="628"/>
      <c r="G33" s="400"/>
      <c r="H33" s="400">
        <f t="shared" si="5"/>
        <v>0</v>
      </c>
    </row>
    <row r="34" spans="1:8" ht="26.25" x14ac:dyDescent="0.4">
      <c r="A34" s="137"/>
      <c r="B34" s="149" t="s">
        <v>449</v>
      </c>
      <c r="C34" s="400">
        <v>388759</v>
      </c>
      <c r="D34" s="400"/>
      <c r="E34" s="400"/>
      <c r="F34" s="400">
        <v>983</v>
      </c>
      <c r="G34" s="400"/>
      <c r="H34" s="400">
        <f t="shared" si="5"/>
        <v>983</v>
      </c>
    </row>
    <row r="35" spans="1:8" ht="26.25" x14ac:dyDescent="0.4">
      <c r="A35" s="137"/>
      <c r="B35" s="149" t="s">
        <v>542</v>
      </c>
      <c r="C35" s="400"/>
      <c r="D35" s="400">
        <v>15000</v>
      </c>
      <c r="E35" s="400">
        <v>15000</v>
      </c>
      <c r="F35" s="400">
        <v>15000</v>
      </c>
      <c r="G35" s="400"/>
      <c r="H35" s="400">
        <f t="shared" si="5"/>
        <v>15000</v>
      </c>
    </row>
    <row r="36" spans="1:8" ht="26.25" x14ac:dyDescent="0.4">
      <c r="A36" s="137"/>
      <c r="B36" s="149" t="s">
        <v>567</v>
      </c>
      <c r="C36" s="400"/>
      <c r="D36" s="400"/>
      <c r="E36" s="400"/>
      <c r="F36" s="400">
        <v>38449</v>
      </c>
      <c r="G36" s="400"/>
      <c r="H36" s="400">
        <f t="shared" si="5"/>
        <v>38449</v>
      </c>
    </row>
    <row r="37" spans="1:8" ht="26.25" x14ac:dyDescent="0.4">
      <c r="A37" s="146" t="s">
        <v>166</v>
      </c>
      <c r="B37" s="150"/>
      <c r="C37" s="635"/>
      <c r="D37" s="635"/>
      <c r="E37" s="635"/>
      <c r="F37" s="635"/>
      <c r="G37" s="652"/>
      <c r="H37" s="400">
        <f t="shared" si="5"/>
        <v>0</v>
      </c>
    </row>
    <row r="38" spans="1:8" ht="39" x14ac:dyDescent="0.4">
      <c r="A38" s="146"/>
      <c r="B38" s="144" t="s">
        <v>496</v>
      </c>
      <c r="C38" s="628">
        <v>10812</v>
      </c>
      <c r="D38" s="628"/>
      <c r="E38" s="628"/>
      <c r="F38" s="628">
        <v>25010</v>
      </c>
      <c r="G38" s="400"/>
      <c r="H38" s="400">
        <f t="shared" si="5"/>
        <v>25010</v>
      </c>
    </row>
    <row r="39" spans="1:8" ht="26.25" x14ac:dyDescent="0.4">
      <c r="A39" s="137"/>
      <c r="B39" s="144" t="s">
        <v>115</v>
      </c>
      <c r="C39" s="628">
        <v>618</v>
      </c>
      <c r="D39" s="628"/>
      <c r="E39" s="628"/>
      <c r="F39" s="628">
        <v>2807</v>
      </c>
      <c r="G39" s="400"/>
      <c r="H39" s="400">
        <f t="shared" si="5"/>
        <v>2807</v>
      </c>
    </row>
    <row r="40" spans="1:8" ht="26.25" x14ac:dyDescent="0.4">
      <c r="A40" s="151"/>
      <c r="B40" s="138" t="s">
        <v>382</v>
      </c>
      <c r="C40" s="628"/>
      <c r="D40" s="628"/>
      <c r="E40" s="628"/>
      <c r="F40" s="628">
        <v>385</v>
      </c>
      <c r="G40" s="400"/>
      <c r="H40" s="400">
        <f t="shared" si="5"/>
        <v>385</v>
      </c>
    </row>
    <row r="41" spans="1:8" ht="26.25" x14ac:dyDescent="0.4">
      <c r="A41" s="151"/>
      <c r="B41" s="138" t="s">
        <v>645</v>
      </c>
      <c r="C41" s="628">
        <v>683</v>
      </c>
      <c r="D41" s="628"/>
      <c r="E41" s="628"/>
      <c r="F41" s="628"/>
      <c r="G41" s="400"/>
      <c r="H41" s="400">
        <f t="shared" si="5"/>
        <v>0</v>
      </c>
    </row>
    <row r="42" spans="1:8" ht="26.25" x14ac:dyDescent="0.4">
      <c r="A42" s="151"/>
      <c r="B42" s="138" t="s">
        <v>646</v>
      </c>
      <c r="C42" s="628">
        <v>18606</v>
      </c>
      <c r="D42" s="628"/>
      <c r="E42" s="628"/>
      <c r="F42" s="628"/>
      <c r="G42" s="400"/>
      <c r="H42" s="400">
        <f t="shared" si="5"/>
        <v>0</v>
      </c>
    </row>
    <row r="43" spans="1:8" ht="26.25" x14ac:dyDescent="0.4">
      <c r="A43" s="151"/>
      <c r="B43" s="138" t="s">
        <v>647</v>
      </c>
      <c r="C43" s="628">
        <v>1270</v>
      </c>
      <c r="D43" s="628"/>
      <c r="E43" s="628"/>
      <c r="F43" s="628"/>
      <c r="G43" s="400"/>
      <c r="H43" s="400">
        <f t="shared" si="5"/>
        <v>0</v>
      </c>
    </row>
    <row r="44" spans="1:8" ht="26.25" x14ac:dyDescent="0.4">
      <c r="A44" s="151"/>
      <c r="B44" s="138" t="s">
        <v>431</v>
      </c>
      <c r="C44" s="628">
        <v>433913</v>
      </c>
      <c r="D44" s="628"/>
      <c r="E44" s="628"/>
      <c r="F44" s="628">
        <v>7608</v>
      </c>
      <c r="G44" s="400"/>
      <c r="H44" s="400">
        <f t="shared" si="5"/>
        <v>7608</v>
      </c>
    </row>
    <row r="45" spans="1:8" ht="26.25" x14ac:dyDescent="0.4">
      <c r="A45" s="146" t="s">
        <v>16</v>
      </c>
      <c r="B45" s="150"/>
      <c r="C45" s="629"/>
      <c r="D45" s="629"/>
      <c r="E45" s="629"/>
      <c r="F45" s="629"/>
      <c r="G45" s="652"/>
      <c r="H45" s="400">
        <f t="shared" si="5"/>
        <v>0</v>
      </c>
    </row>
    <row r="46" spans="1:8" ht="25.15" customHeight="1" x14ac:dyDescent="0.4">
      <c r="A46" s="137"/>
      <c r="B46" s="143" t="s">
        <v>414</v>
      </c>
      <c r="C46" s="628">
        <v>10039</v>
      </c>
      <c r="D46" s="628"/>
      <c r="E46" s="628"/>
      <c r="F46" s="628">
        <v>8206</v>
      </c>
      <c r="G46" s="400"/>
      <c r="H46" s="400">
        <f t="shared" si="5"/>
        <v>8206</v>
      </c>
    </row>
    <row r="47" spans="1:8" ht="26.25" x14ac:dyDescent="0.4">
      <c r="A47" s="1078" t="s">
        <v>9</v>
      </c>
      <c r="B47" s="1079"/>
      <c r="C47" s="629"/>
      <c r="D47" s="629"/>
      <c r="E47" s="629"/>
      <c r="F47" s="629"/>
      <c r="G47" s="652"/>
      <c r="H47" s="400">
        <f t="shared" si="5"/>
        <v>0</v>
      </c>
    </row>
    <row r="48" spans="1:8" ht="26.25" x14ac:dyDescent="0.4">
      <c r="A48" s="146"/>
      <c r="B48" s="153" t="s">
        <v>648</v>
      </c>
      <c r="C48" s="628">
        <v>3429</v>
      </c>
      <c r="D48" s="628"/>
      <c r="E48" s="628"/>
      <c r="F48" s="628"/>
      <c r="G48" s="628"/>
      <c r="H48" s="400">
        <f t="shared" si="5"/>
        <v>0</v>
      </c>
    </row>
    <row r="49" spans="1:8" ht="26.25" x14ac:dyDescent="0.4">
      <c r="A49" s="146"/>
      <c r="B49" s="153" t="s">
        <v>649</v>
      </c>
      <c r="C49" s="628">
        <v>18719</v>
      </c>
      <c r="D49" s="628"/>
      <c r="E49" s="628"/>
      <c r="F49" s="628"/>
      <c r="G49" s="628"/>
      <c r="H49" s="400">
        <f t="shared" si="5"/>
        <v>0</v>
      </c>
    </row>
    <row r="50" spans="1:8" ht="26.25" x14ac:dyDescent="0.4">
      <c r="A50" s="146"/>
      <c r="B50" s="129" t="s">
        <v>650</v>
      </c>
      <c r="C50" s="628">
        <v>21016</v>
      </c>
      <c r="D50" s="628"/>
      <c r="E50" s="628"/>
      <c r="F50" s="628"/>
      <c r="G50" s="628"/>
      <c r="H50" s="400">
        <f t="shared" si="5"/>
        <v>0</v>
      </c>
    </row>
    <row r="51" spans="1:8" ht="26.25" x14ac:dyDescent="0.4">
      <c r="A51" s="146"/>
      <c r="B51" s="153" t="s">
        <v>651</v>
      </c>
      <c r="C51" s="628">
        <v>14986</v>
      </c>
      <c r="D51" s="628"/>
      <c r="E51" s="628"/>
      <c r="F51" s="628"/>
      <c r="G51" s="628"/>
      <c r="H51" s="400">
        <f t="shared" si="5"/>
        <v>0</v>
      </c>
    </row>
    <row r="52" spans="1:8" ht="26.25" x14ac:dyDescent="0.4">
      <c r="A52" s="146"/>
      <c r="B52" s="253" t="s">
        <v>683</v>
      </c>
      <c r="C52" s="628"/>
      <c r="D52" s="628"/>
      <c r="E52" s="628"/>
      <c r="F52" s="628"/>
      <c r="G52" s="628">
        <f>800+1205</f>
        <v>2005</v>
      </c>
      <c r="H52" s="400">
        <f t="shared" si="5"/>
        <v>2005</v>
      </c>
    </row>
    <row r="53" spans="1:8" ht="26.25" x14ac:dyDescent="0.4">
      <c r="A53" s="146" t="s">
        <v>19</v>
      </c>
      <c r="B53" s="150"/>
      <c r="C53" s="388"/>
      <c r="D53" s="388"/>
      <c r="E53" s="388"/>
      <c r="F53" s="388"/>
      <c r="G53" s="628"/>
      <c r="H53" s="400">
        <f t="shared" si="5"/>
        <v>0</v>
      </c>
    </row>
    <row r="54" spans="1:8" ht="26.25" x14ac:dyDescent="0.4">
      <c r="A54" s="151"/>
      <c r="B54" s="153" t="s">
        <v>456</v>
      </c>
      <c r="C54" s="628"/>
      <c r="D54" s="628"/>
      <c r="E54" s="628"/>
      <c r="F54" s="628">
        <v>33272</v>
      </c>
      <c r="G54" s="628"/>
      <c r="H54" s="400">
        <f t="shared" si="5"/>
        <v>33272</v>
      </c>
    </row>
    <row r="55" spans="1:8" ht="26.25" x14ac:dyDescent="0.4">
      <c r="A55" s="151"/>
      <c r="B55" s="153" t="s">
        <v>663</v>
      </c>
      <c r="C55" s="628"/>
      <c r="D55" s="628"/>
      <c r="E55" s="628"/>
      <c r="F55" s="628"/>
      <c r="G55" s="628">
        <v>647071</v>
      </c>
      <c r="H55" s="400">
        <f t="shared" si="5"/>
        <v>647071</v>
      </c>
    </row>
    <row r="56" spans="1:8" ht="26.25" x14ac:dyDescent="0.4">
      <c r="A56" s="151"/>
      <c r="B56" s="153" t="s">
        <v>665</v>
      </c>
      <c r="C56" s="628"/>
      <c r="D56" s="628"/>
      <c r="E56" s="628"/>
      <c r="F56" s="628"/>
      <c r="G56" s="628">
        <v>194065</v>
      </c>
      <c r="H56" s="400">
        <f t="shared" si="5"/>
        <v>194065</v>
      </c>
    </row>
    <row r="57" spans="1:8" ht="26.25" x14ac:dyDescent="0.4">
      <c r="A57" s="151"/>
      <c r="B57" s="153" t="s">
        <v>664</v>
      </c>
      <c r="C57" s="628"/>
      <c r="D57" s="628"/>
      <c r="E57" s="628"/>
      <c r="F57" s="628"/>
      <c r="G57" s="628">
        <v>544045</v>
      </c>
      <c r="H57" s="400">
        <f t="shared" si="5"/>
        <v>544045</v>
      </c>
    </row>
    <row r="58" spans="1:8" ht="26.25" x14ac:dyDescent="0.4">
      <c r="A58" s="151"/>
      <c r="B58" s="153" t="s">
        <v>660</v>
      </c>
      <c r="C58" s="628"/>
      <c r="D58" s="628"/>
      <c r="E58" s="628"/>
      <c r="F58" s="628"/>
      <c r="G58" s="628">
        <v>194800</v>
      </c>
      <c r="H58" s="400">
        <f t="shared" si="5"/>
        <v>194800</v>
      </c>
    </row>
    <row r="59" spans="1:8" ht="26.25" x14ac:dyDescent="0.4">
      <c r="A59" s="151"/>
      <c r="B59" s="153" t="s">
        <v>661</v>
      </c>
      <c r="C59" s="628"/>
      <c r="D59" s="628"/>
      <c r="E59" s="628"/>
      <c r="F59" s="628"/>
      <c r="G59" s="628">
        <v>358920</v>
      </c>
      <c r="H59" s="400">
        <f t="shared" si="5"/>
        <v>358920</v>
      </c>
    </row>
    <row r="60" spans="1:8" ht="26.25" x14ac:dyDescent="0.4">
      <c r="A60" s="151"/>
      <c r="B60" s="153" t="s">
        <v>662</v>
      </c>
      <c r="C60" s="628"/>
      <c r="D60" s="628"/>
      <c r="E60" s="628"/>
      <c r="F60" s="628"/>
      <c r="G60" s="628">
        <v>109473</v>
      </c>
      <c r="H60" s="400">
        <f t="shared" si="5"/>
        <v>109473</v>
      </c>
    </row>
    <row r="61" spans="1:8" ht="26.25" x14ac:dyDescent="0.4">
      <c r="A61" s="151"/>
      <c r="B61" s="153" t="s">
        <v>667</v>
      </c>
      <c r="C61" s="628"/>
      <c r="D61" s="628"/>
      <c r="E61" s="628"/>
      <c r="F61" s="628"/>
      <c r="G61" s="628">
        <v>460184</v>
      </c>
      <c r="H61" s="400">
        <f t="shared" si="5"/>
        <v>460184</v>
      </c>
    </row>
    <row r="62" spans="1:8" ht="26.25" x14ac:dyDescent="0.4">
      <c r="A62" s="151"/>
      <c r="B62" s="153" t="s">
        <v>666</v>
      </c>
      <c r="C62" s="628"/>
      <c r="D62" s="628"/>
      <c r="E62" s="628"/>
      <c r="F62" s="628"/>
      <c r="G62" s="628">
        <v>474062</v>
      </c>
      <c r="H62" s="400">
        <f t="shared" si="5"/>
        <v>474062</v>
      </c>
    </row>
    <row r="63" spans="1:8" ht="26.25" x14ac:dyDescent="0.4">
      <c r="A63" s="151"/>
      <c r="B63" s="153" t="s">
        <v>672</v>
      </c>
      <c r="C63" s="628"/>
      <c r="D63" s="628"/>
      <c r="E63" s="628"/>
      <c r="F63" s="628"/>
      <c r="G63" s="628">
        <v>449186</v>
      </c>
      <c r="H63" s="400">
        <f t="shared" si="5"/>
        <v>449186</v>
      </c>
    </row>
    <row r="64" spans="1:8" ht="26.25" x14ac:dyDescent="0.4">
      <c r="A64" s="151"/>
      <c r="B64" s="153" t="s">
        <v>673</v>
      </c>
      <c r="C64" s="628"/>
      <c r="D64" s="628"/>
      <c r="E64" s="628"/>
      <c r="F64" s="628"/>
      <c r="G64" s="628">
        <v>423301</v>
      </c>
      <c r="H64" s="400">
        <f t="shared" si="5"/>
        <v>423301</v>
      </c>
    </row>
    <row r="65" spans="1:8" ht="26.25" x14ac:dyDescent="0.4">
      <c r="A65" s="151"/>
      <c r="B65" s="153" t="s">
        <v>704</v>
      </c>
      <c r="C65" s="628"/>
      <c r="D65" s="628"/>
      <c r="E65" s="628"/>
      <c r="F65" s="628"/>
      <c r="G65" s="628">
        <v>225150</v>
      </c>
      <c r="H65" s="400">
        <f t="shared" si="5"/>
        <v>225150</v>
      </c>
    </row>
    <row r="66" spans="1:8" ht="26.25" x14ac:dyDescent="0.4">
      <c r="A66" s="151"/>
      <c r="B66" s="153" t="s">
        <v>675</v>
      </c>
      <c r="C66" s="628"/>
      <c r="D66" s="628"/>
      <c r="E66" s="628"/>
      <c r="F66" s="628"/>
      <c r="G66" s="628">
        <v>393968</v>
      </c>
      <c r="H66" s="400">
        <f t="shared" si="5"/>
        <v>393968</v>
      </c>
    </row>
    <row r="67" spans="1:8" ht="26.25" x14ac:dyDescent="0.4">
      <c r="A67" s="151"/>
      <c r="B67" s="153" t="s">
        <v>677</v>
      </c>
      <c r="C67" s="628"/>
      <c r="D67" s="628"/>
      <c r="E67" s="628"/>
      <c r="F67" s="628"/>
      <c r="G67" s="628">
        <v>514871</v>
      </c>
      <c r="H67" s="400">
        <f t="shared" si="5"/>
        <v>514871</v>
      </c>
    </row>
    <row r="68" spans="1:8" ht="26.25" x14ac:dyDescent="0.4">
      <c r="A68" s="151"/>
      <c r="B68" s="153" t="s">
        <v>678</v>
      </c>
      <c r="C68" s="628"/>
      <c r="D68" s="628"/>
      <c r="E68" s="628"/>
      <c r="F68" s="628"/>
      <c r="G68" s="628">
        <v>589110</v>
      </c>
      <c r="H68" s="400">
        <f t="shared" si="5"/>
        <v>589110</v>
      </c>
    </row>
    <row r="69" spans="1:8" ht="26.25" x14ac:dyDescent="0.4">
      <c r="A69" s="151"/>
      <c r="B69" s="153" t="s">
        <v>679</v>
      </c>
      <c r="C69" s="628"/>
      <c r="D69" s="628"/>
      <c r="E69" s="628"/>
      <c r="F69" s="628"/>
      <c r="G69" s="628">
        <v>662601</v>
      </c>
      <c r="H69" s="400">
        <f t="shared" si="5"/>
        <v>662601</v>
      </c>
    </row>
    <row r="70" spans="1:8" ht="21.6" customHeight="1" x14ac:dyDescent="0.4">
      <c r="A70" s="137"/>
      <c r="B70" s="3" t="s">
        <v>386</v>
      </c>
      <c r="C70" s="628"/>
      <c r="D70" s="628">
        <v>65542</v>
      </c>
      <c r="E70" s="628">
        <v>65542</v>
      </c>
      <c r="F70" s="628">
        <v>0</v>
      </c>
      <c r="G70" s="400"/>
      <c r="H70" s="400">
        <f t="shared" si="5"/>
        <v>0</v>
      </c>
    </row>
    <row r="71" spans="1:8" ht="39" x14ac:dyDescent="0.4">
      <c r="A71" s="137"/>
      <c r="B71" s="152" t="s">
        <v>429</v>
      </c>
      <c r="C71" s="628">
        <v>461656</v>
      </c>
      <c r="D71" s="628"/>
      <c r="E71" s="628"/>
      <c r="F71" s="628">
        <v>82</v>
      </c>
      <c r="G71" s="400"/>
      <c r="H71" s="400">
        <f t="shared" si="5"/>
        <v>82</v>
      </c>
    </row>
    <row r="72" spans="1:8" ht="39" customHeight="1" x14ac:dyDescent="0.4">
      <c r="A72" s="137"/>
      <c r="B72" s="152" t="s">
        <v>652</v>
      </c>
      <c r="C72" s="628">
        <v>2631</v>
      </c>
      <c r="D72" s="628"/>
      <c r="E72" s="628"/>
      <c r="F72" s="628"/>
      <c r="G72" s="400"/>
      <c r="H72" s="400">
        <f t="shared" si="5"/>
        <v>0</v>
      </c>
    </row>
    <row r="73" spans="1:8" ht="26.25" x14ac:dyDescent="0.4">
      <c r="A73" s="137"/>
      <c r="B73" s="152" t="s">
        <v>456</v>
      </c>
      <c r="C73" s="628">
        <v>23649</v>
      </c>
      <c r="D73" s="628"/>
      <c r="E73" s="628"/>
      <c r="F73" s="628"/>
      <c r="G73" s="400"/>
      <c r="H73" s="400">
        <f t="shared" si="5"/>
        <v>0</v>
      </c>
    </row>
    <row r="74" spans="1:8" ht="26.25" x14ac:dyDescent="0.4">
      <c r="A74" s="137"/>
      <c r="B74" s="152" t="s">
        <v>653</v>
      </c>
      <c r="C74" s="628">
        <v>79206</v>
      </c>
      <c r="D74" s="628"/>
      <c r="E74" s="628"/>
      <c r="F74" s="628"/>
      <c r="G74" s="400"/>
      <c r="H74" s="400">
        <f t="shared" si="5"/>
        <v>0</v>
      </c>
    </row>
    <row r="75" spans="1:8" ht="26.25" x14ac:dyDescent="0.4">
      <c r="A75" s="137"/>
      <c r="B75" s="152" t="s">
        <v>517</v>
      </c>
      <c r="C75" s="628">
        <v>112715</v>
      </c>
      <c r="D75" s="628"/>
      <c r="E75" s="628"/>
      <c r="F75" s="628">
        <v>30688</v>
      </c>
      <c r="G75" s="400">
        <v>-78</v>
      </c>
      <c r="H75" s="400">
        <f t="shared" si="5"/>
        <v>30610</v>
      </c>
    </row>
    <row r="76" spans="1:8" ht="27" thickBot="1" x14ac:dyDescent="0.45">
      <c r="A76" s="151"/>
      <c r="B76" s="152" t="s">
        <v>518</v>
      </c>
      <c r="C76" s="629"/>
      <c r="D76" s="629"/>
      <c r="E76" s="629"/>
      <c r="F76" s="629">
        <v>0</v>
      </c>
      <c r="G76" s="388">
        <v>78</v>
      </c>
      <c r="H76" s="400">
        <f t="shared" si="5"/>
        <v>78</v>
      </c>
    </row>
    <row r="77" spans="1:8" ht="27" thickBot="1" x14ac:dyDescent="0.45">
      <c r="A77" s="154"/>
      <c r="B77" s="155" t="s">
        <v>190</v>
      </c>
      <c r="C77" s="403">
        <f t="shared" ref="C77:H77" si="6">SUM(C26:C76)</f>
        <v>2214433</v>
      </c>
      <c r="D77" s="403">
        <f t="shared" si="6"/>
        <v>90542</v>
      </c>
      <c r="E77" s="403">
        <f t="shared" si="6"/>
        <v>90542</v>
      </c>
      <c r="F77" s="403">
        <f t="shared" si="6"/>
        <v>1301032</v>
      </c>
      <c r="G77" s="403">
        <f t="shared" si="6"/>
        <v>6242812</v>
      </c>
      <c r="H77" s="403">
        <f t="shared" si="6"/>
        <v>7543844</v>
      </c>
    </row>
    <row r="78" spans="1:8" ht="27" thickBot="1" x14ac:dyDescent="0.45">
      <c r="A78" s="156" t="s">
        <v>173</v>
      </c>
      <c r="B78" s="244" t="s">
        <v>33</v>
      </c>
      <c r="C78" s="653">
        <v>1157</v>
      </c>
      <c r="D78" s="653">
        <v>1200</v>
      </c>
      <c r="E78" s="653">
        <v>1200</v>
      </c>
      <c r="F78" s="653">
        <v>1200</v>
      </c>
      <c r="G78" s="654"/>
      <c r="H78" s="653">
        <f>SUM(F78:G78)</f>
        <v>1200</v>
      </c>
    </row>
    <row r="79" spans="1:8" ht="20.25" customHeight="1" thickBot="1" x14ac:dyDescent="0.45">
      <c r="A79" s="157" t="s">
        <v>294</v>
      </c>
      <c r="B79" s="158"/>
      <c r="C79" s="631">
        <f t="shared" ref="C79:H79" si="7">C14+C17+C23+C77+C78</f>
        <v>2393435</v>
      </c>
      <c r="D79" s="631">
        <f t="shared" si="7"/>
        <v>296742</v>
      </c>
      <c r="E79" s="631">
        <f t="shared" si="7"/>
        <v>296742</v>
      </c>
      <c r="F79" s="631">
        <f t="shared" si="7"/>
        <v>1595987</v>
      </c>
      <c r="G79" s="631">
        <f t="shared" si="7"/>
        <v>6260911</v>
      </c>
      <c r="H79" s="631">
        <f t="shared" si="7"/>
        <v>7856898</v>
      </c>
    </row>
    <row r="80" spans="1:8" ht="15" customHeight="1" x14ac:dyDescent="0.4">
      <c r="C80" s="643"/>
      <c r="D80" s="643"/>
      <c r="E80" s="643"/>
      <c r="F80" s="643"/>
      <c r="G80" s="643"/>
      <c r="H80" s="643"/>
    </row>
    <row r="81" spans="3:8" ht="15" customHeight="1" x14ac:dyDescent="0.4">
      <c r="C81" s="643"/>
      <c r="D81" s="643"/>
      <c r="E81" s="643"/>
      <c r="F81" s="643"/>
      <c r="G81" s="643"/>
      <c r="H81" s="643"/>
    </row>
    <row r="82" spans="3:8" ht="15" customHeight="1" x14ac:dyDescent="0.4">
      <c r="C82" s="655"/>
      <c r="D82" s="655"/>
      <c r="E82" s="655"/>
      <c r="F82" s="655"/>
      <c r="G82" s="643"/>
      <c r="H82" s="655"/>
    </row>
    <row r="83" spans="3:8" ht="15" customHeight="1" x14ac:dyDescent="0.4">
      <c r="C83" s="655"/>
      <c r="D83" s="655"/>
      <c r="E83" s="655"/>
      <c r="F83" s="655"/>
      <c r="G83" s="643"/>
      <c r="H83" s="655"/>
    </row>
    <row r="84" spans="3:8" ht="15" customHeight="1" x14ac:dyDescent="0.4">
      <c r="C84" s="655"/>
      <c r="D84" s="655"/>
      <c r="E84" s="655"/>
      <c r="F84" s="655"/>
      <c r="G84" s="643"/>
      <c r="H84" s="655"/>
    </row>
    <row r="85" spans="3:8" ht="15" customHeight="1" x14ac:dyDescent="0.4">
      <c r="C85" s="643"/>
      <c r="D85" s="643"/>
      <c r="E85" s="643"/>
      <c r="F85" s="643"/>
      <c r="G85" s="643"/>
      <c r="H85" s="643"/>
    </row>
    <row r="86" spans="3:8" ht="15" customHeight="1" x14ac:dyDescent="0.4">
      <c r="C86" s="643"/>
      <c r="D86" s="643"/>
      <c r="E86" s="643"/>
      <c r="F86" s="643"/>
      <c r="G86" s="643"/>
      <c r="H86" s="643"/>
    </row>
    <row r="87" spans="3:8" ht="15" customHeight="1" x14ac:dyDescent="0.4">
      <c r="C87" s="643"/>
      <c r="D87" s="643"/>
      <c r="E87" s="643"/>
      <c r="F87" s="643"/>
      <c r="G87" s="643"/>
      <c r="H87" s="643"/>
    </row>
    <row r="88" spans="3:8" ht="15" customHeight="1" x14ac:dyDescent="0.4">
      <c r="C88" s="643"/>
      <c r="D88" s="643"/>
      <c r="E88" s="643"/>
      <c r="F88" s="643"/>
      <c r="G88" s="643"/>
      <c r="H88" s="643"/>
    </row>
    <row r="89" spans="3:8" ht="15" customHeight="1" x14ac:dyDescent="0.4">
      <c r="C89" s="643"/>
      <c r="D89" s="643"/>
      <c r="E89" s="643"/>
      <c r="F89" s="643"/>
      <c r="G89" s="643"/>
      <c r="H89" s="643"/>
    </row>
  </sheetData>
  <customSheetViews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47:B47"/>
    <mergeCell ref="A2:H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38" fitToHeight="0" orientation="portrait" r:id="rId3"/>
  <headerFooter alignWithMargins="0">
    <oddHeader xml:space="preserve">&amp;R&amp;"-,Félkövér"&amp;14 18. melléklet a 20/2025. (IX.30.) önkormányzati rendelethez
"18. melléklet a 4/2025. (II.28) önkormányzati rendelethez"&amp;"Times New Roman CE,Félkövér"&amp;20
</oddHeader>
  </headerFooter>
  <rowBreaks count="1" manualBreakCount="1">
    <brk id="7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20"/>
  <sheetViews>
    <sheetView zoomScale="89" zoomScaleNormal="89" workbookViewId="0">
      <selection activeCell="B13" sqref="B13"/>
    </sheetView>
  </sheetViews>
  <sheetFormatPr defaultRowHeight="23.25" x14ac:dyDescent="0.35"/>
  <cols>
    <col min="1" max="1" width="102.83203125" style="704" customWidth="1"/>
    <col min="2" max="2" width="23.83203125" style="704" bestFit="1" customWidth="1"/>
    <col min="3" max="3" width="22.1640625" style="704" bestFit="1" customWidth="1"/>
    <col min="4" max="5" width="20.83203125" style="704" customWidth="1"/>
    <col min="6" max="6" width="22.1640625" style="704" bestFit="1" customWidth="1"/>
    <col min="7" max="14" width="20.83203125" style="704" customWidth="1"/>
    <col min="15" max="15" width="9.33203125" style="704"/>
    <col min="16" max="16" width="16.5" style="705" bestFit="1" customWidth="1"/>
    <col min="17" max="17" width="14.6640625" style="705" bestFit="1" customWidth="1"/>
    <col min="18" max="18" width="17.33203125" style="705" customWidth="1"/>
    <col min="19" max="19" width="13.33203125" style="705" bestFit="1" customWidth="1"/>
    <col min="20" max="21" width="9.33203125" style="705"/>
    <col min="22" max="16384" width="9.33203125" style="704"/>
  </cols>
  <sheetData>
    <row r="1" spans="1:21" s="658" customFormat="1" ht="26.25" x14ac:dyDescent="0.4">
      <c r="A1" s="565" t="s">
        <v>706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P1" s="659"/>
      <c r="Q1" s="659"/>
      <c r="R1" s="659"/>
      <c r="S1" s="659"/>
      <c r="T1" s="659"/>
      <c r="U1" s="659"/>
    </row>
    <row r="2" spans="1:21" s="661" customFormat="1" x14ac:dyDescent="0.35">
      <c r="A2" s="1080"/>
      <c r="B2" s="1080"/>
      <c r="P2" s="662"/>
      <c r="Q2" s="662"/>
      <c r="R2" s="662"/>
      <c r="S2" s="662"/>
      <c r="T2" s="662"/>
      <c r="U2" s="662"/>
    </row>
    <row r="3" spans="1:21" s="661" customFormat="1" ht="24" thickBot="1" x14ac:dyDescent="0.4">
      <c r="N3" s="700" t="s">
        <v>349</v>
      </c>
      <c r="P3" s="662"/>
      <c r="Q3" s="662"/>
      <c r="R3" s="662"/>
      <c r="S3" s="662"/>
      <c r="T3" s="662"/>
      <c r="U3" s="662"/>
    </row>
    <row r="4" spans="1:21" s="661" customFormat="1" ht="20.100000000000001" customHeight="1" x14ac:dyDescent="0.35">
      <c r="A4" s="685" t="s">
        <v>202</v>
      </c>
      <c r="B4" s="686" t="s">
        <v>218</v>
      </c>
      <c r="C4" s="686" t="s">
        <v>167</v>
      </c>
      <c r="D4" s="686" t="s">
        <v>168</v>
      </c>
      <c r="E4" s="686" t="s">
        <v>169</v>
      </c>
      <c r="F4" s="686" t="s">
        <v>170</v>
      </c>
      <c r="G4" s="686" t="s">
        <v>172</v>
      </c>
      <c r="H4" s="686" t="s">
        <v>173</v>
      </c>
      <c r="I4" s="686" t="s">
        <v>174</v>
      </c>
      <c r="J4" s="686" t="s">
        <v>175</v>
      </c>
      <c r="K4" s="686" t="s">
        <v>212</v>
      </c>
      <c r="L4" s="686" t="s">
        <v>213</v>
      </c>
      <c r="M4" s="686" t="s">
        <v>214</v>
      </c>
      <c r="N4" s="686" t="s">
        <v>215</v>
      </c>
      <c r="P4" s="662"/>
      <c r="Q4" s="662"/>
      <c r="R4" s="662"/>
      <c r="S4" s="662"/>
      <c r="T4" s="662"/>
      <c r="U4" s="662"/>
    </row>
    <row r="5" spans="1:21" s="661" customFormat="1" ht="20.100000000000001" customHeight="1" x14ac:dyDescent="0.35">
      <c r="A5" s="687"/>
      <c r="B5" s="688"/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P5" s="662"/>
      <c r="Q5" s="662"/>
      <c r="R5" s="662"/>
      <c r="S5" s="662"/>
      <c r="T5" s="662"/>
      <c r="U5" s="662"/>
    </row>
    <row r="6" spans="1:21" s="661" customFormat="1" ht="67.5" customHeight="1" thickBot="1" x14ac:dyDescent="0.4">
      <c r="A6" s="689"/>
      <c r="B6" s="690" t="s">
        <v>219</v>
      </c>
      <c r="C6" s="690" t="s">
        <v>220</v>
      </c>
      <c r="D6" s="690" t="s">
        <v>220</v>
      </c>
      <c r="E6" s="690" t="s">
        <v>220</v>
      </c>
      <c r="F6" s="690" t="s">
        <v>220</v>
      </c>
      <c r="G6" s="690" t="s">
        <v>220</v>
      </c>
      <c r="H6" s="690" t="s">
        <v>220</v>
      </c>
      <c r="I6" s="690" t="s">
        <v>220</v>
      </c>
      <c r="J6" s="690" t="s">
        <v>220</v>
      </c>
      <c r="K6" s="690" t="s">
        <v>220</v>
      </c>
      <c r="L6" s="690" t="s">
        <v>220</v>
      </c>
      <c r="M6" s="690" t="s">
        <v>220</v>
      </c>
      <c r="N6" s="690" t="s">
        <v>220</v>
      </c>
      <c r="P6" s="662"/>
      <c r="Q6" s="662"/>
      <c r="R6" s="662"/>
      <c r="S6" s="662"/>
      <c r="T6" s="662"/>
      <c r="U6" s="662"/>
    </row>
    <row r="7" spans="1:21" s="661" customFormat="1" ht="24" customHeight="1" x14ac:dyDescent="0.35">
      <c r="A7" s="691" t="s">
        <v>221</v>
      </c>
      <c r="B7" s="660">
        <f>'1 kiemelt ei. '!G13</f>
        <v>30265094</v>
      </c>
      <c r="C7" s="660">
        <f>1141413+3631</f>
        <v>1145044</v>
      </c>
      <c r="D7" s="660">
        <v>1141413</v>
      </c>
      <c r="E7" s="660">
        <f>1141413+4800000</f>
        <v>5941413</v>
      </c>
      <c r="F7" s="660">
        <f>1141413+7813+523400</f>
        <v>1672626</v>
      </c>
      <c r="G7" s="660">
        <f>1141413+3500000+7813</f>
        <v>4649226</v>
      </c>
      <c r="H7" s="660">
        <f>1141413+7813</f>
        <v>1149226</v>
      </c>
      <c r="I7" s="660">
        <f>1141413+7813</f>
        <v>1149226</v>
      </c>
      <c r="J7" s="660">
        <f>1141413+7813</f>
        <v>1149226</v>
      </c>
      <c r="K7" s="660">
        <f>1141413+4800000+7000+7813+706634</f>
        <v>6662860</v>
      </c>
      <c r="L7" s="660">
        <f>1141413+7813</f>
        <v>1149226</v>
      </c>
      <c r="M7" s="660">
        <f>1141413+7813+173000+300000</f>
        <v>1622226</v>
      </c>
      <c r="N7" s="660">
        <f>1141413-3+1200000+7813-9801+274960+219000</f>
        <v>2833382</v>
      </c>
      <c r="P7" s="662"/>
      <c r="Q7" s="662"/>
      <c r="R7" s="662"/>
      <c r="S7" s="662"/>
      <c r="T7" s="662"/>
      <c r="U7" s="662"/>
    </row>
    <row r="8" spans="1:21" s="661" customFormat="1" ht="24" customHeight="1" thickBot="1" x14ac:dyDescent="0.4">
      <c r="A8" s="689" t="s">
        <v>222</v>
      </c>
      <c r="B8" s="663">
        <f>'1 kiemelt ei. '!G17</f>
        <v>7394740</v>
      </c>
      <c r="C8" s="663">
        <v>667</v>
      </c>
      <c r="D8" s="663">
        <v>667</v>
      </c>
      <c r="E8" s="663">
        <v>667</v>
      </c>
      <c r="F8" s="663">
        <f>667+38449</f>
        <v>39116</v>
      </c>
      <c r="G8" s="663">
        <f>667+92274</f>
        <v>92941</v>
      </c>
      <c r="H8" s="663">
        <v>667</v>
      </c>
      <c r="I8" s="663">
        <v>667</v>
      </c>
      <c r="J8" s="663">
        <v>667</v>
      </c>
      <c r="K8" s="663">
        <f>500000+667</f>
        <v>500667</v>
      </c>
      <c r="L8" s="663">
        <f>500000+667</f>
        <v>500667</v>
      </c>
      <c r="M8" s="663">
        <v>667</v>
      </c>
      <c r="N8" s="663">
        <f>663+6256017</f>
        <v>6256680</v>
      </c>
      <c r="P8" s="662"/>
      <c r="Q8" s="662"/>
      <c r="R8" s="662"/>
      <c r="S8" s="662"/>
      <c r="T8" s="662"/>
      <c r="U8" s="662"/>
    </row>
    <row r="9" spans="1:21" s="665" customFormat="1" ht="24" customHeight="1" thickBot="1" x14ac:dyDescent="0.4">
      <c r="A9" s="701" t="s">
        <v>223</v>
      </c>
      <c r="B9" s="664">
        <f t="shared" ref="B9:N9" si="0">+B7+B8</f>
        <v>37659834</v>
      </c>
      <c r="C9" s="664">
        <f t="shared" si="0"/>
        <v>1145711</v>
      </c>
      <c r="D9" s="664">
        <f t="shared" si="0"/>
        <v>1142080</v>
      </c>
      <c r="E9" s="664">
        <f t="shared" si="0"/>
        <v>5942080</v>
      </c>
      <c r="F9" s="664">
        <f t="shared" si="0"/>
        <v>1711742</v>
      </c>
      <c r="G9" s="664">
        <f t="shared" si="0"/>
        <v>4742167</v>
      </c>
      <c r="H9" s="664">
        <f t="shared" si="0"/>
        <v>1149893</v>
      </c>
      <c r="I9" s="664">
        <f t="shared" si="0"/>
        <v>1149893</v>
      </c>
      <c r="J9" s="664">
        <f t="shared" si="0"/>
        <v>1149893</v>
      </c>
      <c r="K9" s="664">
        <f t="shared" si="0"/>
        <v>7163527</v>
      </c>
      <c r="L9" s="664">
        <f t="shared" si="0"/>
        <v>1649893</v>
      </c>
      <c r="M9" s="664">
        <f t="shared" si="0"/>
        <v>1622893</v>
      </c>
      <c r="N9" s="664">
        <f t="shared" si="0"/>
        <v>9090062</v>
      </c>
      <c r="P9" s="666"/>
      <c r="Q9" s="666"/>
      <c r="R9" s="666"/>
      <c r="S9" s="666"/>
      <c r="T9" s="666"/>
      <c r="U9" s="666"/>
    </row>
    <row r="10" spans="1:21" s="661" customFormat="1" ht="49.5" customHeight="1" thickBot="1" x14ac:dyDescent="0.4">
      <c r="A10" s="702" t="s">
        <v>224</v>
      </c>
      <c r="B10" s="667">
        <f>'1 kiemelt ei. '!G19</f>
        <v>3955900</v>
      </c>
      <c r="C10" s="668">
        <v>1090095</v>
      </c>
      <c r="D10" s="668"/>
      <c r="E10" s="668"/>
      <c r="F10" s="668"/>
      <c r="G10" s="668">
        <v>2126283</v>
      </c>
      <c r="H10" s="668"/>
      <c r="I10" s="668"/>
      <c r="J10" s="668"/>
      <c r="K10" s="668">
        <v>739522</v>
      </c>
      <c r="L10" s="668"/>
      <c r="M10" s="668"/>
      <c r="N10" s="668"/>
      <c r="P10" s="666"/>
      <c r="Q10" s="662"/>
      <c r="R10" s="662"/>
      <c r="S10" s="662"/>
      <c r="T10" s="662"/>
      <c r="U10" s="662"/>
    </row>
    <row r="11" spans="1:21" s="665" customFormat="1" ht="24" customHeight="1" thickBot="1" x14ac:dyDescent="0.4">
      <c r="A11" s="693" t="s">
        <v>225</v>
      </c>
      <c r="B11" s="664">
        <f>+B9+B10</f>
        <v>41615734</v>
      </c>
      <c r="C11" s="664">
        <f t="shared" ref="C11:N11" si="1">+C9+C10</f>
        <v>2235806</v>
      </c>
      <c r="D11" s="664">
        <f t="shared" si="1"/>
        <v>1142080</v>
      </c>
      <c r="E11" s="664">
        <f t="shared" si="1"/>
        <v>5942080</v>
      </c>
      <c r="F11" s="664">
        <f t="shared" si="1"/>
        <v>1711742</v>
      </c>
      <c r="G11" s="664">
        <f t="shared" si="1"/>
        <v>6868450</v>
      </c>
      <c r="H11" s="664">
        <f t="shared" si="1"/>
        <v>1149893</v>
      </c>
      <c r="I11" s="664">
        <f t="shared" si="1"/>
        <v>1149893</v>
      </c>
      <c r="J11" s="664">
        <f t="shared" si="1"/>
        <v>1149893</v>
      </c>
      <c r="K11" s="664">
        <f t="shared" si="1"/>
        <v>7903049</v>
      </c>
      <c r="L11" s="664">
        <f t="shared" si="1"/>
        <v>1649893</v>
      </c>
      <c r="M11" s="664">
        <f t="shared" si="1"/>
        <v>1622893</v>
      </c>
      <c r="N11" s="664">
        <f t="shared" si="1"/>
        <v>9090062</v>
      </c>
      <c r="P11" s="666"/>
      <c r="Q11" s="666"/>
      <c r="R11" s="666"/>
      <c r="S11" s="666"/>
      <c r="T11" s="666"/>
      <c r="U11" s="666"/>
    </row>
    <row r="12" spans="1:21" s="661" customFormat="1" ht="24" customHeight="1" x14ac:dyDescent="0.35">
      <c r="P12" s="662"/>
      <c r="Q12" s="662"/>
      <c r="R12" s="662"/>
      <c r="S12" s="662"/>
      <c r="T12" s="662"/>
      <c r="U12" s="662"/>
    </row>
    <row r="13" spans="1:21" s="661" customFormat="1" x14ac:dyDescent="0.35">
      <c r="B13" s="662"/>
      <c r="P13" s="662"/>
      <c r="Q13" s="662"/>
      <c r="R13" s="662"/>
      <c r="S13" s="662"/>
      <c r="T13" s="662"/>
      <c r="U13" s="662"/>
    </row>
    <row r="14" spans="1:21" s="661" customFormat="1" x14ac:dyDescent="0.35">
      <c r="C14" s="662"/>
      <c r="D14" s="662"/>
      <c r="E14" s="662"/>
      <c r="F14" s="662"/>
      <c r="G14" s="662"/>
      <c r="H14" s="662"/>
      <c r="I14" s="662"/>
      <c r="J14" s="662"/>
      <c r="K14" s="662"/>
      <c r="L14" s="662"/>
      <c r="M14" s="662"/>
      <c r="N14" s="662"/>
      <c r="P14" s="662"/>
      <c r="Q14" s="662"/>
      <c r="R14" s="662"/>
      <c r="S14" s="662"/>
      <c r="T14" s="662"/>
      <c r="U14" s="662"/>
    </row>
    <row r="15" spans="1:21" s="661" customFormat="1" x14ac:dyDescent="0.35">
      <c r="C15" s="662"/>
      <c r="P15" s="662"/>
      <c r="Q15" s="662"/>
      <c r="R15" s="662"/>
      <c r="S15" s="662"/>
      <c r="T15" s="662"/>
      <c r="U15" s="662"/>
    </row>
    <row r="16" spans="1:21" s="661" customFormat="1" x14ac:dyDescent="0.35">
      <c r="C16" s="703"/>
      <c r="D16" s="703"/>
      <c r="E16" s="703"/>
      <c r="F16" s="703"/>
      <c r="G16" s="703"/>
      <c r="H16" s="703"/>
      <c r="I16" s="703"/>
      <c r="J16" s="703"/>
      <c r="K16" s="703"/>
      <c r="L16" s="703"/>
      <c r="M16" s="703"/>
      <c r="N16" s="703"/>
      <c r="P16" s="662"/>
      <c r="Q16" s="662"/>
      <c r="R16" s="662"/>
      <c r="S16" s="662"/>
      <c r="T16" s="662"/>
      <c r="U16" s="662"/>
    </row>
    <row r="17" spans="2:21" s="661" customFormat="1" x14ac:dyDescent="0.35">
      <c r="P17" s="662"/>
      <c r="Q17" s="662"/>
      <c r="R17" s="662"/>
      <c r="S17" s="662"/>
      <c r="T17" s="662"/>
      <c r="U17" s="662"/>
    </row>
    <row r="18" spans="2:21" s="661" customFormat="1" x14ac:dyDescent="0.35">
      <c r="B18" s="662"/>
      <c r="C18" s="662"/>
      <c r="P18" s="662"/>
      <c r="Q18" s="662"/>
      <c r="R18" s="662"/>
      <c r="S18" s="662"/>
      <c r="T18" s="662"/>
      <c r="U18" s="662"/>
    </row>
    <row r="19" spans="2:21" s="661" customFormat="1" x14ac:dyDescent="0.35">
      <c r="P19" s="662"/>
      <c r="Q19" s="662"/>
      <c r="R19" s="662"/>
      <c r="S19" s="662"/>
      <c r="T19" s="662"/>
      <c r="U19" s="662"/>
    </row>
    <row r="20" spans="2:21" s="661" customFormat="1" x14ac:dyDescent="0.35">
      <c r="C20" s="662"/>
      <c r="P20" s="662"/>
      <c r="Q20" s="662"/>
      <c r="R20" s="662"/>
      <c r="S20" s="662"/>
      <c r="T20" s="662"/>
      <c r="U20" s="662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&amp;R&amp;"-,Félkövér"&amp;12 19. melléklet a 20/2025. (IX.30.) önkormányzati rendelethe&amp;"Times New Roman CE,Félkövér"z
"19. melléklet a 4/2025. (II.28) önkormányzati rendelethez"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2:Q62"/>
  <sheetViews>
    <sheetView zoomScale="75" zoomScaleNormal="75" workbookViewId="0">
      <selection activeCell="E61" sqref="E61"/>
    </sheetView>
  </sheetViews>
  <sheetFormatPr defaultRowHeight="15" customHeight="1" x14ac:dyDescent="0.35"/>
  <cols>
    <col min="1" max="1" width="3.1640625" style="124" customWidth="1"/>
    <col min="2" max="2" width="5" style="124" customWidth="1"/>
    <col min="3" max="3" width="107.1640625" style="124" customWidth="1"/>
    <col min="4" max="7" width="29.5" style="124" bestFit="1" customWidth="1"/>
    <col min="8" max="8" width="40" style="124" customWidth="1"/>
    <col min="9" max="9" width="40.1640625" style="124" customWidth="1"/>
    <col min="10" max="10" width="33.6640625" style="124" customWidth="1"/>
    <col min="11" max="11" width="120.6640625" style="124" customWidth="1"/>
    <col min="12" max="15" width="33" style="124" customWidth="1"/>
    <col min="16" max="16" width="39.6640625" style="124" customWidth="1"/>
    <col min="17" max="17" width="40.6640625" style="124" customWidth="1"/>
    <col min="18" max="18" width="7.83203125" style="124" customWidth="1"/>
    <col min="19" max="19" width="10.5" style="124" bestFit="1" customWidth="1"/>
    <col min="20" max="16384" width="9.33203125" style="124"/>
  </cols>
  <sheetData>
    <row r="2" spans="1:17" s="531" customFormat="1" ht="18.75" customHeight="1" x14ac:dyDescent="0.4">
      <c r="A2" s="1017" t="s">
        <v>390</v>
      </c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</row>
    <row r="3" spans="1:17" ht="15" customHeight="1" thickBot="1" x14ac:dyDescent="0.4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248" t="s">
        <v>203</v>
      </c>
    </row>
    <row r="4" spans="1:17" ht="60" customHeight="1" x14ac:dyDescent="0.35">
      <c r="A4" s="304"/>
      <c r="B4" s="305" t="s">
        <v>14</v>
      </c>
      <c r="C4" s="305"/>
      <c r="D4" s="306" t="s">
        <v>695</v>
      </c>
      <c r="E4" s="306" t="s">
        <v>578</v>
      </c>
      <c r="F4" s="306" t="s">
        <v>554</v>
      </c>
      <c r="G4" s="306" t="s">
        <v>560</v>
      </c>
      <c r="H4" s="306" t="s">
        <v>551</v>
      </c>
      <c r="I4" s="306" t="s">
        <v>579</v>
      </c>
      <c r="J4" s="305" t="s">
        <v>15</v>
      </c>
      <c r="K4" s="307"/>
      <c r="L4" s="306" t="s">
        <v>695</v>
      </c>
      <c r="M4" s="306" t="s">
        <v>578</v>
      </c>
      <c r="N4" s="306" t="s">
        <v>554</v>
      </c>
      <c r="O4" s="306" t="s">
        <v>560</v>
      </c>
      <c r="P4" s="306" t="s">
        <v>551</v>
      </c>
      <c r="Q4" s="306" t="s">
        <v>579</v>
      </c>
    </row>
    <row r="5" spans="1:17" ht="60" customHeight="1" x14ac:dyDescent="0.35">
      <c r="A5" s="308"/>
      <c r="B5" s="208"/>
      <c r="C5" s="208"/>
      <c r="D5" s="309" t="s">
        <v>696</v>
      </c>
      <c r="E5" s="309" t="s">
        <v>697</v>
      </c>
      <c r="F5" s="309" t="s">
        <v>699</v>
      </c>
      <c r="G5" s="309" t="s">
        <v>699</v>
      </c>
      <c r="H5" s="309" t="s">
        <v>552</v>
      </c>
      <c r="I5" s="309" t="s">
        <v>699</v>
      </c>
      <c r="J5" s="208"/>
      <c r="L5" s="309" t="s">
        <v>696</v>
      </c>
      <c r="M5" s="309" t="s">
        <v>697</v>
      </c>
      <c r="N5" s="309" t="s">
        <v>699</v>
      </c>
      <c r="O5" s="309" t="s">
        <v>699</v>
      </c>
      <c r="P5" s="309" t="s">
        <v>552</v>
      </c>
      <c r="Q5" s="309" t="s">
        <v>699</v>
      </c>
    </row>
    <row r="6" spans="1:17" ht="60" customHeight="1" thickBot="1" x14ac:dyDescent="0.4">
      <c r="A6" s="310"/>
      <c r="B6" s="311"/>
      <c r="C6" s="311"/>
      <c r="D6" s="312"/>
      <c r="E6" s="309" t="s">
        <v>698</v>
      </c>
      <c r="F6" s="380" t="s">
        <v>698</v>
      </c>
      <c r="G6" s="380" t="s">
        <v>700</v>
      </c>
      <c r="H6" s="312"/>
      <c r="I6" s="380" t="s">
        <v>700</v>
      </c>
      <c r="J6" s="313"/>
      <c r="K6" s="314"/>
      <c r="L6" s="312"/>
      <c r="M6" s="309" t="s">
        <v>698</v>
      </c>
      <c r="N6" s="380" t="s">
        <v>698</v>
      </c>
      <c r="O6" s="380" t="s">
        <v>700</v>
      </c>
      <c r="P6" s="312"/>
      <c r="Q6" s="380" t="s">
        <v>700</v>
      </c>
    </row>
    <row r="7" spans="1:17" ht="60" customHeight="1" x14ac:dyDescent="0.4">
      <c r="A7" s="315" t="s">
        <v>107</v>
      </c>
      <c r="B7" s="316"/>
      <c r="C7" s="316"/>
      <c r="D7" s="381">
        <f>'3 működési bevételek'!F51</f>
        <v>9226843</v>
      </c>
      <c r="E7" s="381">
        <f>'3 működési bevételek'!G51</f>
        <v>9551585</v>
      </c>
      <c r="F7" s="381">
        <f>'3 működési bevételek'!H51</f>
        <v>9612101</v>
      </c>
      <c r="G7" s="381">
        <f>'3 működési bevételek'!I51</f>
        <v>9809521</v>
      </c>
      <c r="H7" s="381">
        <f>'3 működési bevételek'!J51</f>
        <v>-41915</v>
      </c>
      <c r="I7" s="381">
        <f>'3 működési bevételek'!K51</f>
        <v>9767606</v>
      </c>
      <c r="J7" s="316" t="s">
        <v>197</v>
      </c>
      <c r="K7" s="317"/>
      <c r="L7" s="399">
        <f>+'8 oktatás'!B25+'8 oktatás'!B9</f>
        <v>5222603</v>
      </c>
      <c r="M7" s="399">
        <f>+'8 oktatás'!C25+'8 oktatás'!C9</f>
        <v>6070061</v>
      </c>
      <c r="N7" s="399">
        <f>+'8 oktatás'!D25+'8 oktatás'!D9</f>
        <v>6070061</v>
      </c>
      <c r="O7" s="399">
        <f>+'8 oktatás'!E25+'8 oktatás'!E9</f>
        <v>6230201</v>
      </c>
      <c r="P7" s="399">
        <f>+'8 oktatás'!F25+'8 oktatás'!F9</f>
        <v>5046</v>
      </c>
      <c r="Q7" s="399">
        <f>'8 oktatás'!G26</f>
        <v>6235247</v>
      </c>
    </row>
    <row r="8" spans="1:17" ht="60" customHeight="1" x14ac:dyDescent="0.4">
      <c r="A8" s="318" t="s">
        <v>181</v>
      </c>
      <c r="B8" s="206"/>
      <c r="C8" s="206"/>
      <c r="D8" s="382">
        <f>'3 működési bevételek'!F65</f>
        <v>13653008</v>
      </c>
      <c r="E8" s="382">
        <f>'3 működési bevételek'!G65</f>
        <v>14308000</v>
      </c>
      <c r="F8" s="382">
        <f>'3 működési bevételek'!H65</f>
        <v>14308000</v>
      </c>
      <c r="G8" s="382">
        <f>'3 működési bevételek'!I65</f>
        <v>14310285</v>
      </c>
      <c r="H8" s="382">
        <f>'3 működési bevételek'!J65</f>
        <v>2496</v>
      </c>
      <c r="I8" s="382">
        <f>'3 működési bevételek'!K65</f>
        <v>14312781</v>
      </c>
      <c r="J8" s="206" t="s">
        <v>276</v>
      </c>
      <c r="K8" s="319"/>
      <c r="L8" s="400">
        <f>'9 kultúra'!B65</f>
        <v>3854333</v>
      </c>
      <c r="M8" s="400">
        <f>'9 kultúra'!C65</f>
        <v>3102126</v>
      </c>
      <c r="N8" s="400">
        <f>'9 kultúra'!D65</f>
        <v>3102126</v>
      </c>
      <c r="O8" s="400">
        <f>'9 kultúra'!E65</f>
        <v>3984739</v>
      </c>
      <c r="P8" s="400">
        <f>'9 kultúra'!F65</f>
        <v>-35837</v>
      </c>
      <c r="Q8" s="400">
        <f>'9 kultúra'!G65</f>
        <v>3948902</v>
      </c>
    </row>
    <row r="9" spans="1:17" ht="60" customHeight="1" x14ac:dyDescent="0.4">
      <c r="A9" s="320" t="s">
        <v>50</v>
      </c>
      <c r="B9" s="321"/>
      <c r="C9" s="321"/>
      <c r="D9" s="383">
        <f>'3 működési bevételek'!F99</f>
        <v>3053852</v>
      </c>
      <c r="E9" s="383">
        <f>'3 működési bevételek'!G99</f>
        <v>2148686</v>
      </c>
      <c r="F9" s="383">
        <f>'3 működési bevételek'!H99</f>
        <v>2148686</v>
      </c>
      <c r="G9" s="383">
        <f>'3 működési bevételek'!I99</f>
        <v>3295996</v>
      </c>
      <c r="H9" s="383">
        <f>'3 működési bevételek'!J99</f>
        <v>322501</v>
      </c>
      <c r="I9" s="383">
        <f>'3 működési bevételek'!K99</f>
        <v>3618497</v>
      </c>
      <c r="J9" s="321" t="s">
        <v>145</v>
      </c>
      <c r="K9" s="322"/>
      <c r="L9" s="386">
        <f>'10 szociális'!B37</f>
        <v>2587010</v>
      </c>
      <c r="M9" s="386">
        <f>'10 szociális'!C37</f>
        <v>2203054</v>
      </c>
      <c r="N9" s="386">
        <f>'10 szociális'!D37</f>
        <v>2203054</v>
      </c>
      <c r="O9" s="386">
        <f>'10 szociális'!E37</f>
        <v>2410111</v>
      </c>
      <c r="P9" s="386">
        <f>'10 szociális'!F37</f>
        <v>116413</v>
      </c>
      <c r="Q9" s="386">
        <f>'10 szociális'!G37</f>
        <v>2526524</v>
      </c>
    </row>
    <row r="10" spans="1:17" ht="60" customHeight="1" x14ac:dyDescent="0.4">
      <c r="A10" s="320" t="s">
        <v>108</v>
      </c>
      <c r="B10" s="321"/>
      <c r="C10" s="321"/>
      <c r="D10" s="383">
        <f>'3 működési bevételek'!F121</f>
        <v>65847</v>
      </c>
      <c r="E10" s="383">
        <f>'3 működési bevételek'!G121</f>
        <v>0</v>
      </c>
      <c r="F10" s="383">
        <f>'3 működési bevételek'!H121</f>
        <v>0</v>
      </c>
      <c r="G10" s="383">
        <f>'3 működési bevételek'!I121</f>
        <v>113297</v>
      </c>
      <c r="H10" s="383">
        <f>'3 működési bevételek'!J121</f>
        <v>39735</v>
      </c>
      <c r="I10" s="383">
        <f>'3 működési bevételek'!K121</f>
        <v>153032</v>
      </c>
      <c r="J10" s="321" t="s">
        <v>140</v>
      </c>
      <c r="K10" s="322"/>
      <c r="L10" s="386">
        <f>'11 egészségügy'!B21</f>
        <v>941003</v>
      </c>
      <c r="M10" s="386">
        <f>'11 egészségügy'!C21</f>
        <v>911877</v>
      </c>
      <c r="N10" s="386">
        <f>'11 egészségügy'!D21</f>
        <v>911877</v>
      </c>
      <c r="O10" s="386">
        <f>'11 egészségügy'!E21</f>
        <v>1093037</v>
      </c>
      <c r="P10" s="386">
        <f>'11 egészségügy'!F21</f>
        <v>1700</v>
      </c>
      <c r="Q10" s="386">
        <f>'11 egészségügy'!G21</f>
        <v>1094737</v>
      </c>
    </row>
    <row r="11" spans="1:17" ht="60" customHeight="1" x14ac:dyDescent="0.4">
      <c r="A11" s="320" t="s">
        <v>84</v>
      </c>
      <c r="B11" s="321"/>
      <c r="C11" s="321"/>
      <c r="D11" s="383">
        <f>'3 működési bevételek'!F134</f>
        <v>2480553</v>
      </c>
      <c r="E11" s="383">
        <f>'3 működési bevételek'!G134</f>
        <v>1999313</v>
      </c>
      <c r="F11" s="383">
        <f>'3 működési bevételek'!H134</f>
        <v>1999313</v>
      </c>
      <c r="G11" s="383">
        <f>'3 működési bevételek'!I134</f>
        <v>2029361</v>
      </c>
      <c r="H11" s="383">
        <f>'3 működési bevételek'!J134</f>
        <v>383817</v>
      </c>
      <c r="I11" s="383">
        <f>'3 működési bevételek'!K134</f>
        <v>2413178</v>
      </c>
      <c r="J11" s="321" t="s">
        <v>286</v>
      </c>
      <c r="K11" s="322"/>
      <c r="L11" s="386">
        <f>'12 gyermek és ifj.véd.'!B12</f>
        <v>1759237</v>
      </c>
      <c r="M11" s="386">
        <f>'12 gyermek és ifj.véd.'!C12</f>
        <v>1990106</v>
      </c>
      <c r="N11" s="386">
        <f>'12 gyermek és ifj.véd.'!D12</f>
        <v>1990106</v>
      </c>
      <c r="O11" s="386">
        <f>'12 gyermek és ifj.véd.'!E12</f>
        <v>2007795</v>
      </c>
      <c r="P11" s="386">
        <f>'12 gyermek és ifj.véd.'!F12</f>
        <v>18840</v>
      </c>
      <c r="Q11" s="386">
        <f>'12 gyermek és ifj.véd.'!G12</f>
        <v>2026635</v>
      </c>
    </row>
    <row r="12" spans="1:17" ht="60" customHeight="1" x14ac:dyDescent="0.4">
      <c r="A12" s="323"/>
      <c r="D12" s="391"/>
      <c r="E12" s="391"/>
      <c r="F12" s="391"/>
      <c r="G12" s="391"/>
      <c r="H12" s="391"/>
      <c r="I12" s="391"/>
      <c r="J12" s="321" t="s">
        <v>287</v>
      </c>
      <c r="K12" s="324"/>
      <c r="L12" s="386">
        <f>'13 egyéb'!B107</f>
        <v>12623108</v>
      </c>
      <c r="M12" s="386">
        <f>'13 egyéb'!C107</f>
        <v>11678266</v>
      </c>
      <c r="N12" s="386">
        <f>'13 egyéb'!D107</f>
        <v>11738782</v>
      </c>
      <c r="O12" s="386">
        <f>'13 egyéb'!E107</f>
        <v>12222254</v>
      </c>
      <c r="P12" s="386">
        <f>'13 egyéb'!F107</f>
        <v>294224</v>
      </c>
      <c r="Q12" s="386">
        <f>'13 egyéb'!G107</f>
        <v>12516478</v>
      </c>
    </row>
    <row r="13" spans="1:17" ht="60" customHeight="1" x14ac:dyDescent="0.4">
      <c r="A13" s="251"/>
      <c r="B13" s="325"/>
      <c r="C13" s="325"/>
      <c r="D13" s="532"/>
      <c r="E13" s="532"/>
      <c r="F13" s="532"/>
      <c r="G13" s="532"/>
      <c r="H13" s="532"/>
      <c r="I13" s="532"/>
      <c r="J13" s="321" t="s">
        <v>153</v>
      </c>
      <c r="K13" s="326"/>
      <c r="L13" s="386">
        <f>+'14 sport'!B28</f>
        <v>1091095</v>
      </c>
      <c r="M13" s="386">
        <f>+'14 sport'!C28</f>
        <v>936977</v>
      </c>
      <c r="N13" s="386">
        <f>+'14 sport'!D28</f>
        <v>936977</v>
      </c>
      <c r="O13" s="386">
        <f>+'14 sport'!E28</f>
        <v>1017496</v>
      </c>
      <c r="P13" s="386">
        <f>+'14 sport'!F28</f>
        <v>141500</v>
      </c>
      <c r="Q13" s="386">
        <f>+'14 sport'!G28</f>
        <v>1158996</v>
      </c>
    </row>
    <row r="14" spans="1:17" ht="60" customHeight="1" x14ac:dyDescent="0.4">
      <c r="A14" s="251"/>
      <c r="C14" s="325"/>
      <c r="D14" s="532"/>
      <c r="E14" s="532"/>
      <c r="F14" s="532"/>
      <c r="G14" s="532"/>
      <c r="H14" s="532"/>
      <c r="I14" s="532"/>
      <c r="J14" s="321" t="s">
        <v>93</v>
      </c>
      <c r="K14" s="327"/>
      <c r="L14" s="386">
        <f>+'15 város.ü.'!B29</f>
        <v>1849377</v>
      </c>
      <c r="M14" s="386">
        <f>+'15 város.ü.'!C29</f>
        <v>1485832</v>
      </c>
      <c r="N14" s="386">
        <f>+'15 város.ü.'!D29</f>
        <v>1485832</v>
      </c>
      <c r="O14" s="386">
        <f>+'15 város.ü.'!E29</f>
        <v>1719657</v>
      </c>
      <c r="P14" s="386">
        <f>+'15 város.ü.'!F29</f>
        <v>109970</v>
      </c>
      <c r="Q14" s="386">
        <f>+'15 város.ü.'!G29</f>
        <v>1829627</v>
      </c>
    </row>
    <row r="15" spans="1:17" ht="60" customHeight="1" x14ac:dyDescent="0.4">
      <c r="A15" s="251"/>
      <c r="C15" s="325"/>
      <c r="D15" s="532"/>
      <c r="E15" s="532"/>
      <c r="F15" s="532"/>
      <c r="G15" s="532"/>
      <c r="H15" s="532"/>
      <c r="I15" s="391"/>
      <c r="J15" s="321" t="s">
        <v>187</v>
      </c>
      <c r="K15" s="327"/>
      <c r="L15" s="386">
        <f>+'16 út-híd'!B31</f>
        <v>952371</v>
      </c>
      <c r="M15" s="386">
        <f>+'16 út-híd'!C31</f>
        <v>367300</v>
      </c>
      <c r="N15" s="386">
        <f>+'16 út-híd'!D31</f>
        <v>367300</v>
      </c>
      <c r="O15" s="386">
        <f>+'16 út-híd'!E31</f>
        <v>678972</v>
      </c>
      <c r="P15" s="386">
        <f>+'16 út-híd'!F31</f>
        <v>1056</v>
      </c>
      <c r="Q15" s="386">
        <f>+'16 út-híd'!G31</f>
        <v>680028</v>
      </c>
    </row>
    <row r="16" spans="1:17" ht="60" customHeight="1" x14ac:dyDescent="0.4">
      <c r="A16" s="251"/>
      <c r="C16" s="325"/>
      <c r="D16" s="532"/>
      <c r="E16" s="532"/>
      <c r="F16" s="532"/>
      <c r="G16" s="532"/>
      <c r="H16" s="532"/>
      <c r="I16" s="391"/>
      <c r="J16" s="325" t="s">
        <v>11</v>
      </c>
      <c r="K16" s="328"/>
      <c r="L16" s="401"/>
      <c r="M16" s="401"/>
      <c r="N16" s="401"/>
      <c r="O16" s="401"/>
      <c r="P16" s="401"/>
      <c r="Q16" s="401"/>
    </row>
    <row r="17" spans="1:17" ht="60" customHeight="1" x14ac:dyDescent="0.4">
      <c r="A17" s="329"/>
      <c r="B17" s="330"/>
      <c r="C17" s="330"/>
      <c r="D17" s="533"/>
      <c r="E17" s="533"/>
      <c r="F17" s="533"/>
      <c r="G17" s="533"/>
      <c r="H17" s="533"/>
      <c r="I17" s="391"/>
      <c r="J17" s="325"/>
      <c r="K17" s="206" t="s">
        <v>135</v>
      </c>
      <c r="L17" s="382"/>
      <c r="M17" s="382">
        <v>2245</v>
      </c>
      <c r="N17" s="382">
        <v>2245</v>
      </c>
      <c r="O17" s="382">
        <v>745</v>
      </c>
      <c r="P17" s="382"/>
      <c r="Q17" s="382">
        <f t="shared" ref="Q17:Q20" si="0">SUM(O17:P17)</f>
        <v>745</v>
      </c>
    </row>
    <row r="18" spans="1:17" ht="69.75" customHeight="1" x14ac:dyDescent="0.4">
      <c r="A18" s="329"/>
      <c r="B18" s="330"/>
      <c r="C18" s="330"/>
      <c r="D18" s="533"/>
      <c r="E18" s="533"/>
      <c r="F18" s="533"/>
      <c r="G18" s="533"/>
      <c r="H18" s="533"/>
      <c r="I18" s="391"/>
      <c r="J18" s="325"/>
      <c r="K18" s="331" t="s">
        <v>548</v>
      </c>
      <c r="L18" s="382"/>
      <c r="M18" s="382">
        <v>142713</v>
      </c>
      <c r="N18" s="382">
        <v>142713</v>
      </c>
      <c r="O18" s="382">
        <v>0</v>
      </c>
      <c r="P18" s="383"/>
      <c r="Q18" s="382">
        <f t="shared" si="0"/>
        <v>0</v>
      </c>
    </row>
    <row r="19" spans="1:17" ht="71.25" customHeight="1" x14ac:dyDescent="0.4">
      <c r="A19" s="329"/>
      <c r="B19" s="330"/>
      <c r="C19" s="330"/>
      <c r="D19" s="533"/>
      <c r="E19" s="533"/>
      <c r="F19" s="533"/>
      <c r="G19" s="533"/>
      <c r="H19" s="533"/>
      <c r="I19" s="533"/>
      <c r="J19" s="325"/>
      <c r="K19" s="331" t="s">
        <v>549</v>
      </c>
      <c r="L19" s="382"/>
      <c r="M19" s="382">
        <v>243763</v>
      </c>
      <c r="N19" s="382">
        <v>243763</v>
      </c>
      <c r="O19" s="382">
        <v>3631</v>
      </c>
      <c r="P19" s="383"/>
      <c r="Q19" s="382">
        <f t="shared" si="0"/>
        <v>3631</v>
      </c>
    </row>
    <row r="20" spans="1:17" ht="60" customHeight="1" x14ac:dyDescent="0.4">
      <c r="A20" s="329"/>
      <c r="B20" s="330"/>
      <c r="C20" s="330"/>
      <c r="D20" s="533"/>
      <c r="E20" s="533"/>
      <c r="F20" s="533"/>
      <c r="G20" s="533"/>
      <c r="H20" s="533"/>
      <c r="I20" s="533"/>
      <c r="J20" s="325"/>
      <c r="K20" s="331" t="s">
        <v>544</v>
      </c>
      <c r="L20" s="382"/>
      <c r="M20" s="382">
        <v>200000</v>
      </c>
      <c r="N20" s="382">
        <v>200000</v>
      </c>
      <c r="O20" s="382">
        <v>265000</v>
      </c>
      <c r="P20" s="382">
        <f>-85000-100000-10000-40000-30000+221232</f>
        <v>-43768</v>
      </c>
      <c r="Q20" s="382">
        <f t="shared" si="0"/>
        <v>221232</v>
      </c>
    </row>
    <row r="21" spans="1:17" ht="60" customHeight="1" thickBot="1" x14ac:dyDescent="0.45">
      <c r="A21" s="332"/>
      <c r="B21" s="333"/>
      <c r="C21" s="334"/>
      <c r="D21" s="534"/>
      <c r="E21" s="534"/>
      <c r="F21" s="534"/>
      <c r="G21" s="534"/>
      <c r="H21" s="534"/>
      <c r="I21" s="534"/>
      <c r="J21" s="335" t="s">
        <v>37</v>
      </c>
      <c r="K21" s="203"/>
      <c r="L21" s="402">
        <f t="shared" ref="L21:M21" si="1">SUM(L17:L20)</f>
        <v>0</v>
      </c>
      <c r="M21" s="402">
        <f t="shared" si="1"/>
        <v>588721</v>
      </c>
      <c r="N21" s="402">
        <f>SUM(N17:N20)</f>
        <v>588721</v>
      </c>
      <c r="O21" s="402">
        <f>SUM(O17:O20)</f>
        <v>269376</v>
      </c>
      <c r="P21" s="402">
        <f t="shared" ref="P21:Q21" si="2">SUM(P17:P20)</f>
        <v>-43768</v>
      </c>
      <c r="Q21" s="402">
        <f t="shared" si="2"/>
        <v>225608</v>
      </c>
    </row>
    <row r="22" spans="1:17" ht="60" customHeight="1" thickBot="1" x14ac:dyDescent="0.45">
      <c r="A22" s="336" t="s">
        <v>130</v>
      </c>
      <c r="B22" s="337"/>
      <c r="C22" s="338"/>
      <c r="D22" s="384">
        <f t="shared" ref="D22:E22" si="3">SUM(D7:D21)</f>
        <v>28480103</v>
      </c>
      <c r="E22" s="384">
        <f t="shared" si="3"/>
        <v>28007584</v>
      </c>
      <c r="F22" s="384">
        <f>SUM(F7:F21)</f>
        <v>28068100</v>
      </c>
      <c r="G22" s="384">
        <f>SUM(G7:G21)</f>
        <v>29558460</v>
      </c>
      <c r="H22" s="384">
        <f>SUM(H7:H21)</f>
        <v>706634</v>
      </c>
      <c r="I22" s="384">
        <f>SUM(I7:I21)</f>
        <v>30265094</v>
      </c>
      <c r="J22" s="311" t="s">
        <v>150</v>
      </c>
      <c r="K22" s="311"/>
      <c r="L22" s="403">
        <f t="shared" ref="L22:N22" si="4">+L21+L15+L14+L13+L12+L11+L10+L9+L8+L7</f>
        <v>30880137</v>
      </c>
      <c r="M22" s="403">
        <f t="shared" si="4"/>
        <v>29334320</v>
      </c>
      <c r="N22" s="403">
        <f t="shared" si="4"/>
        <v>29394836</v>
      </c>
      <c r="O22" s="403">
        <f>+O21+O15+O14+O13+O12+O11+O10+O9+O8+O7</f>
        <v>31633638</v>
      </c>
      <c r="P22" s="403">
        <f>+P21+P15+P14+P13+P12+P11+P10+P9+P8+P7</f>
        <v>609144</v>
      </c>
      <c r="Q22" s="403">
        <f>+Q21+Q15+Q14+Q13+Q12+Q11+Q10+Q9+Q8+Q7</f>
        <v>32242782</v>
      </c>
    </row>
    <row r="23" spans="1:17" ht="60" customHeight="1" thickBot="1" x14ac:dyDescent="0.45">
      <c r="A23" s="303"/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404"/>
      <c r="M23" s="404"/>
      <c r="N23" s="404"/>
      <c r="O23" s="404"/>
      <c r="P23" s="404"/>
      <c r="Q23" s="404"/>
    </row>
    <row r="24" spans="1:17" ht="60" customHeight="1" x14ac:dyDescent="0.4">
      <c r="A24" s="304"/>
      <c r="B24" s="305"/>
      <c r="C24" s="339" t="s">
        <v>57</v>
      </c>
      <c r="D24" s="306" t="s">
        <v>695</v>
      </c>
      <c r="E24" s="306" t="s">
        <v>578</v>
      </c>
      <c r="F24" s="306" t="s">
        <v>554</v>
      </c>
      <c r="G24" s="306" t="s">
        <v>560</v>
      </c>
      <c r="H24" s="306" t="s">
        <v>551</v>
      </c>
      <c r="I24" s="306" t="s">
        <v>579</v>
      </c>
      <c r="J24" s="340"/>
      <c r="K24" s="305" t="s">
        <v>69</v>
      </c>
      <c r="L24" s="405" t="s">
        <v>695</v>
      </c>
      <c r="M24" s="405" t="s">
        <v>578</v>
      </c>
      <c r="N24" s="405" t="s">
        <v>554</v>
      </c>
      <c r="O24" s="405" t="s">
        <v>560</v>
      </c>
      <c r="P24" s="405" t="s">
        <v>551</v>
      </c>
      <c r="Q24" s="405" t="s">
        <v>579</v>
      </c>
    </row>
    <row r="25" spans="1:17" ht="60" customHeight="1" x14ac:dyDescent="0.4">
      <c r="A25" s="308"/>
      <c r="B25" s="208"/>
      <c r="C25" s="341"/>
      <c r="D25" s="309" t="s">
        <v>696</v>
      </c>
      <c r="E25" s="309" t="s">
        <v>697</v>
      </c>
      <c r="F25" s="309" t="s">
        <v>699</v>
      </c>
      <c r="G25" s="309" t="s">
        <v>699</v>
      </c>
      <c r="H25" s="309" t="s">
        <v>552</v>
      </c>
      <c r="I25" s="309" t="s">
        <v>699</v>
      </c>
      <c r="J25" s="342"/>
      <c r="K25" s="208"/>
      <c r="L25" s="406" t="s">
        <v>696</v>
      </c>
      <c r="M25" s="406" t="s">
        <v>697</v>
      </c>
      <c r="N25" s="406" t="s">
        <v>699</v>
      </c>
      <c r="O25" s="406" t="s">
        <v>699</v>
      </c>
      <c r="P25" s="406" t="s">
        <v>552</v>
      </c>
      <c r="Q25" s="406" t="s">
        <v>699</v>
      </c>
    </row>
    <row r="26" spans="1:17" ht="60" customHeight="1" thickBot="1" x14ac:dyDescent="0.45">
      <c r="A26" s="310"/>
      <c r="B26" s="311"/>
      <c r="C26" s="343"/>
      <c r="D26" s="312"/>
      <c r="E26" s="309" t="s">
        <v>698</v>
      </c>
      <c r="F26" s="380" t="s">
        <v>698</v>
      </c>
      <c r="G26" s="380" t="s">
        <v>700</v>
      </c>
      <c r="H26" s="312"/>
      <c r="I26" s="380" t="s">
        <v>700</v>
      </c>
      <c r="J26" s="313"/>
      <c r="K26" s="314"/>
      <c r="L26" s="407"/>
      <c r="M26" s="406" t="s">
        <v>698</v>
      </c>
      <c r="N26" s="408" t="s">
        <v>698</v>
      </c>
      <c r="O26" s="408" t="s">
        <v>700</v>
      </c>
      <c r="P26" s="407"/>
      <c r="Q26" s="408" t="s">
        <v>700</v>
      </c>
    </row>
    <row r="27" spans="1:17" ht="60" customHeight="1" x14ac:dyDescent="0.4">
      <c r="A27" s="344" t="s">
        <v>67</v>
      </c>
      <c r="B27" s="345"/>
      <c r="C27" s="346"/>
      <c r="D27" s="385">
        <f>'17 felhalm.bevétel '!C22</f>
        <v>568871</v>
      </c>
      <c r="E27" s="385">
        <f>'17 felhalm.bevétel '!D22</f>
        <v>0</v>
      </c>
      <c r="F27" s="385">
        <f>'17 felhalm.bevétel '!E22</f>
        <v>0</v>
      </c>
      <c r="G27" s="385">
        <f>'17 felhalm.bevétel '!F22</f>
        <v>0</v>
      </c>
      <c r="H27" s="385">
        <f>'17 felhalm.bevétel '!G22</f>
        <v>6240807</v>
      </c>
      <c r="I27" s="385">
        <f>'17 felhalm.bevétel '!H22</f>
        <v>6240807</v>
      </c>
      <c r="J27" s="347" t="s">
        <v>159</v>
      </c>
      <c r="K27" s="348"/>
      <c r="L27" s="409"/>
      <c r="M27" s="409"/>
      <c r="N27" s="409"/>
      <c r="O27" s="409"/>
      <c r="P27" s="409"/>
      <c r="Q27" s="409"/>
    </row>
    <row r="28" spans="1:17" ht="60" customHeight="1" x14ac:dyDescent="0.4">
      <c r="A28" s="349" t="s">
        <v>66</v>
      </c>
      <c r="B28" s="327"/>
      <c r="C28" s="350"/>
      <c r="D28" s="386">
        <f>'17 felhalm.bevétel '!C28</f>
        <v>413931</v>
      </c>
      <c r="E28" s="386">
        <f>'17 felhalm.bevétel '!D28</f>
        <v>1000000</v>
      </c>
      <c r="F28" s="386">
        <f>'17 felhalm.bevétel '!E28</f>
        <v>1000000</v>
      </c>
      <c r="G28" s="386">
        <f>'17 felhalm.bevétel '!F28</f>
        <v>1000000</v>
      </c>
      <c r="H28" s="386">
        <f>'17 felhalm.bevétel '!G28</f>
        <v>6830</v>
      </c>
      <c r="I28" s="386">
        <f>'17 felhalm.bevétel '!H28</f>
        <v>1006830</v>
      </c>
      <c r="J28" s="206" t="s">
        <v>197</v>
      </c>
      <c r="K28" s="351"/>
      <c r="L28" s="400">
        <f>+'8 oktatás'!B33</f>
        <v>81601</v>
      </c>
      <c r="M28" s="400">
        <f>+'8 oktatás'!C33</f>
        <v>0</v>
      </c>
      <c r="N28" s="400">
        <f>+'8 oktatás'!D33</f>
        <v>0</v>
      </c>
      <c r="O28" s="400">
        <f>+'8 oktatás'!E33</f>
        <v>61290</v>
      </c>
      <c r="P28" s="400">
        <f>+'8 oktatás'!F33</f>
        <v>23568</v>
      </c>
      <c r="Q28" s="400">
        <f>+'8 oktatás'!G33</f>
        <v>84858</v>
      </c>
    </row>
    <row r="29" spans="1:17" ht="60" customHeight="1" x14ac:dyDescent="0.4">
      <c r="A29" s="349" t="s">
        <v>68</v>
      </c>
      <c r="B29" s="350"/>
      <c r="C29" s="352"/>
      <c r="D29" s="386">
        <f>'17 felhalm.bevétel '!C37</f>
        <v>25110</v>
      </c>
      <c r="E29" s="386">
        <f>'17 felhalm.bevétel '!D37</f>
        <v>8000</v>
      </c>
      <c r="F29" s="386">
        <f>'17 felhalm.bevétel '!E37</f>
        <v>8000</v>
      </c>
      <c r="G29" s="386">
        <f>'17 felhalm.bevétel '!F37</f>
        <v>138688</v>
      </c>
      <c r="H29" s="386">
        <f>'17 felhalm.bevétel '!G37</f>
        <v>800</v>
      </c>
      <c r="I29" s="386">
        <f>'17 felhalm.bevétel '!H37</f>
        <v>139488</v>
      </c>
      <c r="J29" s="321" t="s">
        <v>276</v>
      </c>
      <c r="K29" s="353"/>
      <c r="L29" s="386">
        <f>'9 kultúra'!B75</f>
        <v>101888</v>
      </c>
      <c r="M29" s="386">
        <f>'9 kultúra'!C75</f>
        <v>0</v>
      </c>
      <c r="N29" s="386">
        <f>'9 kultúra'!D75</f>
        <v>0</v>
      </c>
      <c r="O29" s="386">
        <f>'9 kultúra'!E75</f>
        <v>62271</v>
      </c>
      <c r="P29" s="386">
        <f>'9 kultúra'!F75</f>
        <v>7200</v>
      </c>
      <c r="Q29" s="386">
        <f>'9 kultúra'!G75</f>
        <v>69471</v>
      </c>
    </row>
    <row r="30" spans="1:17" ht="60" customHeight="1" x14ac:dyDescent="0.4">
      <c r="A30" s="320" t="s">
        <v>85</v>
      </c>
      <c r="B30" s="321"/>
      <c r="C30" s="321"/>
      <c r="D30" s="386">
        <f>'17 felhalm.bevétel '!C50</f>
        <v>52191</v>
      </c>
      <c r="E30" s="386">
        <f>'17 felhalm.bevétel '!D50</f>
        <v>0</v>
      </c>
      <c r="F30" s="386">
        <f>'17 felhalm.bevétel '!E50</f>
        <v>0</v>
      </c>
      <c r="G30" s="386">
        <f>'17 felhalm.bevétel '!F50</f>
        <v>35</v>
      </c>
      <c r="H30" s="386">
        <f>'17 felhalm.bevétel '!G50</f>
        <v>7580</v>
      </c>
      <c r="I30" s="386">
        <f>'17 felhalm.bevétel '!H50</f>
        <v>7615</v>
      </c>
      <c r="J30" s="321" t="s">
        <v>145</v>
      </c>
      <c r="K30" s="353"/>
      <c r="L30" s="386">
        <f>'10 szociális'!B42</f>
        <v>83366</v>
      </c>
      <c r="M30" s="386">
        <f>'10 szociális'!C42</f>
        <v>0</v>
      </c>
      <c r="N30" s="386">
        <f>'10 szociális'!D42</f>
        <v>0</v>
      </c>
      <c r="O30" s="386">
        <f>'10 szociális'!E42</f>
        <v>27817</v>
      </c>
      <c r="P30" s="400">
        <f>'10 szociális'!F42</f>
        <v>32788</v>
      </c>
      <c r="Q30" s="386">
        <f>'10 szociális'!G42</f>
        <v>60605</v>
      </c>
    </row>
    <row r="31" spans="1:17" ht="60" customHeight="1" x14ac:dyDescent="0.4">
      <c r="A31" s="354"/>
      <c r="B31" s="346"/>
      <c r="C31" s="346"/>
      <c r="D31" s="387"/>
      <c r="E31" s="387"/>
      <c r="F31" s="387"/>
      <c r="G31" s="387"/>
      <c r="H31" s="387"/>
      <c r="I31" s="388"/>
      <c r="J31" s="321" t="s">
        <v>140</v>
      </c>
      <c r="K31" s="353"/>
      <c r="L31" s="386">
        <f>'11 egészségügy'!B28</f>
        <v>3487</v>
      </c>
      <c r="M31" s="386">
        <f>'11 egészségügy'!C28</f>
        <v>0</v>
      </c>
      <c r="N31" s="386">
        <f>'11 egészségügy'!D28</f>
        <v>0</v>
      </c>
      <c r="O31" s="386">
        <f>'11 egészségügy'!E28</f>
        <v>6532</v>
      </c>
      <c r="P31" s="400">
        <f>'11 egészségügy'!F28</f>
        <v>12865</v>
      </c>
      <c r="Q31" s="386">
        <f>'11 egészségügy'!G28</f>
        <v>19397</v>
      </c>
    </row>
    <row r="32" spans="1:17" ht="60" customHeight="1" x14ac:dyDescent="0.4">
      <c r="A32" s="354"/>
      <c r="B32" s="346"/>
      <c r="C32" s="346"/>
      <c r="D32" s="387"/>
      <c r="E32" s="387"/>
      <c r="F32" s="387"/>
      <c r="G32" s="387"/>
      <c r="H32" s="387"/>
      <c r="I32" s="388"/>
      <c r="J32" s="321" t="s">
        <v>286</v>
      </c>
      <c r="K32" s="353"/>
      <c r="L32" s="386">
        <f>'12 gyermek és ifj.véd.'!B17</f>
        <v>70069</v>
      </c>
      <c r="M32" s="386">
        <f>'12 gyermek és ifj.véd.'!C17</f>
        <v>700</v>
      </c>
      <c r="N32" s="386">
        <f>'12 gyermek és ifj.véd.'!D17</f>
        <v>700</v>
      </c>
      <c r="O32" s="386">
        <f>'12 gyermek és ifj.véd.'!E17</f>
        <v>23254</v>
      </c>
      <c r="P32" s="400">
        <f>'12 gyermek és ifj.véd.'!F17</f>
        <v>3675</v>
      </c>
      <c r="Q32" s="386">
        <f>'12 gyermek és ifj.véd.'!G17</f>
        <v>26929</v>
      </c>
    </row>
    <row r="33" spans="1:17" ht="60" customHeight="1" thickBot="1" x14ac:dyDescent="0.45">
      <c r="A33" s="355"/>
      <c r="B33" s="356"/>
      <c r="C33" s="356"/>
      <c r="D33" s="389"/>
      <c r="E33" s="389"/>
      <c r="F33" s="389"/>
      <c r="G33" s="389"/>
      <c r="H33" s="389"/>
      <c r="I33" s="390"/>
      <c r="J33" s="321" t="s">
        <v>287</v>
      </c>
      <c r="K33" s="353"/>
      <c r="L33" s="386">
        <f>'13 egyéb'!B114</f>
        <v>156477</v>
      </c>
      <c r="M33" s="386">
        <f>'13 egyéb'!C114</f>
        <v>72163</v>
      </c>
      <c r="N33" s="386">
        <f>'13 egyéb'!D114</f>
        <v>72163</v>
      </c>
      <c r="O33" s="386">
        <f>'13 egyéb'!E114</f>
        <v>101018</v>
      </c>
      <c r="P33" s="400">
        <f>'13 egyéb'!F114</f>
        <v>12500</v>
      </c>
      <c r="Q33" s="386">
        <f>'13 egyéb'!G114</f>
        <v>113518</v>
      </c>
    </row>
    <row r="34" spans="1:17" ht="60" customHeight="1" thickBot="1" x14ac:dyDescent="0.45">
      <c r="A34" s="355"/>
      <c r="B34" s="356"/>
      <c r="C34" s="356"/>
      <c r="D34" s="389"/>
      <c r="E34" s="389"/>
      <c r="F34" s="389"/>
      <c r="G34" s="389"/>
      <c r="H34" s="389"/>
      <c r="I34" s="390"/>
      <c r="J34" s="357" t="s">
        <v>160</v>
      </c>
      <c r="K34" s="358"/>
      <c r="L34" s="403">
        <f t="shared" ref="L34:N34" si="5">SUM(L27:L33)</f>
        <v>496888</v>
      </c>
      <c r="M34" s="403">
        <f t="shared" si="5"/>
        <v>72863</v>
      </c>
      <c r="N34" s="403">
        <f t="shared" si="5"/>
        <v>72863</v>
      </c>
      <c r="O34" s="403">
        <f>SUM(O27:O33)</f>
        <v>282182</v>
      </c>
      <c r="P34" s="403">
        <f>SUM(P27:P33)</f>
        <v>92596</v>
      </c>
      <c r="Q34" s="403">
        <f>SUM(Q27:Q33)</f>
        <v>374778</v>
      </c>
    </row>
    <row r="35" spans="1:17" ht="60" customHeight="1" x14ac:dyDescent="0.4">
      <c r="A35" s="251"/>
      <c r="D35" s="391"/>
      <c r="E35" s="391"/>
      <c r="F35" s="391"/>
      <c r="G35" s="391"/>
      <c r="H35" s="391"/>
      <c r="I35" s="388"/>
      <c r="J35" s="325" t="s">
        <v>128</v>
      </c>
      <c r="K35" s="345"/>
      <c r="L35" s="385">
        <f>+'18 felhalm.kiadás'!C14</f>
        <v>54162</v>
      </c>
      <c r="M35" s="385">
        <f>+'18 felhalm.kiadás'!D14</f>
        <v>50000</v>
      </c>
      <c r="N35" s="385">
        <f>+'18 felhalm.kiadás'!E14</f>
        <v>50000</v>
      </c>
      <c r="O35" s="385">
        <f>+'18 felhalm.kiadás'!F14</f>
        <v>138755</v>
      </c>
      <c r="P35" s="385">
        <f>+'18 felhalm.kiadás'!G14</f>
        <v>0</v>
      </c>
      <c r="Q35" s="385">
        <f>+'18 felhalm.kiadás'!H14</f>
        <v>138755</v>
      </c>
    </row>
    <row r="36" spans="1:17" ht="60" customHeight="1" x14ac:dyDescent="0.4">
      <c r="A36" s="251"/>
      <c r="D36" s="391"/>
      <c r="E36" s="391"/>
      <c r="F36" s="391"/>
      <c r="G36" s="391"/>
      <c r="H36" s="391"/>
      <c r="I36" s="388"/>
      <c r="J36" s="321" t="s">
        <v>155</v>
      </c>
      <c r="K36" s="327"/>
      <c r="L36" s="386">
        <f>'18 felhalm.kiadás'!C17</f>
        <v>0</v>
      </c>
      <c r="M36" s="386">
        <f>'18 felhalm.kiadás'!D17</f>
        <v>100000</v>
      </c>
      <c r="N36" s="386">
        <f>'18 felhalm.kiadás'!E17</f>
        <v>100000</v>
      </c>
      <c r="O36" s="386">
        <f>'18 felhalm.kiadás'!F17</f>
        <v>100000</v>
      </c>
      <c r="P36" s="386">
        <f>'18 felhalm.kiadás'!G17</f>
        <v>0</v>
      </c>
      <c r="Q36" s="386">
        <f>'18 felhalm.kiadás'!H17</f>
        <v>100000</v>
      </c>
    </row>
    <row r="37" spans="1:17" ht="60" customHeight="1" x14ac:dyDescent="0.4">
      <c r="A37" s="359"/>
      <c r="B37" s="360"/>
      <c r="D37" s="391"/>
      <c r="E37" s="391"/>
      <c r="F37" s="391"/>
      <c r="G37" s="391"/>
      <c r="H37" s="391"/>
      <c r="I37" s="388"/>
      <c r="J37" s="321" t="s">
        <v>171</v>
      </c>
      <c r="K37" s="326"/>
      <c r="L37" s="386">
        <f>+'18 felhalm.kiadás'!C23</f>
        <v>123683</v>
      </c>
      <c r="M37" s="386">
        <f>+'18 felhalm.kiadás'!D23</f>
        <v>55000</v>
      </c>
      <c r="N37" s="386">
        <f>+'18 felhalm.kiadás'!E23</f>
        <v>55000</v>
      </c>
      <c r="O37" s="386">
        <f>+'18 felhalm.kiadás'!F23</f>
        <v>55000</v>
      </c>
      <c r="P37" s="386">
        <f>+'18 felhalm.kiadás'!G23</f>
        <v>18099</v>
      </c>
      <c r="Q37" s="386">
        <f>+'18 felhalm.kiadás'!H23</f>
        <v>73099</v>
      </c>
    </row>
    <row r="38" spans="1:17" ht="60" customHeight="1" x14ac:dyDescent="0.4">
      <c r="A38" s="359"/>
      <c r="B38" s="360"/>
      <c r="C38" s="361"/>
      <c r="D38" s="392"/>
      <c r="E38" s="392"/>
      <c r="F38" s="392"/>
      <c r="G38" s="392"/>
      <c r="H38" s="392"/>
      <c r="I38" s="388"/>
      <c r="J38" s="321" t="s">
        <v>138</v>
      </c>
      <c r="K38" s="326"/>
      <c r="L38" s="386">
        <f>+'18 felhalm.kiadás'!C77</f>
        <v>2214433</v>
      </c>
      <c r="M38" s="386">
        <f>+'18 felhalm.kiadás'!D77</f>
        <v>90542</v>
      </c>
      <c r="N38" s="386">
        <f>+'18 felhalm.kiadás'!E77</f>
        <v>90542</v>
      </c>
      <c r="O38" s="386">
        <f>+'18 felhalm.kiadás'!F77</f>
        <v>1301032</v>
      </c>
      <c r="P38" s="386">
        <f>+'18 felhalm.kiadás'!G77</f>
        <v>6242812</v>
      </c>
      <c r="Q38" s="386">
        <f>+'18 felhalm.kiadás'!H77</f>
        <v>7543844</v>
      </c>
    </row>
    <row r="39" spans="1:17" ht="60" customHeight="1" x14ac:dyDescent="0.4">
      <c r="A39" s="323"/>
      <c r="B39" s="362"/>
      <c r="C39" s="361"/>
      <c r="D39" s="392"/>
      <c r="E39" s="392"/>
      <c r="F39" s="392"/>
      <c r="G39" s="392"/>
      <c r="H39" s="392"/>
      <c r="I39" s="388"/>
      <c r="J39" s="321" t="s">
        <v>34</v>
      </c>
      <c r="K39" s="321"/>
      <c r="L39" s="386">
        <f>'18 felhalm.kiadás'!C78</f>
        <v>1157</v>
      </c>
      <c r="M39" s="386">
        <f>'18 felhalm.kiadás'!D78</f>
        <v>1200</v>
      </c>
      <c r="N39" s="386">
        <f>'18 felhalm.kiadás'!E78</f>
        <v>1200</v>
      </c>
      <c r="O39" s="386">
        <f>'18 felhalm.kiadás'!F78</f>
        <v>1200</v>
      </c>
      <c r="P39" s="386">
        <f>'18 felhalm.kiadás'!G78</f>
        <v>0</v>
      </c>
      <c r="Q39" s="386">
        <f>'18 felhalm.kiadás'!H78</f>
        <v>1200</v>
      </c>
    </row>
    <row r="40" spans="1:17" ht="60" customHeight="1" thickBot="1" x14ac:dyDescent="0.45">
      <c r="A40" s="323"/>
      <c r="B40" s="362"/>
      <c r="C40" s="361"/>
      <c r="D40" s="393"/>
      <c r="E40" s="393"/>
      <c r="F40" s="393"/>
      <c r="G40" s="393"/>
      <c r="H40" s="393"/>
      <c r="I40" s="393"/>
      <c r="J40" s="363" t="s">
        <v>161</v>
      </c>
      <c r="K40" s="364"/>
      <c r="L40" s="410">
        <f t="shared" ref="L40:Q40" si="6">SUM(L35:L39)</f>
        <v>2393435</v>
      </c>
      <c r="M40" s="410">
        <f t="shared" si="6"/>
        <v>296742</v>
      </c>
      <c r="N40" s="410">
        <f t="shared" si="6"/>
        <v>296742</v>
      </c>
      <c r="O40" s="410">
        <f t="shared" si="6"/>
        <v>1595987</v>
      </c>
      <c r="P40" s="410">
        <f t="shared" si="6"/>
        <v>6260911</v>
      </c>
      <c r="Q40" s="410">
        <f t="shared" si="6"/>
        <v>7856898</v>
      </c>
    </row>
    <row r="41" spans="1:17" ht="60" customHeight="1" thickBot="1" x14ac:dyDescent="0.45">
      <c r="A41" s="365" t="s">
        <v>151</v>
      </c>
      <c r="B41" s="365"/>
      <c r="C41" s="366"/>
      <c r="D41" s="394">
        <f t="shared" ref="D41:I41" si="7">SUM(D27:D40)</f>
        <v>1060103</v>
      </c>
      <c r="E41" s="394">
        <f t="shared" si="7"/>
        <v>1008000</v>
      </c>
      <c r="F41" s="394">
        <f t="shared" si="7"/>
        <v>1008000</v>
      </c>
      <c r="G41" s="394">
        <f t="shared" si="7"/>
        <v>1138723</v>
      </c>
      <c r="H41" s="394">
        <f t="shared" si="7"/>
        <v>6256017</v>
      </c>
      <c r="I41" s="394">
        <f t="shared" si="7"/>
        <v>7394740</v>
      </c>
      <c r="J41" s="367" t="s">
        <v>152</v>
      </c>
      <c r="K41" s="367"/>
      <c r="L41" s="394">
        <f t="shared" ref="L41:Q41" si="8">+L40+L34</f>
        <v>2890323</v>
      </c>
      <c r="M41" s="394">
        <f t="shared" si="8"/>
        <v>369605</v>
      </c>
      <c r="N41" s="394">
        <f t="shared" si="8"/>
        <v>369605</v>
      </c>
      <c r="O41" s="394">
        <f t="shared" si="8"/>
        <v>1878169</v>
      </c>
      <c r="P41" s="394">
        <f t="shared" si="8"/>
        <v>6353507</v>
      </c>
      <c r="Q41" s="394">
        <f t="shared" si="8"/>
        <v>8231676</v>
      </c>
    </row>
    <row r="42" spans="1:17" ht="60" customHeight="1" thickBot="1" x14ac:dyDescent="0.45">
      <c r="A42" s="250"/>
      <c r="B42" s="250"/>
      <c r="C42" s="368"/>
      <c r="D42" s="368"/>
      <c r="E42" s="368"/>
      <c r="F42" s="368"/>
      <c r="G42" s="368"/>
      <c r="H42" s="368"/>
      <c r="I42" s="368"/>
      <c r="J42" s="305"/>
      <c r="K42" s="305"/>
      <c r="L42" s="411"/>
      <c r="M42" s="411"/>
      <c r="N42" s="411"/>
      <c r="O42" s="411"/>
      <c r="P42" s="411"/>
      <c r="Q42" s="411"/>
    </row>
    <row r="43" spans="1:17" ht="60" customHeight="1" x14ac:dyDescent="0.4">
      <c r="A43" s="369" t="s">
        <v>143</v>
      </c>
      <c r="B43" s="370"/>
      <c r="C43" s="371"/>
      <c r="D43" s="204"/>
      <c r="E43" s="204"/>
      <c r="F43" s="204"/>
      <c r="G43" s="204"/>
      <c r="H43" s="204"/>
      <c r="I43" s="204"/>
      <c r="J43" s="369" t="s">
        <v>143</v>
      </c>
      <c r="K43" s="372"/>
      <c r="L43" s="412"/>
      <c r="M43" s="412"/>
      <c r="N43" s="412"/>
      <c r="O43" s="412"/>
      <c r="P43" s="412"/>
      <c r="Q43" s="412"/>
    </row>
    <row r="44" spans="1:17" ht="60" customHeight="1" x14ac:dyDescent="0.4">
      <c r="A44" s="329"/>
      <c r="C44" s="207" t="s">
        <v>97</v>
      </c>
      <c r="D44" s="535">
        <v>5078776</v>
      </c>
      <c r="E44" s="535">
        <v>633414</v>
      </c>
      <c r="F44" s="535">
        <v>633414</v>
      </c>
      <c r="G44" s="535">
        <v>1069309</v>
      </c>
      <c r="H44" s="535"/>
      <c r="I44" s="535">
        <f t="shared" ref="I44:I51" si="9">SUM(G44:H44)</f>
        <v>1069309</v>
      </c>
      <c r="J44" s="206" t="s">
        <v>369</v>
      </c>
      <c r="K44" s="206"/>
      <c r="L44" s="400">
        <v>120750</v>
      </c>
      <c r="M44" s="400">
        <v>120750</v>
      </c>
      <c r="N44" s="400">
        <v>120750</v>
      </c>
      <c r="O44" s="400">
        <v>120750</v>
      </c>
      <c r="P44" s="400"/>
      <c r="Q44" s="400">
        <f>SUM(O44:P44)</f>
        <v>120750</v>
      </c>
    </row>
    <row r="45" spans="1:17" ht="60" customHeight="1" x14ac:dyDescent="0.4">
      <c r="A45" s="329"/>
      <c r="C45" s="373" t="s">
        <v>461</v>
      </c>
      <c r="D45" s="535">
        <v>0</v>
      </c>
      <c r="E45" s="535">
        <v>76672</v>
      </c>
      <c r="F45" s="535">
        <v>76672</v>
      </c>
      <c r="G45" s="535">
        <v>0</v>
      </c>
      <c r="H45" s="535"/>
      <c r="I45" s="535">
        <f t="shared" si="9"/>
        <v>0</v>
      </c>
      <c r="J45" s="206" t="s">
        <v>656</v>
      </c>
      <c r="K45" s="206"/>
      <c r="L45" s="400">
        <v>2500000</v>
      </c>
      <c r="M45" s="400">
        <v>0</v>
      </c>
      <c r="N45" s="400">
        <v>0</v>
      </c>
      <c r="O45" s="400">
        <v>0</v>
      </c>
      <c r="P45" s="400"/>
      <c r="Q45" s="400">
        <f t="shared" ref="Q45:Q47" si="10">SUM(O45:P45)</f>
        <v>0</v>
      </c>
    </row>
    <row r="46" spans="1:17" ht="60" customHeight="1" x14ac:dyDescent="0.4">
      <c r="A46" s="329"/>
      <c r="C46" s="207" t="s">
        <v>497</v>
      </c>
      <c r="D46" s="535">
        <v>281004</v>
      </c>
      <c r="E46" s="535">
        <v>281004</v>
      </c>
      <c r="F46" s="535">
        <v>281004</v>
      </c>
      <c r="G46" s="535">
        <v>0</v>
      </c>
      <c r="H46" s="535">
        <v>739522</v>
      </c>
      <c r="I46" s="535">
        <f t="shared" si="9"/>
        <v>739522</v>
      </c>
      <c r="J46" s="206" t="s">
        <v>498</v>
      </c>
      <c r="K46" s="206"/>
      <c r="L46" s="400">
        <v>0</v>
      </c>
      <c r="M46" s="400">
        <v>281004</v>
      </c>
      <c r="N46" s="400">
        <v>281004</v>
      </c>
      <c r="O46" s="400">
        <v>281004</v>
      </c>
      <c r="P46" s="400">
        <v>739522</v>
      </c>
      <c r="Q46" s="400">
        <f t="shared" si="10"/>
        <v>1020526</v>
      </c>
    </row>
    <row r="47" spans="1:17" ht="60" customHeight="1" x14ac:dyDescent="0.4">
      <c r="A47" s="329"/>
      <c r="C47" s="207" t="s">
        <v>654</v>
      </c>
      <c r="D47" s="535">
        <v>4917</v>
      </c>
      <c r="E47" s="535">
        <v>0</v>
      </c>
      <c r="F47" s="535">
        <v>0</v>
      </c>
      <c r="G47" s="535">
        <v>0</v>
      </c>
      <c r="H47" s="535"/>
      <c r="I47" s="535">
        <f t="shared" si="9"/>
        <v>0</v>
      </c>
      <c r="J47" s="206" t="s">
        <v>657</v>
      </c>
      <c r="K47" s="207"/>
      <c r="L47" s="400">
        <v>262184</v>
      </c>
      <c r="M47" s="400">
        <v>0</v>
      </c>
      <c r="N47" s="400">
        <v>0</v>
      </c>
      <c r="O47" s="400">
        <v>0</v>
      </c>
      <c r="P47" s="400"/>
      <c r="Q47" s="400">
        <f t="shared" si="10"/>
        <v>0</v>
      </c>
    </row>
    <row r="48" spans="1:17" ht="60" customHeight="1" x14ac:dyDescent="0.4">
      <c r="A48" s="329"/>
      <c r="C48" s="374" t="s">
        <v>123</v>
      </c>
      <c r="D48" s="535">
        <v>1966978</v>
      </c>
      <c r="E48" s="535">
        <v>33463</v>
      </c>
      <c r="F48" s="535">
        <v>33463</v>
      </c>
      <c r="G48" s="535">
        <v>1456893</v>
      </c>
      <c r="H48" s="535"/>
      <c r="I48" s="535">
        <f t="shared" si="9"/>
        <v>1456893</v>
      </c>
      <c r="J48" s="206"/>
      <c r="K48" s="206"/>
      <c r="L48" s="400"/>
      <c r="M48" s="400"/>
      <c r="N48" s="400"/>
      <c r="O48" s="400"/>
      <c r="P48" s="400"/>
      <c r="Q48" s="400"/>
    </row>
    <row r="49" spans="1:17" ht="60" customHeight="1" x14ac:dyDescent="0.4">
      <c r="A49" s="329"/>
      <c r="C49" s="374" t="s">
        <v>462</v>
      </c>
      <c r="D49" s="535"/>
      <c r="E49" s="535">
        <v>65542</v>
      </c>
      <c r="F49" s="535">
        <v>65542</v>
      </c>
      <c r="G49" s="535">
        <v>0</v>
      </c>
      <c r="H49" s="535"/>
      <c r="I49" s="535">
        <f t="shared" si="9"/>
        <v>0</v>
      </c>
      <c r="J49" s="206"/>
      <c r="K49" s="206"/>
      <c r="L49" s="400"/>
      <c r="M49" s="400"/>
      <c r="N49" s="400"/>
      <c r="O49" s="400"/>
      <c r="P49" s="400"/>
      <c r="Q49" s="400"/>
    </row>
    <row r="50" spans="1:17" ht="60" customHeight="1" x14ac:dyDescent="0.4">
      <c r="A50" s="329"/>
      <c r="C50" s="374" t="s">
        <v>655</v>
      </c>
      <c r="D50" s="535">
        <v>2500000</v>
      </c>
      <c r="E50" s="535">
        <v>0</v>
      </c>
      <c r="F50" s="535">
        <v>0</v>
      </c>
      <c r="G50" s="535">
        <v>0</v>
      </c>
      <c r="H50" s="535"/>
      <c r="I50" s="535">
        <f t="shared" si="9"/>
        <v>0</v>
      </c>
      <c r="J50" s="206"/>
      <c r="K50" s="206"/>
      <c r="L50" s="400"/>
      <c r="M50" s="400"/>
      <c r="N50" s="400"/>
      <c r="O50" s="400"/>
      <c r="P50" s="400"/>
      <c r="Q50" s="400"/>
    </row>
    <row r="51" spans="1:17" ht="60" customHeight="1" thickBot="1" x14ac:dyDescent="0.45">
      <c r="A51" s="329"/>
      <c r="C51" s="374" t="s">
        <v>258</v>
      </c>
      <c r="D51" s="535">
        <v>497891</v>
      </c>
      <c r="E51" s="535">
        <v>0</v>
      </c>
      <c r="F51" s="535">
        <v>0</v>
      </c>
      <c r="G51" s="535">
        <v>690176</v>
      </c>
      <c r="H51" s="535"/>
      <c r="I51" s="535">
        <f t="shared" si="9"/>
        <v>690176</v>
      </c>
      <c r="J51" s="206"/>
      <c r="K51" s="206"/>
      <c r="L51" s="400"/>
      <c r="M51" s="400"/>
      <c r="N51" s="400"/>
      <c r="O51" s="400"/>
      <c r="P51" s="400"/>
      <c r="Q51" s="400"/>
    </row>
    <row r="52" spans="1:17" ht="60" customHeight="1" thickBot="1" x14ac:dyDescent="0.45">
      <c r="A52" s="375" t="s">
        <v>658</v>
      </c>
      <c r="B52" s="366"/>
      <c r="C52" s="205"/>
      <c r="D52" s="536">
        <f t="shared" ref="D52:I52" si="11">SUM(D43:D51)</f>
        <v>10329566</v>
      </c>
      <c r="E52" s="536">
        <f t="shared" si="11"/>
        <v>1090095</v>
      </c>
      <c r="F52" s="536">
        <f t="shared" si="11"/>
        <v>1090095</v>
      </c>
      <c r="G52" s="536">
        <f t="shared" si="11"/>
        <v>3216378</v>
      </c>
      <c r="H52" s="536">
        <f t="shared" si="11"/>
        <v>739522</v>
      </c>
      <c r="I52" s="536">
        <f t="shared" si="11"/>
        <v>3955900</v>
      </c>
      <c r="J52" s="209" t="s">
        <v>659</v>
      </c>
      <c r="K52" s="210"/>
      <c r="L52" s="403">
        <f t="shared" ref="L52:Q52" si="12">SUM(L43:L51)</f>
        <v>2882934</v>
      </c>
      <c r="M52" s="403">
        <f t="shared" si="12"/>
        <v>401754</v>
      </c>
      <c r="N52" s="403">
        <f t="shared" si="12"/>
        <v>401754</v>
      </c>
      <c r="O52" s="403">
        <f t="shared" si="12"/>
        <v>401754</v>
      </c>
      <c r="P52" s="403">
        <f t="shared" si="12"/>
        <v>739522</v>
      </c>
      <c r="Q52" s="403">
        <f t="shared" si="12"/>
        <v>1141276</v>
      </c>
    </row>
    <row r="53" spans="1:17" ht="60" customHeight="1" x14ac:dyDescent="0.4">
      <c r="A53" s="329"/>
      <c r="B53" s="250"/>
      <c r="C53" s="250"/>
      <c r="D53" s="537"/>
      <c r="E53" s="537"/>
      <c r="F53" s="537"/>
      <c r="G53" s="537"/>
      <c r="H53" s="537"/>
      <c r="I53" s="537"/>
      <c r="J53" s="208"/>
      <c r="K53" s="208"/>
      <c r="L53" s="412"/>
      <c r="M53" s="412"/>
      <c r="N53" s="412"/>
      <c r="O53" s="412"/>
      <c r="P53" s="412"/>
      <c r="Q53" s="412"/>
    </row>
    <row r="54" spans="1:17" ht="60" customHeight="1" thickBot="1" x14ac:dyDescent="0.45">
      <c r="A54" s="376"/>
      <c r="B54" s="212"/>
      <c r="C54" s="212"/>
      <c r="D54" s="413"/>
      <c r="E54" s="413"/>
      <c r="F54" s="413"/>
      <c r="G54" s="413"/>
      <c r="H54" s="413"/>
      <c r="I54" s="413"/>
      <c r="J54" s="211"/>
      <c r="K54" s="212"/>
      <c r="L54" s="413"/>
      <c r="M54" s="413"/>
      <c r="N54" s="413"/>
      <c r="O54" s="413"/>
      <c r="P54" s="413"/>
      <c r="Q54" s="413"/>
    </row>
    <row r="55" spans="1:17" ht="24.95" customHeight="1" thickBot="1" x14ac:dyDescent="0.45">
      <c r="A55" s="377" t="s">
        <v>144</v>
      </c>
      <c r="B55" s="366"/>
      <c r="C55" s="366"/>
      <c r="D55" s="394">
        <f t="shared" ref="D55:I55" si="13">+D52+D41+D22</f>
        <v>39869772</v>
      </c>
      <c r="E55" s="394">
        <f t="shared" si="13"/>
        <v>30105679</v>
      </c>
      <c r="F55" s="394">
        <f t="shared" si="13"/>
        <v>30166195</v>
      </c>
      <c r="G55" s="394">
        <f t="shared" si="13"/>
        <v>33913561</v>
      </c>
      <c r="H55" s="394">
        <f t="shared" si="13"/>
        <v>7702173</v>
      </c>
      <c r="I55" s="394">
        <f t="shared" si="13"/>
        <v>41615734</v>
      </c>
      <c r="J55" s="209" t="s">
        <v>118</v>
      </c>
      <c r="K55" s="210"/>
      <c r="L55" s="403">
        <f t="shared" ref="L55:Q55" si="14">+L52+L41+L22</f>
        <v>36653394</v>
      </c>
      <c r="M55" s="403">
        <f t="shared" si="14"/>
        <v>30105679</v>
      </c>
      <c r="N55" s="403">
        <f t="shared" si="14"/>
        <v>30166195</v>
      </c>
      <c r="O55" s="403">
        <f t="shared" si="14"/>
        <v>33913561</v>
      </c>
      <c r="P55" s="403">
        <f t="shared" si="14"/>
        <v>7702173</v>
      </c>
      <c r="Q55" s="403">
        <f t="shared" si="14"/>
        <v>41615734</v>
      </c>
    </row>
    <row r="57" spans="1:17" ht="23.25" x14ac:dyDescent="0.35">
      <c r="C57" s="379"/>
    </row>
    <row r="58" spans="1:17" ht="23.25" x14ac:dyDescent="0.35">
      <c r="C58" s="379"/>
    </row>
    <row r="59" spans="1:17" ht="23.25" x14ac:dyDescent="0.35">
      <c r="C59" s="379"/>
      <c r="K59" s="378"/>
    </row>
    <row r="60" spans="1:17" ht="23.25" x14ac:dyDescent="0.35">
      <c r="K60" s="250"/>
    </row>
    <row r="61" spans="1:17" ht="23.25" x14ac:dyDescent="0.35"/>
    <row r="62" spans="1:17" ht="14.1" customHeight="1" x14ac:dyDescent="0.35"/>
  </sheetData>
  <customSheetViews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Q2"/>
  </mergeCells>
  <phoneticPr fontId="0" type="noConversion"/>
  <printOptions horizontalCentered="1" verticalCentered="1"/>
  <pageMargins left="0" right="0" top="0" bottom="0" header="0.39370078740157483" footer="0"/>
  <pageSetup paperSize="9" scale="29" orientation="landscape" r:id="rId3"/>
  <headerFooter alignWithMargins="0">
    <oddHeader xml:space="preserve">&amp;R&amp;"Times New Roman CE,Félkövér"&amp;18
&amp;"-,Félkövér"2. melléklet a 20/2025. (IX.30.) önkormányzati rendelethez
"2. melléklet a 4/2025. (II.28) önkormányzati rendelethez"&amp;"Times New Roman CE,Félkövér"
 </oddHeader>
    <oddFooter>&amp;L&amp;14&amp;D&amp;T</oddFooter>
  </headerFooter>
  <rowBreaks count="2" manualBreakCount="2">
    <brk id="22" max="16" man="1"/>
    <brk id="55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1"/>
  <sheetViews>
    <sheetView tabSelected="1" zoomScale="85" zoomScaleNormal="85" workbookViewId="0">
      <selection activeCell="R12" sqref="R12"/>
    </sheetView>
  </sheetViews>
  <sheetFormatPr defaultRowHeight="23.25" x14ac:dyDescent="0.35"/>
  <cols>
    <col min="1" max="1" width="102.83203125" style="661" customWidth="1"/>
    <col min="2" max="2" width="26.83203125" style="661" bestFit="1" customWidth="1"/>
    <col min="3" max="3" width="28" style="661" bestFit="1" customWidth="1"/>
    <col min="4" max="4" width="25.33203125" style="661" customWidth="1"/>
    <col min="5" max="5" width="21.6640625" style="661" bestFit="1" customWidth="1"/>
    <col min="6" max="14" width="20.83203125" style="661" customWidth="1"/>
    <col min="15" max="15" width="9.33203125" style="661"/>
    <col min="16" max="16" width="19" style="661" customWidth="1"/>
    <col min="17" max="16384" width="9.33203125" style="661"/>
  </cols>
  <sheetData>
    <row r="1" spans="1:16" s="658" customFormat="1" ht="26.25" x14ac:dyDescent="0.4">
      <c r="A1" s="565" t="s">
        <v>705</v>
      </c>
      <c r="B1" s="710"/>
      <c r="C1" s="710"/>
      <c r="D1" s="710"/>
      <c r="E1" s="659"/>
      <c r="F1" s="710"/>
      <c r="G1" s="710"/>
      <c r="H1" s="710"/>
      <c r="I1" s="710"/>
      <c r="J1" s="710"/>
      <c r="K1" s="710"/>
      <c r="L1" s="710"/>
      <c r="M1" s="710"/>
      <c r="N1" s="710"/>
    </row>
    <row r="2" spans="1:16" x14ac:dyDescent="0.35">
      <c r="A2" s="1080"/>
      <c r="B2" s="1080"/>
    </row>
    <row r="3" spans="1:16" ht="24" thickBot="1" x14ac:dyDescent="0.4">
      <c r="N3" s="661" t="s">
        <v>349</v>
      </c>
    </row>
    <row r="4" spans="1:16" ht="20.100000000000001" customHeight="1" x14ac:dyDescent="0.35">
      <c r="A4" s="685" t="s">
        <v>226</v>
      </c>
      <c r="B4" s="686" t="s">
        <v>218</v>
      </c>
      <c r="C4" s="686" t="s">
        <v>167</v>
      </c>
      <c r="D4" s="686" t="s">
        <v>168</v>
      </c>
      <c r="E4" s="686" t="s">
        <v>169</v>
      </c>
      <c r="F4" s="686" t="s">
        <v>170</v>
      </c>
      <c r="G4" s="686" t="s">
        <v>172</v>
      </c>
      <c r="H4" s="686" t="s">
        <v>173</v>
      </c>
      <c r="I4" s="686" t="s">
        <v>174</v>
      </c>
      <c r="J4" s="686" t="s">
        <v>175</v>
      </c>
      <c r="K4" s="686" t="s">
        <v>212</v>
      </c>
      <c r="L4" s="686" t="s">
        <v>213</v>
      </c>
      <c r="M4" s="686" t="s">
        <v>214</v>
      </c>
      <c r="N4" s="686" t="s">
        <v>215</v>
      </c>
    </row>
    <row r="5" spans="1:16" ht="20.100000000000001" customHeight="1" x14ac:dyDescent="0.35">
      <c r="A5" s="687"/>
      <c r="B5" s="688"/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</row>
    <row r="6" spans="1:16" ht="67.5" customHeight="1" thickBot="1" x14ac:dyDescent="0.4">
      <c r="A6" s="689"/>
      <c r="B6" s="690" t="s">
        <v>227</v>
      </c>
      <c r="C6" s="690" t="s">
        <v>220</v>
      </c>
      <c r="D6" s="690" t="s">
        <v>220</v>
      </c>
      <c r="E6" s="690" t="s">
        <v>220</v>
      </c>
      <c r="F6" s="690" t="s">
        <v>220</v>
      </c>
      <c r="G6" s="690" t="s">
        <v>220</v>
      </c>
      <c r="H6" s="690" t="s">
        <v>220</v>
      </c>
      <c r="I6" s="690" t="s">
        <v>220</v>
      </c>
      <c r="J6" s="690" t="s">
        <v>220</v>
      </c>
      <c r="K6" s="690" t="s">
        <v>220</v>
      </c>
      <c r="L6" s="690" t="s">
        <v>220</v>
      </c>
      <c r="M6" s="690" t="s">
        <v>220</v>
      </c>
      <c r="N6" s="690" t="s">
        <v>220</v>
      </c>
    </row>
    <row r="7" spans="1:16" ht="24" customHeight="1" x14ac:dyDescent="0.35">
      <c r="A7" s="691" t="s">
        <v>228</v>
      </c>
      <c r="B7" s="660">
        <f>'1 kiemelt ei. '!N13</f>
        <v>32320378</v>
      </c>
      <c r="C7" s="660">
        <f>2443641-600000+3631</f>
        <v>1847272</v>
      </c>
      <c r="D7" s="660">
        <f>2443641-1220000-100000</f>
        <v>1123641</v>
      </c>
      <c r="E7" s="660">
        <f>2443641+255000</f>
        <v>2698641</v>
      </c>
      <c r="F7" s="660">
        <v>2443641</v>
      </c>
      <c r="G7" s="660">
        <f>2443641+282347+300000+525000</f>
        <v>3550988</v>
      </c>
      <c r="H7" s="660">
        <f>2443641</f>
        <v>2443641</v>
      </c>
      <c r="I7" s="660">
        <f>2443641+282344+268000</f>
        <v>2993985</v>
      </c>
      <c r="J7" s="660">
        <f>2443641+282344</f>
        <v>2725985</v>
      </c>
      <c r="K7" s="660">
        <f>2443641+800000+7000+282344+660787</f>
        <v>4193772</v>
      </c>
      <c r="L7" s="660">
        <f>2443641+765000+100000+282344</f>
        <v>3590985</v>
      </c>
      <c r="M7" s="660">
        <f>2443641+95141-34625+282344-192656-618000</f>
        <v>1975845</v>
      </c>
      <c r="N7" s="660">
        <f>2443641-3+282344+6000</f>
        <v>2731982</v>
      </c>
      <c r="P7" s="662"/>
    </row>
    <row r="8" spans="1:16" ht="24" customHeight="1" thickBot="1" x14ac:dyDescent="0.4">
      <c r="A8" s="692" t="s">
        <v>229</v>
      </c>
      <c r="B8" s="663">
        <f>'1 kiemelt ei. '!N17</f>
        <v>8154080</v>
      </c>
      <c r="C8" s="663"/>
      <c r="D8" s="663"/>
      <c r="E8" s="663"/>
      <c r="F8" s="663">
        <v>65542</v>
      </c>
      <c r="G8" s="663">
        <v>115000</v>
      </c>
      <c r="H8" s="663">
        <v>309145</v>
      </c>
      <c r="I8" s="663">
        <v>242365</v>
      </c>
      <c r="J8" s="663">
        <v>192625</v>
      </c>
      <c r="K8" s="663">
        <f>89063+183400</f>
        <v>272463</v>
      </c>
      <c r="L8" s="663">
        <f>100000+185000+45847</f>
        <v>330847</v>
      </c>
      <c r="M8" s="663">
        <v>190000</v>
      </c>
      <c r="N8" s="663">
        <f>186076+6256017-6000</f>
        <v>6436093</v>
      </c>
      <c r="P8" s="662"/>
    </row>
    <row r="9" spans="1:16" s="665" customFormat="1" ht="24" customHeight="1" thickBot="1" x14ac:dyDescent="0.4">
      <c r="A9" s="693" t="s">
        <v>230</v>
      </c>
      <c r="B9" s="664">
        <f t="shared" ref="B9:N9" si="0">B7+B8</f>
        <v>40474458</v>
      </c>
      <c r="C9" s="664">
        <f t="shared" si="0"/>
        <v>1847272</v>
      </c>
      <c r="D9" s="664">
        <f t="shared" si="0"/>
        <v>1123641</v>
      </c>
      <c r="E9" s="664">
        <f t="shared" si="0"/>
        <v>2698641</v>
      </c>
      <c r="F9" s="664">
        <f t="shared" si="0"/>
        <v>2509183</v>
      </c>
      <c r="G9" s="664">
        <f t="shared" si="0"/>
        <v>3665988</v>
      </c>
      <c r="H9" s="664">
        <f t="shared" si="0"/>
        <v>2752786</v>
      </c>
      <c r="I9" s="664">
        <f t="shared" si="0"/>
        <v>3236350</v>
      </c>
      <c r="J9" s="664">
        <f t="shared" si="0"/>
        <v>2918610</v>
      </c>
      <c r="K9" s="664">
        <f>K7+K8</f>
        <v>4466235</v>
      </c>
      <c r="L9" s="664">
        <f t="shared" si="0"/>
        <v>3921832</v>
      </c>
      <c r="M9" s="664">
        <f t="shared" si="0"/>
        <v>2165845</v>
      </c>
      <c r="N9" s="664">
        <f t="shared" si="0"/>
        <v>9168075</v>
      </c>
      <c r="P9" s="662"/>
    </row>
    <row r="10" spans="1:16" ht="49.5" customHeight="1" thickBot="1" x14ac:dyDescent="0.4">
      <c r="A10" s="694" t="s">
        <v>231</v>
      </c>
      <c r="B10" s="667">
        <f>'1 kiemelt ei. '!N19</f>
        <v>1141276</v>
      </c>
      <c r="C10" s="668">
        <f>281004+10063</f>
        <v>291067</v>
      </c>
      <c r="D10" s="668">
        <v>10063</v>
      </c>
      <c r="E10" s="668">
        <v>10063</v>
      </c>
      <c r="F10" s="668">
        <v>10063</v>
      </c>
      <c r="G10" s="668">
        <v>10063</v>
      </c>
      <c r="H10" s="668">
        <v>10063</v>
      </c>
      <c r="I10" s="668">
        <v>10063</v>
      </c>
      <c r="J10" s="668">
        <v>10063</v>
      </c>
      <c r="K10" s="668">
        <f>10063+739522</f>
        <v>749585</v>
      </c>
      <c r="L10" s="668">
        <v>10063</v>
      </c>
      <c r="M10" s="668">
        <v>10063</v>
      </c>
      <c r="N10" s="668">
        <f>10063-6</f>
        <v>10057</v>
      </c>
    </row>
    <row r="11" spans="1:16" s="665" customFormat="1" ht="24" customHeight="1" thickBot="1" x14ac:dyDescent="0.4">
      <c r="A11" s="693" t="s">
        <v>232</v>
      </c>
      <c r="B11" s="664">
        <f>SUM(B9:B10)</f>
        <v>41615734</v>
      </c>
      <c r="C11" s="664">
        <f t="shared" ref="C11:N11" si="1">SUM(C9:C10)</f>
        <v>2138339</v>
      </c>
      <c r="D11" s="664">
        <f t="shared" si="1"/>
        <v>1133704</v>
      </c>
      <c r="E11" s="664">
        <f t="shared" si="1"/>
        <v>2708704</v>
      </c>
      <c r="F11" s="664">
        <f t="shared" si="1"/>
        <v>2519246</v>
      </c>
      <c r="G11" s="664">
        <f t="shared" si="1"/>
        <v>3676051</v>
      </c>
      <c r="H11" s="664">
        <f t="shared" si="1"/>
        <v>2762849</v>
      </c>
      <c r="I11" s="664">
        <f t="shared" si="1"/>
        <v>3246413</v>
      </c>
      <c r="J11" s="664">
        <f t="shared" si="1"/>
        <v>2928673</v>
      </c>
      <c r="K11" s="664">
        <f t="shared" si="1"/>
        <v>5215820</v>
      </c>
      <c r="L11" s="664">
        <f t="shared" si="1"/>
        <v>3931895</v>
      </c>
      <c r="M11" s="664">
        <f t="shared" si="1"/>
        <v>2175908</v>
      </c>
      <c r="N11" s="664">
        <f t="shared" si="1"/>
        <v>9178132</v>
      </c>
    </row>
    <row r="12" spans="1:16" ht="24" customHeight="1" thickBot="1" x14ac:dyDescent="0.4">
      <c r="B12" s="662"/>
    </row>
    <row r="13" spans="1:16" s="325" customFormat="1" ht="46.5" x14ac:dyDescent="0.35">
      <c r="A13" s="695" t="s">
        <v>156</v>
      </c>
      <c r="B13" s="669"/>
      <c r="C13" s="669" t="s">
        <v>233</v>
      </c>
      <c r="D13" s="669" t="s">
        <v>234</v>
      </c>
      <c r="E13" s="670" t="s">
        <v>235</v>
      </c>
      <c r="O13" s="124"/>
      <c r="P13" s="124"/>
    </row>
    <row r="14" spans="1:16" s="325" customFormat="1" ht="24" thickBot="1" x14ac:dyDescent="0.4">
      <c r="A14" s="696"/>
      <c r="B14" s="671"/>
      <c r="C14" s="672"/>
      <c r="D14" s="672"/>
      <c r="E14" s="673"/>
      <c r="F14" s="124"/>
      <c r="G14" s="674"/>
      <c r="H14" s="674"/>
      <c r="I14" s="674"/>
      <c r="J14" s="674"/>
      <c r="K14" s="674"/>
      <c r="L14" s="674"/>
      <c r="M14" s="674"/>
      <c r="N14" s="674"/>
      <c r="O14" s="674"/>
      <c r="P14" s="674"/>
    </row>
    <row r="15" spans="1:16" s="325" customFormat="1" x14ac:dyDescent="0.35">
      <c r="A15" s="697" t="s">
        <v>236</v>
      </c>
      <c r="B15" s="675"/>
      <c r="C15" s="676">
        <f>'19 ei felh. terv bevétel'!C11</f>
        <v>2235806</v>
      </c>
      <c r="D15" s="676">
        <f>C11</f>
        <v>2138339</v>
      </c>
      <c r="E15" s="677">
        <f>+B15+C15-D15</f>
        <v>97467</v>
      </c>
      <c r="F15" s="124"/>
      <c r="G15" s="124"/>
      <c r="H15" s="124"/>
      <c r="I15" s="124"/>
      <c r="J15" s="124"/>
      <c r="K15" s="124"/>
      <c r="L15" s="124"/>
      <c r="M15" s="124"/>
      <c r="O15" s="124"/>
      <c r="P15" s="124"/>
    </row>
    <row r="16" spans="1:16" s="325" customFormat="1" x14ac:dyDescent="0.35">
      <c r="A16" s="698" t="s">
        <v>237</v>
      </c>
      <c r="B16" s="249"/>
      <c r="C16" s="676">
        <f>'19 ei felh. terv bevétel'!D11</f>
        <v>1142080</v>
      </c>
      <c r="D16" s="676">
        <f>D11</f>
        <v>1133704</v>
      </c>
      <c r="E16" s="678">
        <f t="shared" ref="E16:E26" si="2">+E15+C16-D16</f>
        <v>105843</v>
      </c>
      <c r="F16" s="124"/>
      <c r="G16" s="124"/>
      <c r="H16" s="124"/>
      <c r="I16" s="124"/>
      <c r="J16" s="124"/>
      <c r="K16" s="124"/>
      <c r="L16" s="124"/>
      <c r="M16" s="124"/>
      <c r="O16" s="124"/>
      <c r="P16" s="124"/>
    </row>
    <row r="17" spans="1:16" s="325" customFormat="1" x14ac:dyDescent="0.35">
      <c r="A17" s="698" t="s">
        <v>205</v>
      </c>
      <c r="B17" s="249"/>
      <c r="C17" s="676">
        <f>'19 ei felh. terv bevétel'!E11</f>
        <v>5942080</v>
      </c>
      <c r="D17" s="676">
        <f>E11</f>
        <v>2708704</v>
      </c>
      <c r="E17" s="678">
        <f t="shared" si="2"/>
        <v>3339219</v>
      </c>
      <c r="F17" s="124"/>
      <c r="G17" s="124"/>
      <c r="H17" s="124"/>
      <c r="I17" s="124"/>
      <c r="J17" s="124"/>
      <c r="K17" s="124"/>
      <c r="L17" s="124"/>
      <c r="M17" s="124"/>
      <c r="O17" s="124"/>
      <c r="P17" s="124"/>
    </row>
    <row r="18" spans="1:16" s="325" customFormat="1" x14ac:dyDescent="0.35">
      <c r="A18" s="698" t="s">
        <v>206</v>
      </c>
      <c r="B18" s="249"/>
      <c r="C18" s="676">
        <f>'19 ei felh. terv bevétel'!F11</f>
        <v>1711742</v>
      </c>
      <c r="D18" s="676">
        <f>F11</f>
        <v>2519246</v>
      </c>
      <c r="E18" s="678">
        <f t="shared" si="2"/>
        <v>2531715</v>
      </c>
      <c r="F18" s="124"/>
      <c r="G18" s="124"/>
      <c r="H18" s="124"/>
      <c r="I18" s="124"/>
      <c r="J18" s="124"/>
      <c r="K18" s="124"/>
      <c r="L18" s="124"/>
      <c r="M18" s="124"/>
      <c r="O18" s="124"/>
      <c r="P18" s="124"/>
    </row>
    <row r="19" spans="1:16" s="325" customFormat="1" x14ac:dyDescent="0.35">
      <c r="A19" s="698" t="s">
        <v>207</v>
      </c>
      <c r="B19" s="249"/>
      <c r="C19" s="676">
        <f>'19 ei felh. terv bevétel'!G11</f>
        <v>6868450</v>
      </c>
      <c r="D19" s="676">
        <f>G11</f>
        <v>3676051</v>
      </c>
      <c r="E19" s="678">
        <f t="shared" si="2"/>
        <v>5724114</v>
      </c>
      <c r="F19" s="124"/>
      <c r="G19" s="124"/>
      <c r="H19" s="124"/>
      <c r="I19" s="124"/>
      <c r="J19" s="124"/>
      <c r="K19" s="124"/>
      <c r="L19" s="124"/>
      <c r="M19" s="124"/>
      <c r="O19" s="124"/>
      <c r="P19" s="124"/>
    </row>
    <row r="20" spans="1:16" s="325" customFormat="1" x14ac:dyDescent="0.35">
      <c r="A20" s="698" t="s">
        <v>238</v>
      </c>
      <c r="B20" s="249"/>
      <c r="C20" s="676">
        <f>'19 ei felh. terv bevétel'!H11</f>
        <v>1149893</v>
      </c>
      <c r="D20" s="676">
        <f>H11</f>
        <v>2762849</v>
      </c>
      <c r="E20" s="678">
        <f t="shared" si="2"/>
        <v>4111158</v>
      </c>
      <c r="F20" s="124"/>
      <c r="G20" s="124"/>
      <c r="H20" s="124"/>
      <c r="I20" s="124"/>
      <c r="J20" s="124"/>
      <c r="K20" s="124"/>
      <c r="L20" s="124"/>
      <c r="M20" s="124"/>
      <c r="O20" s="124"/>
      <c r="P20" s="124"/>
    </row>
    <row r="21" spans="1:16" s="325" customFormat="1" x14ac:dyDescent="0.35">
      <c r="A21" s="698" t="s">
        <v>239</v>
      </c>
      <c r="B21" s="249"/>
      <c r="C21" s="676">
        <f>'19 ei felh. terv bevétel'!I11</f>
        <v>1149893</v>
      </c>
      <c r="D21" s="676">
        <f>I11</f>
        <v>3246413</v>
      </c>
      <c r="E21" s="678">
        <f t="shared" si="2"/>
        <v>2014638</v>
      </c>
      <c r="F21" s="124"/>
      <c r="G21" s="124"/>
      <c r="H21" s="124"/>
      <c r="I21" s="124"/>
      <c r="J21" s="124"/>
      <c r="K21" s="124"/>
      <c r="L21" s="124"/>
      <c r="M21" s="124"/>
      <c r="O21" s="124"/>
      <c r="P21" s="124"/>
    </row>
    <row r="22" spans="1:16" s="325" customFormat="1" x14ac:dyDescent="0.35">
      <c r="A22" s="698" t="s">
        <v>240</v>
      </c>
      <c r="B22" s="249"/>
      <c r="C22" s="676">
        <f>'19 ei felh. terv bevétel'!J11</f>
        <v>1149893</v>
      </c>
      <c r="D22" s="676">
        <f>J11</f>
        <v>2928673</v>
      </c>
      <c r="E22" s="678">
        <f t="shared" si="2"/>
        <v>235858</v>
      </c>
      <c r="F22" s="124"/>
      <c r="G22" s="124"/>
      <c r="H22" s="124"/>
      <c r="I22" s="124"/>
      <c r="J22" s="124"/>
      <c r="K22" s="124"/>
      <c r="L22" s="124"/>
      <c r="M22" s="124"/>
      <c r="O22" s="124"/>
      <c r="P22" s="124"/>
    </row>
    <row r="23" spans="1:16" s="325" customFormat="1" x14ac:dyDescent="0.35">
      <c r="A23" s="698" t="s">
        <v>208</v>
      </c>
      <c r="B23" s="249"/>
      <c r="C23" s="676">
        <f>'19 ei felh. terv bevétel'!K11</f>
        <v>7903049</v>
      </c>
      <c r="D23" s="676">
        <f>K11</f>
        <v>5215820</v>
      </c>
      <c r="E23" s="678">
        <f t="shared" si="2"/>
        <v>2923087</v>
      </c>
      <c r="F23" s="124"/>
      <c r="G23" s="124"/>
      <c r="H23" s="124"/>
      <c r="I23" s="124"/>
      <c r="J23" s="124"/>
      <c r="K23" s="124"/>
      <c r="L23" s="124"/>
      <c r="M23" s="124"/>
      <c r="O23" s="124"/>
      <c r="P23" s="124"/>
    </row>
    <row r="24" spans="1:16" s="325" customFormat="1" x14ac:dyDescent="0.35">
      <c r="A24" s="698" t="s">
        <v>210</v>
      </c>
      <c r="B24" s="249"/>
      <c r="C24" s="676">
        <f>'19 ei felh. terv bevétel'!L11</f>
        <v>1649893</v>
      </c>
      <c r="D24" s="676">
        <f>L11</f>
        <v>3931895</v>
      </c>
      <c r="E24" s="678">
        <f t="shared" si="2"/>
        <v>641085</v>
      </c>
      <c r="F24" s="124"/>
      <c r="G24" s="124"/>
      <c r="H24" s="124"/>
      <c r="I24" s="124"/>
      <c r="J24" s="124"/>
      <c r="K24" s="124"/>
      <c r="L24" s="124"/>
      <c r="M24" s="124"/>
      <c r="O24" s="124"/>
      <c r="P24" s="124"/>
    </row>
    <row r="25" spans="1:16" s="325" customFormat="1" x14ac:dyDescent="0.35">
      <c r="A25" s="698" t="s">
        <v>241</v>
      </c>
      <c r="B25" s="249"/>
      <c r="C25" s="676">
        <f>'19 ei felh. terv bevétel'!M11</f>
        <v>1622893</v>
      </c>
      <c r="D25" s="676">
        <f>M11</f>
        <v>2175908</v>
      </c>
      <c r="E25" s="678">
        <f t="shared" si="2"/>
        <v>88070</v>
      </c>
      <c r="F25" s="124"/>
      <c r="G25" s="124"/>
      <c r="H25" s="124"/>
      <c r="I25" s="124"/>
      <c r="J25" s="124"/>
      <c r="K25" s="124"/>
      <c r="L25" s="124"/>
      <c r="M25" s="124"/>
      <c r="O25" s="124"/>
      <c r="P25" s="124"/>
    </row>
    <row r="26" spans="1:16" s="325" customFormat="1" ht="24" thickBot="1" x14ac:dyDescent="0.4">
      <c r="A26" s="699" t="s">
        <v>242</v>
      </c>
      <c r="B26" s="679"/>
      <c r="C26" s="680">
        <f>'19 ei felh. terv bevétel'!N11</f>
        <v>9090062</v>
      </c>
      <c r="D26" s="680">
        <f>N11</f>
        <v>9178132</v>
      </c>
      <c r="E26" s="678">
        <f t="shared" si="2"/>
        <v>0</v>
      </c>
      <c r="F26" s="124"/>
      <c r="G26" s="124"/>
      <c r="H26" s="124"/>
      <c r="I26" s="124"/>
      <c r="J26" s="124"/>
      <c r="K26" s="124"/>
      <c r="L26" s="124"/>
      <c r="M26" s="124"/>
      <c r="O26" s="124"/>
      <c r="P26" s="124"/>
    </row>
    <row r="27" spans="1:16" s="325" customFormat="1" ht="24" thickBot="1" x14ac:dyDescent="0.4">
      <c r="A27" s="376" t="s">
        <v>186</v>
      </c>
      <c r="B27" s="681"/>
      <c r="C27" s="682">
        <f>SUM(C15:C26)</f>
        <v>41615734</v>
      </c>
      <c r="D27" s="682">
        <f>SUM(D15:D26)</f>
        <v>41615734</v>
      </c>
      <c r="E27" s="683">
        <f>+C27-D27</f>
        <v>0</v>
      </c>
      <c r="G27" s="124"/>
      <c r="H27" s="124"/>
      <c r="I27" s="124"/>
      <c r="J27" s="124"/>
      <c r="K27" s="124"/>
      <c r="L27" s="124"/>
      <c r="M27" s="124"/>
      <c r="O27" s="124"/>
      <c r="P27" s="124"/>
    </row>
    <row r="30" spans="1:16" x14ac:dyDescent="0.35">
      <c r="B30" s="662"/>
      <c r="C30" s="684"/>
      <c r="D30" s="684"/>
      <c r="E30" s="684"/>
      <c r="F30" s="684"/>
      <c r="G30" s="684"/>
      <c r="H30" s="684"/>
      <c r="I30" s="684"/>
      <c r="J30" s="684"/>
      <c r="K30" s="684"/>
      <c r="L30" s="684"/>
      <c r="M30" s="684"/>
      <c r="N30" s="684"/>
    </row>
    <row r="31" spans="1:16" x14ac:dyDescent="0.35">
      <c r="C31" s="684"/>
      <c r="D31" s="684"/>
      <c r="E31" s="684"/>
      <c r="F31" s="684"/>
      <c r="G31" s="684"/>
      <c r="H31" s="684"/>
      <c r="I31" s="684"/>
      <c r="J31" s="684"/>
      <c r="K31" s="684"/>
      <c r="L31" s="684"/>
      <c r="M31" s="684"/>
      <c r="N31" s="684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&amp;R&amp;"-,Félkövér"&amp;12 19. melléklet a 20/2025. (IX.30.) önkormányzati rendelethez
"19. melléklet a 4/2025. (II.28) önkormányzati rendelethez"&amp;"Times New Roman CE,Félkövér"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1"/>
  <dimension ref="A1:S138"/>
  <sheetViews>
    <sheetView zoomScale="95" zoomScaleNormal="95" workbookViewId="0">
      <selection activeCell="L31" sqref="L31"/>
    </sheetView>
  </sheetViews>
  <sheetFormatPr defaultRowHeight="21" customHeight="1" x14ac:dyDescent="0.25"/>
  <cols>
    <col min="1" max="1" width="5" style="25" customWidth="1"/>
    <col min="2" max="4" width="2.33203125" style="25" customWidth="1"/>
    <col min="5" max="5" width="149.5" style="96" customWidth="1"/>
    <col min="6" max="7" width="29.5" style="25" bestFit="1" customWidth="1"/>
    <col min="8" max="8" width="33.5" style="25" customWidth="1"/>
    <col min="9" max="9" width="33.83203125" style="25" customWidth="1"/>
    <col min="10" max="10" width="22.6640625" style="25" customWidth="1"/>
    <col min="11" max="11" width="33.6640625" style="26" customWidth="1"/>
    <col min="12" max="12" width="16.33203125" style="25" bestFit="1" customWidth="1"/>
    <col min="13" max="13" width="9.33203125" style="25"/>
    <col min="14" max="14" width="15" style="25" bestFit="1" customWidth="1"/>
    <col min="15" max="15" width="13.83203125" style="25" customWidth="1"/>
    <col min="16" max="18" width="9.33203125" style="25"/>
    <col min="19" max="19" width="13.1640625" style="25" customWidth="1"/>
    <col min="20" max="16384" width="9.33203125" style="25"/>
  </cols>
  <sheetData>
    <row r="1" spans="1:13" ht="21" customHeight="1" x14ac:dyDescent="0.25">
      <c r="A1" s="1018"/>
      <c r="B1" s="1018"/>
      <c r="C1" s="1018"/>
      <c r="D1" s="1018"/>
      <c r="E1" s="1018"/>
      <c r="F1" s="23"/>
      <c r="G1" s="23"/>
      <c r="H1" s="23"/>
      <c r="I1" s="23"/>
      <c r="J1" s="23"/>
      <c r="K1" s="24"/>
    </row>
    <row r="2" spans="1:13" s="568" customFormat="1" ht="21" customHeight="1" x14ac:dyDescent="0.4">
      <c r="A2" s="1021" t="s">
        <v>106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</row>
    <row r="3" spans="1:13" ht="21" customHeight="1" x14ac:dyDescent="0.25">
      <c r="A3" s="23"/>
      <c r="B3" s="23"/>
      <c r="C3" s="23"/>
      <c r="D3" s="23"/>
      <c r="E3" s="95"/>
      <c r="F3" s="23"/>
      <c r="G3" s="23"/>
      <c r="H3" s="23"/>
      <c r="I3" s="23"/>
      <c r="J3" s="23"/>
      <c r="K3" s="24"/>
    </row>
    <row r="4" spans="1:13" ht="21" customHeight="1" thickBot="1" x14ac:dyDescent="0.35">
      <c r="B4" s="27"/>
      <c r="C4" s="27"/>
      <c r="D4" s="27"/>
      <c r="E4" s="265"/>
      <c r="F4" s="29"/>
      <c r="G4" s="29"/>
      <c r="H4" s="29"/>
      <c r="I4" s="29"/>
      <c r="K4" s="12" t="s">
        <v>203</v>
      </c>
    </row>
    <row r="5" spans="1:13" ht="21" customHeight="1" x14ac:dyDescent="0.3">
      <c r="A5" s="30"/>
      <c r="B5" s="31"/>
      <c r="C5" s="31"/>
      <c r="D5" s="31"/>
      <c r="E5" s="266" t="s">
        <v>156</v>
      </c>
      <c r="F5" s="395" t="s">
        <v>695</v>
      </c>
      <c r="G5" s="395" t="s">
        <v>578</v>
      </c>
      <c r="H5" s="395" t="s">
        <v>554</v>
      </c>
      <c r="I5" s="395" t="s">
        <v>560</v>
      </c>
      <c r="J5" s="395" t="s">
        <v>553</v>
      </c>
      <c r="K5" s="395" t="s">
        <v>580</v>
      </c>
    </row>
    <row r="6" spans="1:13" ht="21" customHeight="1" thickBot="1" x14ac:dyDescent="0.35">
      <c r="A6" s="33"/>
      <c r="B6" s="34"/>
      <c r="C6" s="34"/>
      <c r="D6" s="34"/>
      <c r="E6" s="267"/>
      <c r="F6" s="396" t="s">
        <v>701</v>
      </c>
      <c r="G6" s="396" t="s">
        <v>335</v>
      </c>
      <c r="H6" s="396" t="s">
        <v>348</v>
      </c>
      <c r="I6" s="396" t="s">
        <v>348</v>
      </c>
      <c r="J6" s="396" t="s">
        <v>552</v>
      </c>
      <c r="K6" s="396" t="s">
        <v>348</v>
      </c>
    </row>
    <row r="7" spans="1:13" ht="21" customHeight="1" x14ac:dyDescent="0.4">
      <c r="A7" s="36" t="s">
        <v>100</v>
      </c>
      <c r="B7" s="18"/>
      <c r="C7" s="18"/>
      <c r="D7" s="18"/>
      <c r="E7" s="268"/>
      <c r="F7" s="538"/>
      <c r="G7" s="538"/>
      <c r="H7" s="538"/>
      <c r="I7" s="538"/>
      <c r="J7" s="538"/>
      <c r="K7" s="538"/>
    </row>
    <row r="8" spans="1:13" s="37" customFormat="1" ht="26.1" customHeight="1" x14ac:dyDescent="0.4">
      <c r="A8" s="4"/>
      <c r="B8" s="5" t="s">
        <v>558</v>
      </c>
      <c r="C8" s="5"/>
      <c r="D8" s="5"/>
      <c r="E8" s="269"/>
      <c r="F8" s="539">
        <v>1738126</v>
      </c>
      <c r="G8" s="539">
        <v>1706599</v>
      </c>
      <c r="H8" s="539">
        <v>1759168</v>
      </c>
      <c r="I8" s="539">
        <v>1759168</v>
      </c>
      <c r="J8" s="539">
        <v>225</v>
      </c>
      <c r="K8" s="539">
        <f>SUM(I8:J8)</f>
        <v>1759393</v>
      </c>
      <c r="M8" s="245"/>
    </row>
    <row r="9" spans="1:13" s="37" customFormat="1" ht="26.1" customHeight="1" x14ac:dyDescent="0.4">
      <c r="A9" s="4"/>
      <c r="B9" s="41" t="s">
        <v>271</v>
      </c>
      <c r="C9" s="41"/>
      <c r="D9" s="41"/>
      <c r="E9" s="296"/>
      <c r="F9" s="540">
        <v>2951739</v>
      </c>
      <c r="G9" s="540">
        <v>3333839</v>
      </c>
      <c r="H9" s="540">
        <v>3333839</v>
      </c>
      <c r="I9" s="540">
        <v>3333839</v>
      </c>
      <c r="J9" s="540">
        <f>5452+18720</f>
        <v>24172</v>
      </c>
      <c r="K9" s="540">
        <f>SUM(I9:J9)</f>
        <v>3358011</v>
      </c>
      <c r="M9" s="245"/>
    </row>
    <row r="10" spans="1:13" s="37" customFormat="1" ht="26.1" customHeight="1" x14ac:dyDescent="0.4">
      <c r="A10" s="4"/>
      <c r="B10" s="5" t="s">
        <v>391</v>
      </c>
      <c r="C10" s="5"/>
      <c r="D10" s="5"/>
      <c r="E10" s="40" t="s">
        <v>401</v>
      </c>
      <c r="F10" s="540">
        <v>1859396</v>
      </c>
      <c r="G10" s="540">
        <v>2145681</v>
      </c>
      <c r="H10" s="540">
        <v>2153628</v>
      </c>
      <c r="I10" s="540">
        <v>2163429</v>
      </c>
      <c r="J10" s="540">
        <v>-67334</v>
      </c>
      <c r="K10" s="540">
        <f>SUM(I10:J10)</f>
        <v>2096095</v>
      </c>
      <c r="M10" s="245"/>
    </row>
    <row r="11" spans="1:13" s="37" customFormat="1" ht="26.1" customHeight="1" x14ac:dyDescent="0.4">
      <c r="A11" s="4"/>
      <c r="B11" s="41" t="s">
        <v>392</v>
      </c>
      <c r="C11" s="41"/>
      <c r="D11" s="41"/>
      <c r="E11" s="42" t="s">
        <v>393</v>
      </c>
      <c r="F11" s="541">
        <v>819450</v>
      </c>
      <c r="G11" s="541">
        <v>878065</v>
      </c>
      <c r="H11" s="541">
        <v>878065</v>
      </c>
      <c r="I11" s="541">
        <v>878065</v>
      </c>
      <c r="J11" s="541">
        <v>-1219</v>
      </c>
      <c r="K11" s="541">
        <f>SUM(I11:J11)</f>
        <v>876846</v>
      </c>
      <c r="M11" s="245"/>
    </row>
    <row r="12" spans="1:13" s="37" customFormat="1" ht="26.1" customHeight="1" x14ac:dyDescent="0.4">
      <c r="A12" s="4"/>
      <c r="B12" s="39" t="s">
        <v>394</v>
      </c>
      <c r="C12" s="39"/>
      <c r="D12" s="39"/>
      <c r="E12" s="246"/>
      <c r="F12" s="540">
        <f t="shared" ref="F12:H12" si="0">SUM(F13:F14)</f>
        <v>214651</v>
      </c>
      <c r="G12" s="540">
        <f t="shared" si="0"/>
        <v>214192</v>
      </c>
      <c r="H12" s="540">
        <f t="shared" si="0"/>
        <v>214192</v>
      </c>
      <c r="I12" s="540">
        <f>SUM(I13:I14)</f>
        <v>214192</v>
      </c>
      <c r="J12" s="540">
        <f>SUM(J13:J14)</f>
        <v>0</v>
      </c>
      <c r="K12" s="540">
        <f>SUM(K13:K14)</f>
        <v>214192</v>
      </c>
      <c r="M12" s="245"/>
    </row>
    <row r="13" spans="1:13" s="37" customFormat="1" ht="26.1" customHeight="1" x14ac:dyDescent="0.4">
      <c r="A13" s="4"/>
      <c r="B13" s="7"/>
      <c r="C13" s="14" t="s">
        <v>538</v>
      </c>
      <c r="D13" s="14"/>
      <c r="E13" s="46"/>
      <c r="F13" s="542">
        <v>71937</v>
      </c>
      <c r="G13" s="542">
        <v>71479</v>
      </c>
      <c r="H13" s="542">
        <v>71479</v>
      </c>
      <c r="I13" s="542">
        <v>71479</v>
      </c>
      <c r="J13" s="542"/>
      <c r="K13" s="542">
        <f>SUM(I13:J13)</f>
        <v>71479</v>
      </c>
      <c r="M13" s="245"/>
    </row>
    <row r="14" spans="1:13" s="37" customFormat="1" ht="26.1" customHeight="1" x14ac:dyDescent="0.4">
      <c r="A14" s="4"/>
      <c r="B14" s="43"/>
      <c r="C14" s="44" t="s">
        <v>539</v>
      </c>
      <c r="D14" s="44"/>
      <c r="E14" s="271"/>
      <c r="F14" s="542">
        <v>142714</v>
      </c>
      <c r="G14" s="542">
        <v>142713</v>
      </c>
      <c r="H14" s="542">
        <v>142713</v>
      </c>
      <c r="I14" s="542">
        <v>142713</v>
      </c>
      <c r="J14" s="542"/>
      <c r="K14" s="542">
        <f>SUM(I14:J14)</f>
        <v>142713</v>
      </c>
      <c r="M14" s="245"/>
    </row>
    <row r="15" spans="1:13" s="37" customFormat="1" ht="26.1" customHeight="1" x14ac:dyDescent="0.4">
      <c r="A15" s="4"/>
      <c r="B15" s="41" t="s">
        <v>395</v>
      </c>
      <c r="C15" s="41"/>
      <c r="D15" s="41"/>
      <c r="E15" s="42"/>
      <c r="F15" s="541">
        <f t="shared" ref="F15:K15" si="1">F8+F9+F10+F11+F12</f>
        <v>7583362</v>
      </c>
      <c r="G15" s="541">
        <f t="shared" si="1"/>
        <v>8278376</v>
      </c>
      <c r="H15" s="541">
        <f t="shared" si="1"/>
        <v>8338892</v>
      </c>
      <c r="I15" s="541">
        <f t="shared" si="1"/>
        <v>8348693</v>
      </c>
      <c r="J15" s="541">
        <f t="shared" si="1"/>
        <v>-44156</v>
      </c>
      <c r="K15" s="541">
        <f t="shared" si="1"/>
        <v>8304537</v>
      </c>
      <c r="M15" s="245"/>
    </row>
    <row r="16" spans="1:13" s="37" customFormat="1" ht="26.1" customHeight="1" x14ac:dyDescent="0.4">
      <c r="A16" s="4"/>
      <c r="B16" s="5" t="s">
        <v>398</v>
      </c>
      <c r="C16" s="38"/>
      <c r="D16" s="5"/>
      <c r="E16" s="40"/>
      <c r="F16" s="540"/>
      <c r="G16" s="540"/>
      <c r="H16" s="540"/>
      <c r="I16" s="540"/>
      <c r="J16" s="540"/>
      <c r="K16" s="540"/>
      <c r="M16" s="245"/>
    </row>
    <row r="17" spans="1:19" s="37" customFormat="1" ht="26.1" customHeight="1" x14ac:dyDescent="0.4">
      <c r="A17" s="4"/>
      <c r="B17" s="7"/>
      <c r="C17" s="14" t="s">
        <v>581</v>
      </c>
      <c r="D17" s="14"/>
      <c r="E17" s="46"/>
      <c r="F17" s="542">
        <v>5712</v>
      </c>
      <c r="G17" s="542"/>
      <c r="H17" s="542"/>
      <c r="I17" s="542"/>
      <c r="J17" s="539"/>
      <c r="K17" s="539"/>
      <c r="M17" s="245"/>
    </row>
    <row r="18" spans="1:19" s="37" customFormat="1" ht="26.1" customHeight="1" x14ac:dyDescent="0.4">
      <c r="A18" s="6"/>
      <c r="B18" s="7"/>
      <c r="C18" s="16" t="s">
        <v>402</v>
      </c>
      <c r="D18" s="16"/>
      <c r="E18" s="272"/>
      <c r="F18" s="542">
        <v>240166</v>
      </c>
      <c r="G18" s="542"/>
      <c r="H18" s="542"/>
      <c r="I18" s="542">
        <v>105185</v>
      </c>
      <c r="J18" s="542">
        <v>84348</v>
      </c>
      <c r="K18" s="542">
        <f>SUM(I18:J18)</f>
        <v>189533</v>
      </c>
      <c r="M18" s="245"/>
    </row>
    <row r="19" spans="1:19" s="37" customFormat="1" ht="26.1" customHeight="1" x14ac:dyDescent="0.4">
      <c r="A19" s="4"/>
      <c r="B19" s="41"/>
      <c r="C19" s="41" t="s">
        <v>397</v>
      </c>
      <c r="D19" s="41"/>
      <c r="E19" s="273"/>
      <c r="F19" s="543">
        <f>SUM(F17:F18)</f>
        <v>245878</v>
      </c>
      <c r="G19" s="543">
        <f t="shared" ref="G19:I19" si="2">SUM(G17:G18)</f>
        <v>0</v>
      </c>
      <c r="H19" s="543">
        <f t="shared" si="2"/>
        <v>0</v>
      </c>
      <c r="I19" s="543">
        <f t="shared" si="2"/>
        <v>105185</v>
      </c>
      <c r="J19" s="543">
        <f>SUM(J18:J18)</f>
        <v>84348</v>
      </c>
      <c r="K19" s="543">
        <f>SUM(K18:K18)</f>
        <v>189533</v>
      </c>
      <c r="M19" s="245"/>
    </row>
    <row r="20" spans="1:19" s="37" customFormat="1" ht="26.1" customHeight="1" x14ac:dyDescent="0.4">
      <c r="A20" s="4"/>
      <c r="B20" s="39" t="s">
        <v>400</v>
      </c>
      <c r="C20" s="39"/>
      <c r="D20" s="39"/>
      <c r="E20" s="274"/>
      <c r="F20" s="544"/>
      <c r="G20" s="544"/>
      <c r="H20" s="544"/>
      <c r="I20" s="544"/>
      <c r="J20" s="544"/>
      <c r="K20" s="544"/>
      <c r="M20" s="245"/>
    </row>
    <row r="21" spans="1:19" s="37" customFormat="1" ht="26.1" customHeight="1" x14ac:dyDescent="0.4">
      <c r="A21" s="4"/>
      <c r="B21" s="7"/>
      <c r="C21" s="14" t="s">
        <v>535</v>
      </c>
      <c r="D21" s="14"/>
      <c r="E21" s="46"/>
      <c r="F21" s="542">
        <v>230670</v>
      </c>
      <c r="G21" s="542">
        <v>230670</v>
      </c>
      <c r="H21" s="542">
        <v>230670</v>
      </c>
      <c r="I21" s="542">
        <v>230670</v>
      </c>
      <c r="J21" s="542"/>
      <c r="K21" s="542">
        <f>SUM(I21:J21)</f>
        <v>230670</v>
      </c>
      <c r="M21" s="245"/>
      <c r="O21" s="245"/>
      <c r="S21" s="245"/>
    </row>
    <row r="22" spans="1:19" s="37" customFormat="1" ht="26.1" customHeight="1" x14ac:dyDescent="0.4">
      <c r="A22" s="4"/>
      <c r="B22" s="7"/>
      <c r="C22" s="14" t="s">
        <v>536</v>
      </c>
      <c r="D22" s="14"/>
      <c r="E22" s="46"/>
      <c r="F22" s="545">
        <v>188000</v>
      </c>
      <c r="G22" s="545">
        <v>188000</v>
      </c>
      <c r="H22" s="545">
        <v>188000</v>
      </c>
      <c r="I22" s="545">
        <v>188000</v>
      </c>
      <c r="J22" s="542"/>
      <c r="K22" s="542">
        <f t="shared" ref="K22:K24" si="3">SUM(I22:J22)</f>
        <v>188000</v>
      </c>
      <c r="M22" s="245"/>
      <c r="O22" s="245"/>
      <c r="S22" s="245"/>
    </row>
    <row r="23" spans="1:19" ht="26.1" customHeight="1" x14ac:dyDescent="0.4">
      <c r="A23" s="6"/>
      <c r="B23" s="7"/>
      <c r="C23" s="16" t="s">
        <v>396</v>
      </c>
      <c r="D23" s="16"/>
      <c r="E23" s="272"/>
      <c r="F23" s="542">
        <v>318266</v>
      </c>
      <c r="G23" s="542">
        <v>318266</v>
      </c>
      <c r="H23" s="542">
        <v>318266</v>
      </c>
      <c r="I23" s="542">
        <v>318266</v>
      </c>
      <c r="J23" s="545"/>
      <c r="K23" s="542">
        <f t="shared" si="3"/>
        <v>318266</v>
      </c>
      <c r="M23" s="245"/>
    </row>
    <row r="24" spans="1:19" ht="38.25" customHeight="1" x14ac:dyDescent="0.4">
      <c r="A24" s="6"/>
      <c r="B24" s="7"/>
      <c r="C24" s="1019" t="s">
        <v>576</v>
      </c>
      <c r="D24" s="1019"/>
      <c r="E24" s="1020"/>
      <c r="F24" s="542">
        <v>116318</v>
      </c>
      <c r="G24" s="542">
        <v>157338</v>
      </c>
      <c r="H24" s="542">
        <v>157338</v>
      </c>
      <c r="I24" s="542">
        <v>157338</v>
      </c>
      <c r="J24" s="542"/>
      <c r="K24" s="542">
        <f t="shared" si="3"/>
        <v>157338</v>
      </c>
      <c r="M24" s="245"/>
    </row>
    <row r="25" spans="1:19" ht="35.25" customHeight="1" x14ac:dyDescent="0.4">
      <c r="A25" s="261"/>
      <c r="C25" s="1022" t="s">
        <v>582</v>
      </c>
      <c r="D25" s="1022"/>
      <c r="E25" s="1023"/>
      <c r="F25" s="546">
        <v>41020</v>
      </c>
      <c r="G25" s="546"/>
      <c r="H25" s="546"/>
      <c r="I25" s="546"/>
      <c r="J25" s="546"/>
      <c r="K25" s="546"/>
      <c r="M25" s="245"/>
    </row>
    <row r="26" spans="1:19" s="37" customFormat="1" ht="26.1" customHeight="1" x14ac:dyDescent="0.4">
      <c r="A26" s="4"/>
      <c r="B26" s="41" t="s">
        <v>399</v>
      </c>
      <c r="C26" s="41"/>
      <c r="D26" s="41"/>
      <c r="E26" s="273"/>
      <c r="F26" s="543">
        <f>SUM(F21:F25)</f>
        <v>894274</v>
      </c>
      <c r="G26" s="543">
        <f t="shared" ref="G26:I26" si="4">SUM(G21:G25)</f>
        <v>894274</v>
      </c>
      <c r="H26" s="543">
        <f t="shared" si="4"/>
        <v>894274</v>
      </c>
      <c r="I26" s="543">
        <f t="shared" si="4"/>
        <v>894274</v>
      </c>
      <c r="J26" s="543">
        <f>SUM(J21:J24)</f>
        <v>0</v>
      </c>
      <c r="K26" s="543">
        <f>SUM(K21:K24)</f>
        <v>894274</v>
      </c>
      <c r="M26" s="245"/>
    </row>
    <row r="27" spans="1:19" s="37" customFormat="1" ht="26.1" customHeight="1" x14ac:dyDescent="0.4">
      <c r="A27" s="4"/>
      <c r="B27" s="39" t="s">
        <v>48</v>
      </c>
      <c r="C27" s="39"/>
      <c r="D27" s="39"/>
      <c r="E27" s="270"/>
      <c r="F27" s="544"/>
      <c r="G27" s="544"/>
      <c r="H27" s="544"/>
      <c r="I27" s="544"/>
      <c r="J27" s="544"/>
      <c r="K27" s="544"/>
      <c r="M27" s="245"/>
    </row>
    <row r="28" spans="1:19" s="37" customFormat="1" ht="38.25" customHeight="1" x14ac:dyDescent="0.4">
      <c r="A28" s="1"/>
      <c r="B28" s="2"/>
      <c r="C28" s="2"/>
      <c r="D28" s="2"/>
      <c r="E28" s="46" t="s">
        <v>421</v>
      </c>
      <c r="F28" s="382">
        <v>14555</v>
      </c>
      <c r="G28" s="382"/>
      <c r="H28" s="382"/>
      <c r="I28" s="382">
        <v>2420</v>
      </c>
      <c r="J28" s="382">
        <v>2440</v>
      </c>
      <c r="K28" s="382">
        <f>SUM(I28:J28)</f>
        <v>4860</v>
      </c>
      <c r="M28" s="245"/>
    </row>
    <row r="29" spans="1:19" s="37" customFormat="1" ht="26.1" customHeight="1" x14ac:dyDescent="0.4">
      <c r="A29" s="261"/>
      <c r="B29" s="25"/>
      <c r="D29" s="297" t="s">
        <v>583</v>
      </c>
      <c r="E29" s="299"/>
      <c r="F29" s="382">
        <v>63915</v>
      </c>
      <c r="G29" s="382"/>
      <c r="H29" s="382"/>
      <c r="I29" s="382"/>
      <c r="J29" s="382">
        <v>3137</v>
      </c>
      <c r="K29" s="382">
        <f>SUM(I29:J29)</f>
        <v>3137</v>
      </c>
      <c r="M29" s="245"/>
    </row>
    <row r="30" spans="1:19" s="37" customFormat="1" ht="26.1" customHeight="1" x14ac:dyDescent="0.4">
      <c r="A30" s="261"/>
      <c r="B30" s="25"/>
      <c r="D30" s="298" t="s">
        <v>690</v>
      </c>
      <c r="F30" s="391"/>
      <c r="G30" s="391"/>
      <c r="H30" s="391"/>
      <c r="I30" s="391"/>
      <c r="J30" s="401"/>
      <c r="K30" s="401"/>
      <c r="M30" s="245"/>
    </row>
    <row r="31" spans="1:19" s="37" customFormat="1" ht="26.1" customHeight="1" x14ac:dyDescent="0.4">
      <c r="A31" s="261"/>
      <c r="B31" s="25"/>
      <c r="D31" s="262"/>
      <c r="E31" s="298" t="s">
        <v>668</v>
      </c>
      <c r="F31" s="391"/>
      <c r="G31" s="391"/>
      <c r="H31" s="391"/>
      <c r="I31" s="391"/>
      <c r="J31" s="391">
        <v>85612</v>
      </c>
      <c r="K31" s="391">
        <f t="shared" ref="K31:K33" si="5">SUM(I31:J31)</f>
        <v>85612</v>
      </c>
      <c r="L31" s="711"/>
      <c r="M31" s="245"/>
    </row>
    <row r="32" spans="1:19" s="37" customFormat="1" ht="26.1" customHeight="1" x14ac:dyDescent="0.4">
      <c r="A32" s="261"/>
      <c r="B32" s="25"/>
      <c r="D32" s="262"/>
      <c r="E32" s="45" t="s">
        <v>669</v>
      </c>
      <c r="F32" s="383"/>
      <c r="G32" s="383"/>
      <c r="H32" s="383"/>
      <c r="I32" s="383"/>
      <c r="J32" s="383">
        <v>64388</v>
      </c>
      <c r="K32" s="383">
        <f t="shared" si="5"/>
        <v>64388</v>
      </c>
      <c r="M32" s="245"/>
    </row>
    <row r="33" spans="1:14" s="37" customFormat="1" ht="26.1" customHeight="1" x14ac:dyDescent="0.4">
      <c r="A33" s="261"/>
      <c r="B33" s="25"/>
      <c r="D33" s="262"/>
      <c r="E33" s="298" t="s">
        <v>670</v>
      </c>
      <c r="F33" s="391"/>
      <c r="G33" s="391"/>
      <c r="H33" s="391"/>
      <c r="I33" s="391"/>
      <c r="J33" s="391">
        <v>100000</v>
      </c>
      <c r="K33" s="382">
        <f t="shared" si="5"/>
        <v>100000</v>
      </c>
      <c r="M33" s="245"/>
    </row>
    <row r="34" spans="1:14" s="37" customFormat="1" ht="26.1" customHeight="1" x14ac:dyDescent="0.4">
      <c r="A34" s="4"/>
      <c r="B34" s="47" t="s">
        <v>261</v>
      </c>
      <c r="C34" s="41"/>
      <c r="D34" s="41"/>
      <c r="E34" s="275"/>
      <c r="F34" s="543">
        <f>SUM(F27:F33)</f>
        <v>78470</v>
      </c>
      <c r="G34" s="543">
        <f t="shared" ref="G34:K34" si="6">SUM(G27:G33)</f>
        <v>0</v>
      </c>
      <c r="H34" s="543">
        <f t="shared" si="6"/>
        <v>0</v>
      </c>
      <c r="I34" s="543">
        <f t="shared" si="6"/>
        <v>2420</v>
      </c>
      <c r="J34" s="543">
        <f t="shared" si="6"/>
        <v>255577</v>
      </c>
      <c r="K34" s="543">
        <f t="shared" si="6"/>
        <v>257997</v>
      </c>
      <c r="M34" s="245"/>
    </row>
    <row r="35" spans="1:14" s="37" customFormat="1" ht="26.1" customHeight="1" x14ac:dyDescent="0.4">
      <c r="A35" s="218" t="s">
        <v>345</v>
      </c>
      <c r="B35" s="5"/>
      <c r="C35" s="39"/>
      <c r="D35" s="39"/>
      <c r="E35" s="270"/>
      <c r="F35" s="544">
        <f t="shared" ref="F35:K35" si="7">F15+F19+F26+F34</f>
        <v>8801984</v>
      </c>
      <c r="G35" s="544">
        <f t="shared" si="7"/>
        <v>9172650</v>
      </c>
      <c r="H35" s="544">
        <f t="shared" si="7"/>
        <v>9233166</v>
      </c>
      <c r="I35" s="544">
        <f t="shared" si="7"/>
        <v>9350572</v>
      </c>
      <c r="J35" s="544">
        <f t="shared" si="7"/>
        <v>295769</v>
      </c>
      <c r="K35" s="544">
        <f t="shared" si="7"/>
        <v>9646341</v>
      </c>
      <c r="M35" s="245"/>
    </row>
    <row r="36" spans="1:14" ht="26.1" customHeight="1" x14ac:dyDescent="0.4">
      <c r="A36" s="4"/>
      <c r="B36" s="39" t="s">
        <v>263</v>
      </c>
      <c r="C36" s="39"/>
      <c r="D36" s="39"/>
      <c r="E36" s="270"/>
      <c r="F36" s="547"/>
      <c r="G36" s="547"/>
      <c r="H36" s="547"/>
      <c r="I36" s="547"/>
      <c r="J36" s="547"/>
      <c r="K36" s="547"/>
      <c r="M36" s="245"/>
    </row>
    <row r="37" spans="1:14" ht="26.1" customHeight="1" x14ac:dyDescent="0.4">
      <c r="A37" s="261"/>
      <c r="B37" s="263" t="s">
        <v>584</v>
      </c>
      <c r="C37" s="263"/>
      <c r="D37" s="263"/>
      <c r="E37" s="276"/>
      <c r="F37" s="391">
        <v>18797</v>
      </c>
      <c r="G37" s="391"/>
      <c r="H37" s="391"/>
      <c r="I37" s="391"/>
      <c r="J37" s="391"/>
      <c r="K37" s="382">
        <f>SUM(I37:J37)</f>
        <v>0</v>
      </c>
      <c r="M37" s="245"/>
    </row>
    <row r="38" spans="1:14" ht="26.1" customHeight="1" thickBot="1" x14ac:dyDescent="0.45">
      <c r="A38" s="4"/>
      <c r="B38" s="48" t="s">
        <v>262</v>
      </c>
      <c r="C38" s="48"/>
      <c r="D38" s="48"/>
      <c r="E38" s="277"/>
      <c r="F38" s="548">
        <f t="shared" ref="F38:H38" si="8">SUM(F37)</f>
        <v>18797</v>
      </c>
      <c r="G38" s="548">
        <f t="shared" si="8"/>
        <v>0</v>
      </c>
      <c r="H38" s="548">
        <f t="shared" si="8"/>
        <v>0</v>
      </c>
      <c r="I38" s="548">
        <f>SUM(I37)</f>
        <v>0</v>
      </c>
      <c r="J38" s="548">
        <f>SUM(J37)</f>
        <v>0</v>
      </c>
      <c r="K38" s="548">
        <f>SUM(K37)</f>
        <v>0</v>
      </c>
      <c r="M38" s="245"/>
    </row>
    <row r="39" spans="1:14" ht="26.1" customHeight="1" thickBot="1" x14ac:dyDescent="0.45">
      <c r="A39" s="36" t="s">
        <v>264</v>
      </c>
      <c r="B39" s="49" t="s">
        <v>25</v>
      </c>
      <c r="C39" s="50"/>
      <c r="D39" s="50"/>
      <c r="E39" s="278"/>
      <c r="F39" s="549">
        <f t="shared" ref="F39:H39" si="9">F35+F38</f>
        <v>8820781</v>
      </c>
      <c r="G39" s="549">
        <f t="shared" si="9"/>
        <v>9172650</v>
      </c>
      <c r="H39" s="549">
        <f t="shared" si="9"/>
        <v>9233166</v>
      </c>
      <c r="I39" s="549">
        <f>I35+I38</f>
        <v>9350572</v>
      </c>
      <c r="J39" s="549">
        <f>J35+J38</f>
        <v>295769</v>
      </c>
      <c r="K39" s="549">
        <f>K35+K38</f>
        <v>9646341</v>
      </c>
      <c r="L39" s="26"/>
      <c r="M39" s="245"/>
      <c r="N39" s="26"/>
    </row>
    <row r="40" spans="1:14" ht="26.1" customHeight="1" thickBot="1" x14ac:dyDescent="0.45">
      <c r="A40" s="36"/>
      <c r="B40" s="49"/>
      <c r="C40" s="21" t="s">
        <v>260</v>
      </c>
      <c r="D40" s="50"/>
      <c r="E40" s="278"/>
      <c r="F40" s="549"/>
      <c r="G40" s="549"/>
      <c r="H40" s="549"/>
      <c r="I40" s="549"/>
      <c r="J40" s="549"/>
      <c r="K40" s="549"/>
      <c r="M40" s="245"/>
    </row>
    <row r="41" spans="1:14" ht="26.1" customHeight="1" thickBot="1" x14ac:dyDescent="0.45">
      <c r="A41" s="36" t="s">
        <v>265</v>
      </c>
      <c r="B41" s="19" t="s">
        <v>46</v>
      </c>
      <c r="C41" s="51"/>
      <c r="D41" s="51"/>
      <c r="E41" s="279"/>
      <c r="F41" s="403">
        <f t="shared" ref="F41:H41" si="10">F40</f>
        <v>0</v>
      </c>
      <c r="G41" s="403">
        <f t="shared" si="10"/>
        <v>0</v>
      </c>
      <c r="H41" s="403">
        <f t="shared" si="10"/>
        <v>0</v>
      </c>
      <c r="I41" s="403">
        <f>I40</f>
        <v>0</v>
      </c>
      <c r="J41" s="403">
        <f>J40</f>
        <v>0</v>
      </c>
      <c r="K41" s="403">
        <f>K40</f>
        <v>0</v>
      </c>
      <c r="M41" s="245"/>
    </row>
    <row r="42" spans="1:14" ht="26.1" customHeight="1" x14ac:dyDescent="0.4">
      <c r="A42" s="6"/>
      <c r="B42" s="7"/>
      <c r="C42" s="14" t="s">
        <v>370</v>
      </c>
      <c r="D42" s="16"/>
      <c r="E42" s="272"/>
      <c r="F42" s="382">
        <v>302075</v>
      </c>
      <c r="G42" s="382">
        <v>302075</v>
      </c>
      <c r="H42" s="382">
        <v>302075</v>
      </c>
      <c r="I42" s="382">
        <v>347387</v>
      </c>
      <c r="J42" s="382">
        <v>-271868</v>
      </c>
      <c r="K42" s="382">
        <f>SUM(I42:J42)</f>
        <v>75519</v>
      </c>
      <c r="M42" s="245"/>
    </row>
    <row r="43" spans="1:14" ht="26.1" customHeight="1" x14ac:dyDescent="0.4">
      <c r="A43" s="6"/>
      <c r="B43" s="7"/>
      <c r="C43" s="14" t="s">
        <v>371</v>
      </c>
      <c r="D43" s="16"/>
      <c r="E43" s="272"/>
      <c r="F43" s="383">
        <v>53000</v>
      </c>
      <c r="G43" s="383">
        <v>53000</v>
      </c>
      <c r="H43" s="383">
        <v>53000</v>
      </c>
      <c r="I43" s="383">
        <v>81055</v>
      </c>
      <c r="J43" s="383">
        <v>-67805</v>
      </c>
      <c r="K43" s="382">
        <f t="shared" ref="K43:K49" si="11">SUM(I43:J43)</f>
        <v>13250</v>
      </c>
      <c r="M43" s="245"/>
    </row>
    <row r="44" spans="1:14" ht="26.1" customHeight="1" x14ac:dyDescent="0.4">
      <c r="A44" s="414"/>
      <c r="B44" s="14"/>
      <c r="C44" s="16" t="s">
        <v>588</v>
      </c>
      <c r="D44" s="45"/>
      <c r="E44" s="280"/>
      <c r="F44" s="382">
        <v>1676</v>
      </c>
      <c r="G44" s="382"/>
      <c r="H44" s="382"/>
      <c r="I44" s="382"/>
      <c r="J44" s="382"/>
      <c r="K44" s="382">
        <f t="shared" si="11"/>
        <v>0</v>
      </c>
      <c r="M44" s="245"/>
    </row>
    <row r="45" spans="1:14" ht="26.1" customHeight="1" x14ac:dyDescent="0.4">
      <c r="A45" s="261"/>
      <c r="B45" s="37"/>
      <c r="C45" s="14" t="s">
        <v>585</v>
      </c>
      <c r="D45" s="16"/>
      <c r="E45" s="272"/>
      <c r="F45" s="382">
        <v>1000</v>
      </c>
      <c r="G45" s="382"/>
      <c r="H45" s="382"/>
      <c r="I45" s="382"/>
      <c r="J45" s="382"/>
      <c r="K45" s="382">
        <f t="shared" si="11"/>
        <v>0</v>
      </c>
      <c r="M45" s="245"/>
    </row>
    <row r="46" spans="1:14" ht="26.1" customHeight="1" x14ac:dyDescent="0.4">
      <c r="A46" s="261"/>
      <c r="B46" s="37"/>
      <c r="C46" s="14" t="s">
        <v>586</v>
      </c>
      <c r="D46" s="16"/>
      <c r="E46" s="272"/>
      <c r="F46" s="382">
        <v>8545</v>
      </c>
      <c r="G46" s="382"/>
      <c r="H46" s="382"/>
      <c r="I46" s="382"/>
      <c r="J46" s="382"/>
      <c r="K46" s="382">
        <f t="shared" si="11"/>
        <v>0</v>
      </c>
      <c r="M46" s="245"/>
    </row>
    <row r="47" spans="1:14" ht="26.1" customHeight="1" x14ac:dyDescent="0.4">
      <c r="A47" s="6"/>
      <c r="B47" s="5"/>
      <c r="C47" s="14" t="s">
        <v>380</v>
      </c>
      <c r="D47" s="52"/>
      <c r="E47" s="3"/>
      <c r="F47" s="382">
        <v>13906</v>
      </c>
      <c r="G47" s="382"/>
      <c r="H47" s="382"/>
      <c r="I47" s="382">
        <v>6647</v>
      </c>
      <c r="J47" s="382">
        <v>1989</v>
      </c>
      <c r="K47" s="382">
        <f t="shared" si="11"/>
        <v>8636</v>
      </c>
      <c r="M47" s="245"/>
    </row>
    <row r="48" spans="1:14" ht="26.1" customHeight="1" x14ac:dyDescent="0.4">
      <c r="A48" s="6"/>
      <c r="B48" s="5"/>
      <c r="C48" s="14" t="s">
        <v>587</v>
      </c>
      <c r="D48" s="52"/>
      <c r="E48" s="3"/>
      <c r="F48" s="382">
        <v>2000</v>
      </c>
      <c r="G48" s="382"/>
      <c r="H48" s="382"/>
      <c r="I48" s="382"/>
      <c r="J48" s="382"/>
      <c r="K48" s="382">
        <f t="shared" si="11"/>
        <v>0</v>
      </c>
      <c r="M48" s="245"/>
    </row>
    <row r="49" spans="1:14" ht="26.1" customHeight="1" thickBot="1" x14ac:dyDescent="0.45">
      <c r="A49" s="6"/>
      <c r="B49" s="5"/>
      <c r="C49" s="14" t="s">
        <v>489</v>
      </c>
      <c r="D49" s="52"/>
      <c r="E49" s="3"/>
      <c r="F49" s="382">
        <v>23860</v>
      </c>
      <c r="G49" s="382">
        <v>23860</v>
      </c>
      <c r="H49" s="382">
        <v>23860</v>
      </c>
      <c r="I49" s="382">
        <v>23860</v>
      </c>
      <c r="J49" s="382"/>
      <c r="K49" s="382">
        <f t="shared" si="11"/>
        <v>23860</v>
      </c>
      <c r="M49" s="245"/>
    </row>
    <row r="50" spans="1:14" ht="26.1" customHeight="1" thickBot="1" x14ac:dyDescent="0.45">
      <c r="A50" s="36" t="s">
        <v>266</v>
      </c>
      <c r="B50" s="55" t="s">
        <v>45</v>
      </c>
      <c r="C50" s="55"/>
      <c r="D50" s="55"/>
      <c r="E50" s="281"/>
      <c r="F50" s="394">
        <f t="shared" ref="F50:H50" si="12">SUM(F42:F49)</f>
        <v>406062</v>
      </c>
      <c r="G50" s="394">
        <f t="shared" si="12"/>
        <v>378935</v>
      </c>
      <c r="H50" s="394">
        <f t="shared" si="12"/>
        <v>378935</v>
      </c>
      <c r="I50" s="394">
        <f>SUM(I42:I49)</f>
        <v>458949</v>
      </c>
      <c r="J50" s="394">
        <f>SUM(J42:J49)</f>
        <v>-337684</v>
      </c>
      <c r="K50" s="394">
        <f>SUM(K42:K49)</f>
        <v>121265</v>
      </c>
      <c r="M50" s="245"/>
    </row>
    <row r="51" spans="1:14" s="29" customFormat="1" ht="26.1" customHeight="1" thickBot="1" x14ac:dyDescent="0.45">
      <c r="A51" s="56" t="s">
        <v>267</v>
      </c>
      <c r="B51" s="57"/>
      <c r="C51" s="58"/>
      <c r="D51" s="58"/>
      <c r="E51" s="282"/>
      <c r="F51" s="550">
        <f t="shared" ref="F51:K51" si="13">F39+F41+F50</f>
        <v>9226843</v>
      </c>
      <c r="G51" s="550">
        <f t="shared" si="13"/>
        <v>9551585</v>
      </c>
      <c r="H51" s="550">
        <f t="shared" si="13"/>
        <v>9612101</v>
      </c>
      <c r="I51" s="550">
        <f t="shared" si="13"/>
        <v>9809521</v>
      </c>
      <c r="J51" s="550">
        <f t="shared" si="13"/>
        <v>-41915</v>
      </c>
      <c r="K51" s="550">
        <f t="shared" si="13"/>
        <v>9767606</v>
      </c>
      <c r="L51" s="25"/>
      <c r="M51" s="245"/>
    </row>
    <row r="52" spans="1:14" ht="26.1" customHeight="1" x14ac:dyDescent="0.4">
      <c r="A52" s="59" t="s">
        <v>102</v>
      </c>
      <c r="B52" s="60"/>
      <c r="C52" s="60"/>
      <c r="D52" s="60"/>
      <c r="E52" s="283"/>
      <c r="F52" s="551"/>
      <c r="G52" s="551"/>
      <c r="H52" s="551"/>
      <c r="I52" s="551"/>
      <c r="J52" s="551"/>
      <c r="K52" s="551"/>
      <c r="M52" s="245"/>
    </row>
    <row r="53" spans="1:14" ht="26.1" customHeight="1" x14ac:dyDescent="0.4">
      <c r="A53" s="36"/>
      <c r="B53" s="5" t="s">
        <v>22</v>
      </c>
      <c r="C53" s="5"/>
      <c r="D53" s="5"/>
      <c r="E53" s="114"/>
      <c r="F53" s="552"/>
      <c r="G53" s="552"/>
      <c r="H53" s="552"/>
      <c r="I53" s="552"/>
      <c r="J53" s="552"/>
      <c r="K53" s="552"/>
      <c r="M53" s="245"/>
    </row>
    <row r="54" spans="1:14" ht="26.1" customHeight="1" x14ac:dyDescent="0.4">
      <c r="A54" s="6"/>
      <c r="B54" s="7"/>
      <c r="C54" s="14" t="s">
        <v>589</v>
      </c>
      <c r="D54" s="14"/>
      <c r="E54" s="284"/>
      <c r="F54" s="382">
        <v>966</v>
      </c>
      <c r="G54" s="382"/>
      <c r="H54" s="382"/>
      <c r="I54" s="382"/>
      <c r="J54" s="382"/>
      <c r="K54" s="382"/>
      <c r="M54" s="245"/>
    </row>
    <row r="55" spans="1:14" ht="26.1" customHeight="1" x14ac:dyDescent="0.4">
      <c r="A55" s="36"/>
      <c r="B55" s="5" t="s">
        <v>23</v>
      </c>
      <c r="C55" s="5"/>
      <c r="D55" s="5"/>
      <c r="E55" s="114"/>
      <c r="F55" s="401"/>
      <c r="G55" s="401"/>
      <c r="H55" s="401"/>
      <c r="I55" s="401"/>
      <c r="J55" s="401"/>
      <c r="K55" s="401"/>
      <c r="M55" s="245"/>
    </row>
    <row r="56" spans="1:14" ht="26.1" customHeight="1" x14ac:dyDescent="0.4">
      <c r="A56" s="6"/>
      <c r="B56" s="7"/>
      <c r="C56" s="14" t="s">
        <v>157</v>
      </c>
      <c r="D56" s="14"/>
      <c r="E56" s="284"/>
      <c r="F56" s="382">
        <v>1968112</v>
      </c>
      <c r="G56" s="382">
        <v>2535000</v>
      </c>
      <c r="H56" s="382">
        <v>2535000</v>
      </c>
      <c r="I56" s="382">
        <v>2535000</v>
      </c>
      <c r="J56" s="382"/>
      <c r="K56" s="382">
        <f t="shared" ref="K56:K64" si="14">SUM(I56:J56)</f>
        <v>2535000</v>
      </c>
      <c r="M56" s="245"/>
      <c r="N56" s="26"/>
    </row>
    <row r="57" spans="1:14" ht="26.1" customHeight="1" x14ac:dyDescent="0.4">
      <c r="A57" s="36"/>
      <c r="B57" s="5" t="s">
        <v>21</v>
      </c>
      <c r="C57" s="5"/>
      <c r="D57" s="5"/>
      <c r="E57" s="114"/>
      <c r="F57" s="401"/>
      <c r="G57" s="401"/>
      <c r="H57" s="401"/>
      <c r="I57" s="401"/>
      <c r="J57" s="401"/>
      <c r="K57" s="401"/>
      <c r="M57" s="245"/>
    </row>
    <row r="58" spans="1:14" ht="26.1" customHeight="1" x14ac:dyDescent="0.4">
      <c r="A58" s="6"/>
      <c r="B58" s="7"/>
      <c r="C58" s="14" t="s">
        <v>184</v>
      </c>
      <c r="D58" s="14"/>
      <c r="E58" s="284"/>
      <c r="F58" s="382">
        <v>11608487</v>
      </c>
      <c r="G58" s="382">
        <v>11717000</v>
      </c>
      <c r="H58" s="382">
        <v>11717000</v>
      </c>
      <c r="I58" s="382">
        <v>11717000</v>
      </c>
      <c r="J58" s="382"/>
      <c r="K58" s="382">
        <f t="shared" si="14"/>
        <v>11717000</v>
      </c>
      <c r="M58" s="245"/>
    </row>
    <row r="59" spans="1:14" ht="26.1" customHeight="1" x14ac:dyDescent="0.4">
      <c r="A59" s="6"/>
      <c r="B59" s="7"/>
      <c r="C59" s="16" t="s">
        <v>3</v>
      </c>
      <c r="D59" s="16"/>
      <c r="E59" s="285"/>
      <c r="F59" s="382">
        <v>33220</v>
      </c>
      <c r="G59" s="382">
        <v>30000</v>
      </c>
      <c r="H59" s="382">
        <v>30000</v>
      </c>
      <c r="I59" s="382">
        <v>30000</v>
      </c>
      <c r="J59" s="382"/>
      <c r="K59" s="382">
        <f t="shared" si="14"/>
        <v>30000</v>
      </c>
      <c r="M59" s="245"/>
    </row>
    <row r="60" spans="1:14" ht="26.1" customHeight="1" x14ac:dyDescent="0.4">
      <c r="A60" s="36"/>
      <c r="B60" s="5" t="s">
        <v>24</v>
      </c>
      <c r="C60" s="5"/>
      <c r="D60" s="5"/>
      <c r="E60" s="114"/>
      <c r="F60" s="401"/>
      <c r="G60" s="401"/>
      <c r="H60" s="401"/>
      <c r="I60" s="401"/>
      <c r="J60" s="391"/>
      <c r="K60" s="401"/>
      <c r="M60" s="245"/>
    </row>
    <row r="61" spans="1:14" ht="26.1" customHeight="1" x14ac:dyDescent="0.4">
      <c r="A61" s="6"/>
      <c r="B61" s="7"/>
      <c r="C61" s="14" t="s">
        <v>17</v>
      </c>
      <c r="D61" s="14"/>
      <c r="E61" s="284"/>
      <c r="F61" s="382">
        <v>35721</v>
      </c>
      <c r="G61" s="382">
        <v>25000</v>
      </c>
      <c r="H61" s="382">
        <v>25000</v>
      </c>
      <c r="I61" s="382">
        <v>25000</v>
      </c>
      <c r="J61" s="382"/>
      <c r="K61" s="382">
        <f t="shared" si="14"/>
        <v>25000</v>
      </c>
      <c r="M61" s="245"/>
    </row>
    <row r="62" spans="1:14" ht="26.1" customHeight="1" x14ac:dyDescent="0.4">
      <c r="A62" s="6"/>
      <c r="B62" s="7"/>
      <c r="C62" s="16" t="s">
        <v>10</v>
      </c>
      <c r="D62" s="16"/>
      <c r="E62" s="152"/>
      <c r="F62" s="382">
        <v>1020</v>
      </c>
      <c r="G62" s="382">
        <v>1000</v>
      </c>
      <c r="H62" s="382">
        <v>1000</v>
      </c>
      <c r="I62" s="382">
        <v>1000</v>
      </c>
      <c r="J62" s="382"/>
      <c r="K62" s="382">
        <f t="shared" si="14"/>
        <v>1000</v>
      </c>
      <c r="M62" s="245"/>
    </row>
    <row r="63" spans="1:14" ht="26.1" customHeight="1" x14ac:dyDescent="0.4">
      <c r="A63" s="6"/>
      <c r="B63" s="16"/>
      <c r="C63" s="16" t="s">
        <v>49</v>
      </c>
      <c r="D63" s="16"/>
      <c r="E63" s="152"/>
      <c r="F63" s="382">
        <v>5435</v>
      </c>
      <c r="G63" s="382"/>
      <c r="H63" s="382"/>
      <c r="I63" s="382">
        <v>2285</v>
      </c>
      <c r="J63" s="382">
        <v>2496</v>
      </c>
      <c r="K63" s="382">
        <f t="shared" si="14"/>
        <v>4781</v>
      </c>
      <c r="M63" s="245"/>
    </row>
    <row r="64" spans="1:14" ht="26.1" customHeight="1" x14ac:dyDescent="0.4">
      <c r="A64" s="6"/>
      <c r="B64" s="7"/>
      <c r="C64" s="16" t="s">
        <v>590</v>
      </c>
      <c r="D64" s="16"/>
      <c r="E64" s="286"/>
      <c r="F64" s="382">
        <v>47</v>
      </c>
      <c r="G64" s="382"/>
      <c r="H64" s="382"/>
      <c r="I64" s="382"/>
      <c r="J64" s="382"/>
      <c r="K64" s="382">
        <f t="shared" si="14"/>
        <v>0</v>
      </c>
      <c r="M64" s="245"/>
    </row>
    <row r="65" spans="1:14" ht="26.1" customHeight="1" thickBot="1" x14ac:dyDescent="0.45">
      <c r="A65" s="56" t="s">
        <v>163</v>
      </c>
      <c r="B65" s="57"/>
      <c r="C65" s="58"/>
      <c r="D65" s="58"/>
      <c r="E65" s="282"/>
      <c r="F65" s="550">
        <f t="shared" ref="F65:K65" si="15">SUM(F52:F64)</f>
        <v>13653008</v>
      </c>
      <c r="G65" s="550">
        <f t="shared" si="15"/>
        <v>14308000</v>
      </c>
      <c r="H65" s="550">
        <f t="shared" si="15"/>
        <v>14308000</v>
      </c>
      <c r="I65" s="550">
        <f t="shared" si="15"/>
        <v>14310285</v>
      </c>
      <c r="J65" s="550">
        <f t="shared" si="15"/>
        <v>2496</v>
      </c>
      <c r="K65" s="550">
        <f t="shared" si="15"/>
        <v>14312781</v>
      </c>
      <c r="M65" s="245"/>
    </row>
    <row r="66" spans="1:14" ht="26.1" customHeight="1" x14ac:dyDescent="0.4">
      <c r="A66" s="36" t="s">
        <v>14</v>
      </c>
      <c r="B66" s="61"/>
      <c r="C66" s="61"/>
      <c r="D66" s="61"/>
      <c r="E66" s="287"/>
      <c r="F66" s="552"/>
      <c r="G66" s="552"/>
      <c r="H66" s="552"/>
      <c r="I66" s="552"/>
      <c r="J66" s="552"/>
      <c r="K66" s="552"/>
      <c r="M66" s="245"/>
    </row>
    <row r="67" spans="1:14" ht="26.1" customHeight="1" x14ac:dyDescent="0.4">
      <c r="A67" s="6"/>
      <c r="B67" s="7"/>
      <c r="C67" s="7"/>
      <c r="D67" s="7"/>
      <c r="E67" s="3" t="s">
        <v>591</v>
      </c>
      <c r="F67" s="382">
        <v>905</v>
      </c>
      <c r="G67" s="382"/>
      <c r="H67" s="382"/>
      <c r="I67" s="382"/>
      <c r="J67" s="382"/>
      <c r="K67" s="382">
        <f>SUM(I67:J67)</f>
        <v>0</v>
      </c>
      <c r="M67" s="245"/>
    </row>
    <row r="68" spans="1:14" ht="26.1" customHeight="1" x14ac:dyDescent="0.4">
      <c r="A68" s="6"/>
      <c r="B68" s="7"/>
      <c r="C68" s="7"/>
      <c r="D68" s="7"/>
      <c r="E68" s="3" t="s">
        <v>592</v>
      </c>
      <c r="F68" s="382">
        <v>232</v>
      </c>
      <c r="G68" s="382"/>
      <c r="H68" s="382"/>
      <c r="I68" s="382"/>
      <c r="J68" s="382"/>
      <c r="K68" s="382">
        <f t="shared" ref="K68:K71" si="16">SUM(I68:J68)</f>
        <v>0</v>
      </c>
      <c r="M68" s="245"/>
    </row>
    <row r="69" spans="1:14" ht="26.1" customHeight="1" x14ac:dyDescent="0.4">
      <c r="A69" s="6"/>
      <c r="B69" s="7"/>
      <c r="C69" s="7"/>
      <c r="D69" s="7"/>
      <c r="E69" s="3" t="s">
        <v>531</v>
      </c>
      <c r="F69" s="382">
        <v>15608</v>
      </c>
      <c r="G69" s="382">
        <v>17950</v>
      </c>
      <c r="H69" s="382">
        <v>17950</v>
      </c>
      <c r="I69" s="382">
        <v>17950</v>
      </c>
      <c r="J69" s="382"/>
      <c r="K69" s="382">
        <f t="shared" si="16"/>
        <v>17950</v>
      </c>
      <c r="M69" s="245"/>
    </row>
    <row r="70" spans="1:14" ht="26.1" customHeight="1" x14ac:dyDescent="0.4">
      <c r="A70" s="6"/>
      <c r="B70" s="7"/>
      <c r="C70" s="7"/>
      <c r="D70" s="7"/>
      <c r="E70" s="3" t="s">
        <v>593</v>
      </c>
      <c r="F70" s="382">
        <v>374</v>
      </c>
      <c r="G70" s="382"/>
      <c r="H70" s="382"/>
      <c r="I70" s="382"/>
      <c r="J70" s="382"/>
      <c r="K70" s="382">
        <f t="shared" si="16"/>
        <v>0</v>
      </c>
      <c r="M70" s="245"/>
    </row>
    <row r="71" spans="1:14" ht="48" customHeight="1" x14ac:dyDescent="0.4">
      <c r="A71" s="6"/>
      <c r="B71" s="7"/>
      <c r="C71" s="7"/>
      <c r="D71" s="7"/>
      <c r="E71" s="3" t="s">
        <v>594</v>
      </c>
      <c r="F71" s="382">
        <v>238</v>
      </c>
      <c r="G71" s="382"/>
      <c r="H71" s="382"/>
      <c r="I71" s="382"/>
      <c r="J71" s="382"/>
      <c r="K71" s="382">
        <f t="shared" si="16"/>
        <v>0</v>
      </c>
      <c r="M71" s="245"/>
    </row>
    <row r="72" spans="1:14" ht="26.1" customHeight="1" x14ac:dyDescent="0.4">
      <c r="A72" s="6"/>
      <c r="B72" s="7"/>
      <c r="C72" s="7"/>
      <c r="D72" s="7"/>
      <c r="E72" s="217" t="s">
        <v>537</v>
      </c>
      <c r="F72" s="382">
        <v>37404</v>
      </c>
      <c r="G72" s="382">
        <v>68400</v>
      </c>
      <c r="H72" s="382">
        <v>68400</v>
      </c>
      <c r="I72" s="382">
        <v>68400</v>
      </c>
      <c r="J72" s="382"/>
      <c r="K72" s="382">
        <f t="shared" ref="K72:K98" si="17">SUM(I72:J72)</f>
        <v>68400</v>
      </c>
      <c r="L72" s="26"/>
      <c r="M72" s="245"/>
    </row>
    <row r="73" spans="1:14" ht="26.1" customHeight="1" x14ac:dyDescent="0.4">
      <c r="A73" s="6"/>
      <c r="B73" s="7"/>
      <c r="C73" s="7"/>
      <c r="D73" s="7"/>
      <c r="E73" s="288" t="s">
        <v>375</v>
      </c>
      <c r="F73" s="382">
        <v>667101</v>
      </c>
      <c r="G73" s="382">
        <v>665000</v>
      </c>
      <c r="H73" s="382">
        <v>665000</v>
      </c>
      <c r="I73" s="382">
        <v>665000</v>
      </c>
      <c r="J73" s="382"/>
      <c r="K73" s="382">
        <f t="shared" si="17"/>
        <v>665000</v>
      </c>
      <c r="L73" s="26"/>
      <c r="M73" s="245"/>
    </row>
    <row r="74" spans="1:14" ht="26.1" customHeight="1" x14ac:dyDescent="0.4">
      <c r="A74" s="6"/>
      <c r="B74" s="7"/>
      <c r="C74" s="7"/>
      <c r="D74" s="7"/>
      <c r="E74" s="288" t="s">
        <v>185</v>
      </c>
      <c r="F74" s="382">
        <v>12971</v>
      </c>
      <c r="G74" s="382">
        <v>9000</v>
      </c>
      <c r="H74" s="382">
        <v>9000</v>
      </c>
      <c r="I74" s="382">
        <v>9000</v>
      </c>
      <c r="J74" s="382"/>
      <c r="K74" s="382">
        <f t="shared" si="17"/>
        <v>9000</v>
      </c>
      <c r="L74" s="26"/>
      <c r="M74" s="245"/>
    </row>
    <row r="75" spans="1:14" ht="26.1" customHeight="1" x14ac:dyDescent="0.4">
      <c r="A75" s="6"/>
      <c r="B75" s="7"/>
      <c r="C75" s="7"/>
      <c r="D75" s="7"/>
      <c r="E75" s="288" t="s">
        <v>78</v>
      </c>
      <c r="F75" s="382">
        <v>2611</v>
      </c>
      <c r="G75" s="382">
        <v>2700</v>
      </c>
      <c r="H75" s="382">
        <v>2700</v>
      </c>
      <c r="I75" s="382">
        <v>2700</v>
      </c>
      <c r="J75" s="382"/>
      <c r="K75" s="382">
        <f t="shared" si="17"/>
        <v>2700</v>
      </c>
      <c r="L75" s="26"/>
      <c r="M75" s="245"/>
    </row>
    <row r="76" spans="1:14" ht="26.1" customHeight="1" x14ac:dyDescent="0.4">
      <c r="A76" s="6"/>
      <c r="B76" s="7"/>
      <c r="C76" s="7"/>
      <c r="D76" s="7"/>
      <c r="E76" s="288" t="s">
        <v>77</v>
      </c>
      <c r="F76" s="382">
        <v>789090</v>
      </c>
      <c r="G76" s="382">
        <v>700000</v>
      </c>
      <c r="H76" s="382">
        <v>700000</v>
      </c>
      <c r="I76" s="382">
        <v>700000</v>
      </c>
      <c r="J76" s="382"/>
      <c r="K76" s="382">
        <f t="shared" si="17"/>
        <v>700000</v>
      </c>
      <c r="L76" s="26"/>
      <c r="M76" s="245"/>
    </row>
    <row r="77" spans="1:14" ht="26.1" customHeight="1" x14ac:dyDescent="0.4">
      <c r="A77" s="6"/>
      <c r="B77" s="7"/>
      <c r="C77" s="7"/>
      <c r="D77" s="7"/>
      <c r="E77" s="152" t="s">
        <v>113</v>
      </c>
      <c r="F77" s="382">
        <v>11297</v>
      </c>
      <c r="G77" s="382">
        <v>9000</v>
      </c>
      <c r="H77" s="382">
        <v>9000</v>
      </c>
      <c r="I77" s="382">
        <v>9000</v>
      </c>
      <c r="J77" s="382"/>
      <c r="K77" s="382">
        <f t="shared" si="17"/>
        <v>9000</v>
      </c>
      <c r="M77" s="245"/>
    </row>
    <row r="78" spans="1:14" ht="26.1" customHeight="1" x14ac:dyDescent="0.4">
      <c r="A78" s="6"/>
      <c r="B78" s="7"/>
      <c r="C78" s="7"/>
      <c r="D78" s="7"/>
      <c r="E78" s="288" t="s">
        <v>149</v>
      </c>
      <c r="F78" s="382">
        <v>27177</v>
      </c>
      <c r="G78" s="382">
        <v>17000</v>
      </c>
      <c r="H78" s="382">
        <v>17000</v>
      </c>
      <c r="I78" s="382">
        <v>17000</v>
      </c>
      <c r="J78" s="382"/>
      <c r="K78" s="382">
        <f t="shared" si="17"/>
        <v>17000</v>
      </c>
      <c r="L78" s="26"/>
      <c r="M78" s="245"/>
    </row>
    <row r="79" spans="1:14" ht="26.1" customHeight="1" x14ac:dyDescent="0.4">
      <c r="A79" s="6"/>
      <c r="B79" s="7"/>
      <c r="D79" s="7"/>
      <c r="E79" s="288" t="s">
        <v>142</v>
      </c>
      <c r="F79" s="382">
        <v>1139</v>
      </c>
      <c r="G79" s="382">
        <v>1700</v>
      </c>
      <c r="H79" s="382">
        <v>1700</v>
      </c>
      <c r="I79" s="382">
        <v>1700</v>
      </c>
      <c r="J79" s="382"/>
      <c r="K79" s="382">
        <f t="shared" si="17"/>
        <v>1700</v>
      </c>
      <c r="L79" s="26"/>
      <c r="M79" s="245"/>
    </row>
    <row r="80" spans="1:14" ht="26.1" customHeight="1" x14ac:dyDescent="0.4">
      <c r="A80" s="6"/>
      <c r="B80" s="7"/>
      <c r="C80" s="7"/>
      <c r="D80" s="7"/>
      <c r="E80" s="289" t="s">
        <v>86</v>
      </c>
      <c r="F80" s="382">
        <v>548200</v>
      </c>
      <c r="G80" s="382"/>
      <c r="H80" s="382"/>
      <c r="I80" s="382">
        <v>866960</v>
      </c>
      <c r="J80" s="382"/>
      <c r="K80" s="382">
        <f t="shared" si="17"/>
        <v>866960</v>
      </c>
      <c r="L80" s="26"/>
      <c r="M80" s="245"/>
      <c r="N80" s="26"/>
    </row>
    <row r="81" spans="1:14" ht="26.1" customHeight="1" x14ac:dyDescent="0.4">
      <c r="A81" s="6"/>
      <c r="B81" s="7"/>
      <c r="C81" s="7"/>
      <c r="D81" s="7"/>
      <c r="E81" s="3" t="s">
        <v>596</v>
      </c>
      <c r="F81" s="382">
        <v>3504</v>
      </c>
      <c r="G81" s="382"/>
      <c r="H81" s="382"/>
      <c r="I81" s="382"/>
      <c r="J81" s="382"/>
      <c r="K81" s="382">
        <f t="shared" si="17"/>
        <v>0</v>
      </c>
      <c r="L81" s="26"/>
      <c r="M81" s="245"/>
      <c r="N81" s="26"/>
    </row>
    <row r="82" spans="1:14" ht="26.1" customHeight="1" x14ac:dyDescent="0.4">
      <c r="A82" s="6"/>
      <c r="B82" s="7"/>
      <c r="C82" s="7"/>
      <c r="D82" s="7"/>
      <c r="E82" s="3" t="s">
        <v>597</v>
      </c>
      <c r="F82" s="382">
        <v>52</v>
      </c>
      <c r="G82" s="382"/>
      <c r="H82" s="382"/>
      <c r="I82" s="382"/>
      <c r="J82" s="382"/>
      <c r="K82" s="382">
        <f t="shared" si="17"/>
        <v>0</v>
      </c>
      <c r="L82" s="26"/>
      <c r="M82" s="245"/>
      <c r="N82" s="26"/>
    </row>
    <row r="83" spans="1:14" ht="26.1" customHeight="1" x14ac:dyDescent="0.4">
      <c r="A83" s="6"/>
      <c r="B83" s="7"/>
      <c r="C83" s="7"/>
      <c r="D83" s="7"/>
      <c r="E83" s="3" t="s">
        <v>381</v>
      </c>
      <c r="F83" s="382">
        <v>36069</v>
      </c>
      <c r="G83" s="382"/>
      <c r="H83" s="382"/>
      <c r="I83" s="382">
        <v>13788</v>
      </c>
      <c r="J83" s="382">
        <v>16686</v>
      </c>
      <c r="K83" s="382">
        <f t="shared" si="17"/>
        <v>30474</v>
      </c>
      <c r="M83" s="245"/>
    </row>
    <row r="84" spans="1:14" ht="26.1" customHeight="1" x14ac:dyDescent="0.4">
      <c r="A84" s="6"/>
      <c r="B84" s="7"/>
      <c r="C84" s="7"/>
      <c r="D84" s="7"/>
      <c r="E84" s="3" t="s">
        <v>595</v>
      </c>
      <c r="F84" s="382">
        <v>1718</v>
      </c>
      <c r="G84" s="382"/>
      <c r="H84" s="382"/>
      <c r="I84" s="382"/>
      <c r="J84" s="382">
        <v>1056</v>
      </c>
      <c r="K84" s="382">
        <f t="shared" si="17"/>
        <v>1056</v>
      </c>
      <c r="M84" s="245"/>
    </row>
    <row r="85" spans="1:14" ht="26.1" customHeight="1" x14ac:dyDescent="0.4">
      <c r="A85" s="6"/>
      <c r="B85" s="7"/>
      <c r="C85" s="7"/>
      <c r="D85" s="7"/>
      <c r="E85" s="3" t="s">
        <v>331</v>
      </c>
      <c r="F85" s="382">
        <v>14798</v>
      </c>
      <c r="G85" s="382"/>
      <c r="H85" s="382"/>
      <c r="I85" s="382">
        <v>3238</v>
      </c>
      <c r="J85" s="382">
        <v>1659</v>
      </c>
      <c r="K85" s="382">
        <f t="shared" si="17"/>
        <v>4897</v>
      </c>
      <c r="M85" s="245"/>
    </row>
    <row r="86" spans="1:14" ht="26.1" customHeight="1" x14ac:dyDescent="0.4">
      <c r="A86" s="6"/>
      <c r="B86" s="7"/>
      <c r="C86" s="7"/>
      <c r="D86" s="7"/>
      <c r="E86" s="3" t="s">
        <v>598</v>
      </c>
      <c r="F86" s="382">
        <v>64640</v>
      </c>
      <c r="G86" s="382"/>
      <c r="H86" s="382"/>
      <c r="I86" s="382"/>
      <c r="J86" s="382"/>
      <c r="K86" s="382">
        <f t="shared" si="17"/>
        <v>0</v>
      </c>
      <c r="M86" s="245"/>
    </row>
    <row r="87" spans="1:14" ht="26.1" customHeight="1" x14ac:dyDescent="0.4">
      <c r="A87" s="6"/>
      <c r="B87" s="7"/>
      <c r="C87" s="7"/>
      <c r="D87" s="7"/>
      <c r="E87" s="3" t="s">
        <v>599</v>
      </c>
      <c r="F87" s="382">
        <v>3309</v>
      </c>
      <c r="G87" s="382"/>
      <c r="H87" s="382"/>
      <c r="I87" s="382"/>
      <c r="J87" s="382"/>
      <c r="K87" s="382">
        <f t="shared" si="17"/>
        <v>0</v>
      </c>
      <c r="M87" s="245"/>
    </row>
    <row r="88" spans="1:14" ht="26.1" customHeight="1" x14ac:dyDescent="0.4">
      <c r="A88" s="6"/>
      <c r="B88" s="7"/>
      <c r="C88" s="7"/>
      <c r="D88" s="7"/>
      <c r="E88" s="3" t="s">
        <v>422</v>
      </c>
      <c r="F88" s="382">
        <v>8724</v>
      </c>
      <c r="G88" s="382"/>
      <c r="H88" s="382"/>
      <c r="I88" s="382">
        <v>1305</v>
      </c>
      <c r="J88" s="382"/>
      <c r="K88" s="382">
        <f t="shared" si="17"/>
        <v>1305</v>
      </c>
      <c r="M88" s="245"/>
    </row>
    <row r="89" spans="1:14" ht="37.5" customHeight="1" x14ac:dyDescent="0.4">
      <c r="A89" s="6"/>
      <c r="B89" s="7"/>
      <c r="C89" s="7"/>
      <c r="D89" s="7"/>
      <c r="E89" s="3" t="s">
        <v>684</v>
      </c>
      <c r="F89" s="382"/>
      <c r="G89" s="382"/>
      <c r="H89" s="382"/>
      <c r="I89" s="382"/>
      <c r="J89" s="382">
        <v>301931</v>
      </c>
      <c r="K89" s="382">
        <f t="shared" si="17"/>
        <v>301931</v>
      </c>
      <c r="M89" s="245"/>
    </row>
    <row r="90" spans="1:14" ht="26.1" customHeight="1" x14ac:dyDescent="0.4">
      <c r="A90" s="6"/>
      <c r="B90" s="61" t="s">
        <v>26</v>
      </c>
      <c r="C90" s="61"/>
      <c r="D90" s="61"/>
      <c r="E90" s="290"/>
      <c r="F90" s="401"/>
      <c r="G90" s="401"/>
      <c r="H90" s="401"/>
      <c r="I90" s="401"/>
      <c r="J90" s="401"/>
      <c r="K90" s="382">
        <f t="shared" si="17"/>
        <v>0</v>
      </c>
      <c r="M90" s="245"/>
    </row>
    <row r="91" spans="1:14" ht="26.1" customHeight="1" x14ac:dyDescent="0.4">
      <c r="A91" s="6"/>
      <c r="B91" s="8"/>
      <c r="C91" s="8"/>
      <c r="D91" s="8"/>
      <c r="E91" s="3" t="s">
        <v>376</v>
      </c>
      <c r="F91" s="382"/>
      <c r="G91" s="382">
        <v>117936</v>
      </c>
      <c r="H91" s="382">
        <v>117936</v>
      </c>
      <c r="I91" s="382">
        <v>117936</v>
      </c>
      <c r="J91" s="382"/>
      <c r="K91" s="382">
        <f t="shared" si="17"/>
        <v>117936</v>
      </c>
      <c r="M91" s="245"/>
    </row>
    <row r="92" spans="1:14" ht="26.1" customHeight="1" x14ac:dyDescent="0.4">
      <c r="A92" s="6"/>
      <c r="B92" s="18"/>
      <c r="C92" s="18"/>
      <c r="D92" s="18"/>
      <c r="E92" s="291" t="s">
        <v>177</v>
      </c>
      <c r="F92" s="382">
        <v>369497</v>
      </c>
      <c r="G92" s="382">
        <v>400000</v>
      </c>
      <c r="H92" s="382">
        <v>400000</v>
      </c>
      <c r="I92" s="382">
        <v>400000</v>
      </c>
      <c r="J92" s="542"/>
      <c r="K92" s="382">
        <f t="shared" si="17"/>
        <v>400000</v>
      </c>
      <c r="M92" s="245"/>
    </row>
    <row r="93" spans="1:14" ht="26.1" customHeight="1" x14ac:dyDescent="0.4">
      <c r="A93" s="6"/>
      <c r="B93" s="8"/>
      <c r="C93" s="8"/>
      <c r="D93" s="8"/>
      <c r="E93" s="3" t="s">
        <v>82</v>
      </c>
      <c r="F93" s="382"/>
      <c r="G93" s="382">
        <v>20000</v>
      </c>
      <c r="H93" s="382">
        <v>20000</v>
      </c>
      <c r="I93" s="382">
        <v>20000</v>
      </c>
      <c r="J93" s="542"/>
      <c r="K93" s="382">
        <f t="shared" si="17"/>
        <v>20000</v>
      </c>
      <c r="M93" s="245"/>
    </row>
    <row r="94" spans="1:14" ht="26.1" customHeight="1" x14ac:dyDescent="0.4">
      <c r="A94" s="6"/>
      <c r="B94" s="8"/>
      <c r="C94" s="8"/>
      <c r="D94" s="8"/>
      <c r="E94" s="3" t="s">
        <v>687</v>
      </c>
      <c r="F94" s="382"/>
      <c r="G94" s="382"/>
      <c r="H94" s="382"/>
      <c r="I94" s="382"/>
      <c r="J94" s="542">
        <v>1169</v>
      </c>
      <c r="K94" s="382">
        <f t="shared" si="17"/>
        <v>1169</v>
      </c>
      <c r="M94" s="245"/>
    </row>
    <row r="95" spans="1:14" ht="26.1" customHeight="1" x14ac:dyDescent="0.4">
      <c r="A95" s="6"/>
      <c r="B95" s="8"/>
      <c r="C95" s="8"/>
      <c r="D95" s="8"/>
      <c r="E95" s="3" t="s">
        <v>47</v>
      </c>
      <c r="F95" s="545"/>
      <c r="G95" s="545"/>
      <c r="H95" s="545"/>
      <c r="I95" s="545">
        <v>262019</v>
      </c>
      <c r="J95" s="545"/>
      <c r="K95" s="382">
        <f t="shared" si="17"/>
        <v>262019</v>
      </c>
      <c r="M95" s="245"/>
    </row>
    <row r="96" spans="1:14" ht="26.1" customHeight="1" x14ac:dyDescent="0.4">
      <c r="A96" s="6"/>
      <c r="B96" s="61" t="s">
        <v>27</v>
      </c>
      <c r="C96" s="61"/>
      <c r="D96" s="61"/>
      <c r="E96" s="290"/>
      <c r="F96" s="401"/>
      <c r="G96" s="401"/>
      <c r="H96" s="401"/>
      <c r="I96" s="401"/>
      <c r="J96" s="401"/>
      <c r="K96" s="401"/>
      <c r="M96" s="245"/>
    </row>
    <row r="97" spans="1:13" ht="26.1" customHeight="1" x14ac:dyDescent="0.4">
      <c r="A97" s="6"/>
      <c r="B97" s="8"/>
      <c r="C97" s="8"/>
      <c r="D97" s="8"/>
      <c r="E97" s="3" t="s">
        <v>146</v>
      </c>
      <c r="F97" s="382">
        <v>396926</v>
      </c>
      <c r="G97" s="382">
        <v>120000</v>
      </c>
      <c r="H97" s="382">
        <v>120000</v>
      </c>
      <c r="I97" s="382">
        <v>120000</v>
      </c>
      <c r="J97" s="382"/>
      <c r="K97" s="382">
        <f t="shared" ref="K97" si="18">SUM(I97:J97)</f>
        <v>120000</v>
      </c>
      <c r="M97" s="245"/>
    </row>
    <row r="98" spans="1:13" ht="26.1" customHeight="1" x14ac:dyDescent="0.4">
      <c r="A98" s="6"/>
      <c r="B98" s="8"/>
      <c r="C98" s="8"/>
      <c r="D98" s="8"/>
      <c r="E98" s="3" t="s">
        <v>600</v>
      </c>
      <c r="F98" s="382">
        <v>40268</v>
      </c>
      <c r="G98" s="382"/>
      <c r="H98" s="382"/>
      <c r="I98" s="382"/>
      <c r="J98" s="382"/>
      <c r="K98" s="382">
        <f t="shared" si="17"/>
        <v>0</v>
      </c>
      <c r="M98" s="245"/>
    </row>
    <row r="99" spans="1:13" ht="26.1" customHeight="1" thickBot="1" x14ac:dyDescent="0.45">
      <c r="A99" s="56" t="s">
        <v>105</v>
      </c>
      <c r="B99" s="58"/>
      <c r="C99" s="58"/>
      <c r="D99" s="58"/>
      <c r="E99" s="282"/>
      <c r="F99" s="410">
        <f t="shared" ref="F99:H99" si="19">SUM(F66:F98)</f>
        <v>3053852</v>
      </c>
      <c r="G99" s="410">
        <f t="shared" si="19"/>
        <v>2148686</v>
      </c>
      <c r="H99" s="410">
        <f t="shared" si="19"/>
        <v>2148686</v>
      </c>
      <c r="I99" s="410">
        <f>SUM(I66:I98)</f>
        <v>3295996</v>
      </c>
      <c r="J99" s="410">
        <f>SUM(J66:J98)</f>
        <v>322501</v>
      </c>
      <c r="K99" s="410">
        <f>SUM(K66:K98)</f>
        <v>3618497</v>
      </c>
      <c r="M99" s="245"/>
    </row>
    <row r="100" spans="1:13" ht="26.1" customHeight="1" x14ac:dyDescent="0.4">
      <c r="A100" s="36" t="s">
        <v>101</v>
      </c>
      <c r="B100" s="18"/>
      <c r="C100" s="18"/>
      <c r="D100" s="18"/>
      <c r="E100" s="268"/>
      <c r="F100" s="538"/>
      <c r="G100" s="538"/>
      <c r="H100" s="538"/>
      <c r="I100" s="538"/>
      <c r="J100" s="538"/>
      <c r="K100" s="538"/>
      <c r="M100" s="245"/>
    </row>
    <row r="101" spans="1:13" ht="26.1" customHeight="1" x14ac:dyDescent="0.4">
      <c r="A101" s="36"/>
      <c r="B101" s="62" t="s">
        <v>31</v>
      </c>
      <c r="C101" s="18"/>
      <c r="D101" s="18"/>
      <c r="E101" s="268"/>
      <c r="F101" s="553"/>
      <c r="G101" s="553"/>
      <c r="H101" s="553"/>
      <c r="I101" s="553"/>
      <c r="J101" s="553"/>
      <c r="K101" s="553"/>
      <c r="M101" s="245"/>
    </row>
    <row r="102" spans="1:13" ht="26.1" customHeight="1" x14ac:dyDescent="0.4">
      <c r="A102" s="36"/>
      <c r="B102" s="62"/>
      <c r="C102" s="54" t="s">
        <v>410</v>
      </c>
      <c r="D102" s="54"/>
      <c r="E102" s="3"/>
      <c r="F102" s="542"/>
      <c r="G102" s="542"/>
      <c r="H102" s="542"/>
      <c r="I102" s="542">
        <v>20000</v>
      </c>
      <c r="J102" s="553"/>
      <c r="K102" s="382">
        <f t="shared" ref="K102:K120" si="20">SUM(I102:J102)</f>
        <v>20000</v>
      </c>
      <c r="M102" s="245"/>
    </row>
    <row r="103" spans="1:13" ht="26.1" customHeight="1" x14ac:dyDescent="0.4">
      <c r="A103" s="36"/>
      <c r="B103" s="62"/>
      <c r="C103" s="54" t="s">
        <v>602</v>
      </c>
      <c r="D103" s="54"/>
      <c r="E103" s="3"/>
      <c r="F103" s="542">
        <v>6657</v>
      </c>
      <c r="G103" s="542"/>
      <c r="H103" s="542"/>
      <c r="I103" s="542"/>
      <c r="J103" s="553"/>
      <c r="K103" s="382">
        <f t="shared" si="20"/>
        <v>0</v>
      </c>
      <c r="M103" s="245"/>
    </row>
    <row r="104" spans="1:13" ht="26.1" customHeight="1" x14ac:dyDescent="0.4">
      <c r="A104" s="53"/>
      <c r="B104" s="8"/>
      <c r="C104" s="54" t="s">
        <v>601</v>
      </c>
      <c r="D104" s="54"/>
      <c r="E104" s="3"/>
      <c r="F104" s="542">
        <v>500</v>
      </c>
      <c r="G104" s="542"/>
      <c r="H104" s="542"/>
      <c r="I104" s="542"/>
      <c r="J104" s="542"/>
      <c r="K104" s="382">
        <f t="shared" si="20"/>
        <v>0</v>
      </c>
      <c r="M104" s="245"/>
    </row>
    <row r="105" spans="1:13" ht="26.1" customHeight="1" x14ac:dyDescent="0.4">
      <c r="A105" s="6"/>
      <c r="B105" s="61" t="s">
        <v>32</v>
      </c>
      <c r="C105" s="61"/>
      <c r="D105" s="61"/>
      <c r="E105" s="290"/>
      <c r="F105" s="401"/>
      <c r="G105" s="401"/>
      <c r="H105" s="401"/>
      <c r="I105" s="401"/>
      <c r="J105" s="401"/>
      <c r="K105" s="382">
        <f t="shared" si="20"/>
        <v>0</v>
      </c>
      <c r="M105" s="245"/>
    </row>
    <row r="106" spans="1:13" ht="26.1" customHeight="1" x14ac:dyDescent="0.4">
      <c r="A106" s="53"/>
      <c r="B106" s="8"/>
      <c r="C106" s="54" t="s">
        <v>603</v>
      </c>
      <c r="D106" s="54"/>
      <c r="E106" s="300"/>
      <c r="F106" s="382">
        <v>1583</v>
      </c>
      <c r="G106" s="382"/>
      <c r="H106" s="382"/>
      <c r="I106" s="382"/>
      <c r="J106" s="382"/>
      <c r="K106" s="382">
        <f t="shared" si="20"/>
        <v>0</v>
      </c>
      <c r="L106" s="29"/>
      <c r="M106" s="245"/>
    </row>
    <row r="107" spans="1:13" ht="26.1" customHeight="1" x14ac:dyDescent="0.4">
      <c r="A107" s="53"/>
      <c r="B107" s="8"/>
      <c r="C107" s="54" t="s">
        <v>540</v>
      </c>
      <c r="D107" s="54"/>
      <c r="E107" s="300"/>
      <c r="F107" s="382">
        <v>4168</v>
      </c>
      <c r="G107" s="382"/>
      <c r="H107" s="382"/>
      <c r="I107" s="382">
        <v>4322</v>
      </c>
      <c r="J107" s="382">
        <v>839</v>
      </c>
      <c r="K107" s="382">
        <f t="shared" si="20"/>
        <v>5161</v>
      </c>
      <c r="L107" s="29"/>
      <c r="M107" s="245"/>
    </row>
    <row r="108" spans="1:13" ht="26.1" customHeight="1" x14ac:dyDescent="0.4">
      <c r="A108" s="53"/>
      <c r="B108" s="8"/>
      <c r="C108" s="54" t="s">
        <v>680</v>
      </c>
      <c r="D108" s="54"/>
      <c r="E108" s="300"/>
      <c r="F108" s="382"/>
      <c r="G108" s="382"/>
      <c r="H108" s="382"/>
      <c r="I108" s="382"/>
      <c r="J108" s="382">
        <v>161</v>
      </c>
      <c r="K108" s="382">
        <f t="shared" si="20"/>
        <v>161</v>
      </c>
      <c r="L108" s="29"/>
      <c r="M108" s="245"/>
    </row>
    <row r="109" spans="1:13" ht="26.1" customHeight="1" x14ac:dyDescent="0.4">
      <c r="A109" s="53"/>
      <c r="B109" s="8"/>
      <c r="C109" s="54" t="s">
        <v>681</v>
      </c>
      <c r="D109" s="54"/>
      <c r="E109" s="300"/>
      <c r="F109" s="382"/>
      <c r="G109" s="382"/>
      <c r="H109" s="382"/>
      <c r="I109" s="382"/>
      <c r="J109" s="382">
        <v>3000</v>
      </c>
      <c r="K109" s="382">
        <f t="shared" si="20"/>
        <v>3000</v>
      </c>
      <c r="L109" s="29"/>
      <c r="M109" s="245"/>
    </row>
    <row r="110" spans="1:13" ht="26.1" customHeight="1" x14ac:dyDescent="0.4">
      <c r="A110" s="53"/>
      <c r="B110" s="8"/>
      <c r="C110" s="54" t="s">
        <v>604</v>
      </c>
      <c r="D110" s="54"/>
      <c r="E110" s="300"/>
      <c r="F110" s="382">
        <v>14353</v>
      </c>
      <c r="G110" s="382"/>
      <c r="H110" s="382"/>
      <c r="I110" s="382"/>
      <c r="J110" s="382"/>
      <c r="K110" s="382">
        <f t="shared" si="20"/>
        <v>0</v>
      </c>
      <c r="L110" s="29"/>
      <c r="M110" s="245"/>
    </row>
    <row r="111" spans="1:13" ht="26.1" customHeight="1" x14ac:dyDescent="0.4">
      <c r="A111" s="53"/>
      <c r="B111" s="8"/>
      <c r="C111" s="54" t="s">
        <v>605</v>
      </c>
      <c r="D111" s="54"/>
      <c r="E111" s="300"/>
      <c r="F111" s="382">
        <v>450</v>
      </c>
      <c r="G111" s="382"/>
      <c r="H111" s="382"/>
      <c r="I111" s="382"/>
      <c r="J111" s="382"/>
      <c r="K111" s="382">
        <f t="shared" si="20"/>
        <v>0</v>
      </c>
      <c r="L111" s="29"/>
      <c r="M111" s="245"/>
    </row>
    <row r="112" spans="1:13" ht="26.1" customHeight="1" x14ac:dyDescent="0.4">
      <c r="A112" s="53"/>
      <c r="B112" s="8"/>
      <c r="C112" s="54" t="s">
        <v>606</v>
      </c>
      <c r="D112" s="54"/>
      <c r="E112" s="300"/>
      <c r="F112" s="382">
        <v>9180</v>
      </c>
      <c r="G112" s="382"/>
      <c r="H112" s="382"/>
      <c r="I112" s="382"/>
      <c r="J112" s="382"/>
      <c r="K112" s="382">
        <f t="shared" si="20"/>
        <v>0</v>
      </c>
      <c r="L112" s="29"/>
      <c r="M112" s="245"/>
    </row>
    <row r="113" spans="1:13" ht="26.1" customHeight="1" x14ac:dyDescent="0.4">
      <c r="A113" s="53"/>
      <c r="B113" s="8"/>
      <c r="C113" s="54" t="s">
        <v>460</v>
      </c>
      <c r="D113" s="54"/>
      <c r="E113" s="300"/>
      <c r="F113" s="382"/>
      <c r="G113" s="382"/>
      <c r="H113" s="382"/>
      <c r="I113" s="382">
        <v>1618</v>
      </c>
      <c r="J113" s="382"/>
      <c r="K113" s="382">
        <f t="shared" si="20"/>
        <v>1618</v>
      </c>
      <c r="M113" s="245"/>
    </row>
    <row r="114" spans="1:13" ht="26.1" customHeight="1" x14ac:dyDescent="0.4">
      <c r="A114" s="53"/>
      <c r="B114" s="8"/>
      <c r="C114" s="54" t="s">
        <v>562</v>
      </c>
      <c r="D114" s="54"/>
      <c r="E114" s="300"/>
      <c r="F114" s="382"/>
      <c r="G114" s="382"/>
      <c r="H114" s="382"/>
      <c r="I114" s="382">
        <v>44415</v>
      </c>
      <c r="J114" s="382"/>
      <c r="K114" s="382">
        <f t="shared" si="20"/>
        <v>44415</v>
      </c>
      <c r="M114" s="245"/>
    </row>
    <row r="115" spans="1:13" ht="26.1" customHeight="1" x14ac:dyDescent="0.4">
      <c r="A115" s="6"/>
      <c r="B115" s="215"/>
      <c r="C115" s="54" t="s">
        <v>502</v>
      </c>
      <c r="D115" s="301"/>
      <c r="E115" s="292"/>
      <c r="F115" s="382"/>
      <c r="G115" s="382"/>
      <c r="H115" s="382"/>
      <c r="I115" s="382">
        <v>5370</v>
      </c>
      <c r="J115" s="382"/>
      <c r="K115" s="382">
        <f t="shared" si="20"/>
        <v>5370</v>
      </c>
      <c r="M115" s="245"/>
    </row>
    <row r="116" spans="1:13" ht="26.1" customHeight="1" x14ac:dyDescent="0.4">
      <c r="A116" s="6"/>
      <c r="B116" s="215"/>
      <c r="C116" s="54" t="s">
        <v>607</v>
      </c>
      <c r="D116" s="213"/>
      <c r="E116" s="292"/>
      <c r="F116" s="382">
        <v>19936</v>
      </c>
      <c r="G116" s="382"/>
      <c r="H116" s="382"/>
      <c r="I116" s="382"/>
      <c r="J116" s="382"/>
      <c r="K116" s="382">
        <f t="shared" si="20"/>
        <v>0</v>
      </c>
      <c r="M116" s="245"/>
    </row>
    <row r="117" spans="1:13" ht="26.1" customHeight="1" x14ac:dyDescent="0.4">
      <c r="A117" s="6"/>
      <c r="B117" s="215"/>
      <c r="C117" s="54" t="s">
        <v>503</v>
      </c>
      <c r="D117" s="301"/>
      <c r="E117" s="292"/>
      <c r="F117" s="382"/>
      <c r="G117" s="382"/>
      <c r="H117" s="382"/>
      <c r="I117" s="382">
        <v>6355</v>
      </c>
      <c r="J117" s="382"/>
      <c r="K117" s="382">
        <f t="shared" si="20"/>
        <v>6355</v>
      </c>
      <c r="M117" s="245"/>
    </row>
    <row r="118" spans="1:13" ht="26.1" customHeight="1" x14ac:dyDescent="0.4">
      <c r="A118" s="6"/>
      <c r="B118" s="215"/>
      <c r="C118" s="54" t="s">
        <v>441</v>
      </c>
      <c r="D118" s="301"/>
      <c r="E118" s="292"/>
      <c r="F118" s="382">
        <v>9020</v>
      </c>
      <c r="G118" s="382"/>
      <c r="H118" s="382"/>
      <c r="I118" s="382">
        <v>30917</v>
      </c>
      <c r="J118" s="382"/>
      <c r="K118" s="382">
        <f t="shared" si="20"/>
        <v>30917</v>
      </c>
      <c r="M118" s="245"/>
    </row>
    <row r="119" spans="1:13" ht="26.1" customHeight="1" x14ac:dyDescent="0.4">
      <c r="A119" s="6"/>
      <c r="B119" s="215"/>
      <c r="C119" s="54" t="s">
        <v>691</v>
      </c>
      <c r="D119" s="301"/>
      <c r="E119" s="292"/>
      <c r="F119" s="382"/>
      <c r="G119" s="382"/>
      <c r="H119" s="382"/>
      <c r="I119" s="382"/>
      <c r="J119" s="382">
        <v>35735</v>
      </c>
      <c r="K119" s="382">
        <f t="shared" si="20"/>
        <v>35735</v>
      </c>
      <c r="M119" s="245"/>
    </row>
    <row r="120" spans="1:13" ht="26.1" customHeight="1" thickBot="1" x14ac:dyDescent="0.45">
      <c r="A120" s="6"/>
      <c r="B120" s="215"/>
      <c r="C120" s="216" t="s">
        <v>571</v>
      </c>
      <c r="D120" s="15"/>
      <c r="E120" s="83"/>
      <c r="F120" s="382"/>
      <c r="G120" s="382"/>
      <c r="H120" s="382"/>
      <c r="I120" s="382">
        <v>300</v>
      </c>
      <c r="J120" s="382"/>
      <c r="K120" s="382">
        <f t="shared" si="20"/>
        <v>300</v>
      </c>
      <c r="M120" s="245"/>
    </row>
    <row r="121" spans="1:13" s="29" customFormat="1" ht="26.1" customHeight="1" thickBot="1" x14ac:dyDescent="0.45">
      <c r="A121" s="63" t="s">
        <v>162</v>
      </c>
      <c r="B121" s="64"/>
      <c r="C121" s="55"/>
      <c r="D121" s="55"/>
      <c r="E121" s="281"/>
      <c r="F121" s="554">
        <f t="shared" ref="F121:K121" si="21">SUM(F100:F120)</f>
        <v>65847</v>
      </c>
      <c r="G121" s="554">
        <f t="shared" si="21"/>
        <v>0</v>
      </c>
      <c r="H121" s="554">
        <f t="shared" si="21"/>
        <v>0</v>
      </c>
      <c r="I121" s="554">
        <f t="shared" si="21"/>
        <v>113297</v>
      </c>
      <c r="J121" s="554">
        <f t="shared" si="21"/>
        <v>39735</v>
      </c>
      <c r="K121" s="554">
        <f t="shared" si="21"/>
        <v>153032</v>
      </c>
      <c r="M121" s="245"/>
    </row>
    <row r="122" spans="1:13" ht="26.1" customHeight="1" x14ac:dyDescent="0.4">
      <c r="A122" s="59" t="s">
        <v>60</v>
      </c>
      <c r="B122" s="65"/>
      <c r="C122" s="65"/>
      <c r="D122" s="65"/>
      <c r="E122" s="293"/>
      <c r="F122" s="555"/>
      <c r="G122" s="555"/>
      <c r="H122" s="555"/>
      <c r="I122" s="555"/>
      <c r="J122" s="555"/>
      <c r="K122" s="555"/>
      <c r="L122" s="29"/>
      <c r="M122" s="245"/>
    </row>
    <row r="123" spans="1:13" s="29" customFormat="1" ht="26.1" customHeight="1" x14ac:dyDescent="0.4">
      <c r="A123" s="66"/>
      <c r="B123" s="8" t="s">
        <v>180</v>
      </c>
      <c r="C123" s="61"/>
      <c r="D123" s="61"/>
      <c r="E123" s="294"/>
      <c r="F123" s="382">
        <v>33479</v>
      </c>
      <c r="G123" s="382">
        <v>20784</v>
      </c>
      <c r="H123" s="382">
        <v>20784</v>
      </c>
      <c r="I123" s="382">
        <v>22049</v>
      </c>
      <c r="J123" s="382">
        <v>3140</v>
      </c>
      <c r="K123" s="382">
        <f>SUM(I123:J123)</f>
        <v>25189</v>
      </c>
      <c r="L123" s="25"/>
      <c r="M123" s="245"/>
    </row>
    <row r="124" spans="1:13" s="29" customFormat="1" ht="26.1" customHeight="1" x14ac:dyDescent="0.4">
      <c r="A124" s="66"/>
      <c r="B124" s="67" t="s">
        <v>354</v>
      </c>
      <c r="C124" s="68"/>
      <c r="D124" s="68"/>
      <c r="E124" s="295"/>
      <c r="F124" s="382">
        <v>579473</v>
      </c>
      <c r="G124" s="382">
        <v>658521</v>
      </c>
      <c r="H124" s="382">
        <v>658521</v>
      </c>
      <c r="I124" s="382">
        <v>659569</v>
      </c>
      <c r="J124" s="382">
        <v>1244</v>
      </c>
      <c r="K124" s="382">
        <f t="shared" ref="K124:K133" si="22">SUM(I124:J124)</f>
        <v>660813</v>
      </c>
      <c r="L124" s="25"/>
      <c r="M124" s="245"/>
    </row>
    <row r="125" spans="1:13" s="29" customFormat="1" ht="26.1" customHeight="1" x14ac:dyDescent="0.4">
      <c r="A125" s="66"/>
      <c r="B125" s="67" t="s">
        <v>98</v>
      </c>
      <c r="C125" s="68"/>
      <c r="D125" s="68"/>
      <c r="E125" s="295"/>
      <c r="F125" s="382">
        <v>83403</v>
      </c>
      <c r="G125" s="382">
        <v>28471</v>
      </c>
      <c r="H125" s="382">
        <v>28471</v>
      </c>
      <c r="I125" s="382">
        <v>28471</v>
      </c>
      <c r="J125" s="382">
        <v>67805</v>
      </c>
      <c r="K125" s="382">
        <f t="shared" si="22"/>
        <v>96276</v>
      </c>
      <c r="L125" s="25"/>
      <c r="M125" s="245"/>
    </row>
    <row r="126" spans="1:13" s="29" customFormat="1" ht="26.1" customHeight="1" x14ac:dyDescent="0.4">
      <c r="A126" s="66"/>
      <c r="B126" s="67" t="s">
        <v>559</v>
      </c>
      <c r="C126" s="68"/>
      <c r="D126" s="68"/>
      <c r="E126" s="295"/>
      <c r="F126" s="382">
        <v>319635</v>
      </c>
      <c r="G126" s="382">
        <v>113344</v>
      </c>
      <c r="H126" s="382">
        <v>113344</v>
      </c>
      <c r="I126" s="382">
        <v>113344</v>
      </c>
      <c r="J126" s="382">
        <v>212952</v>
      </c>
      <c r="K126" s="382">
        <f t="shared" si="22"/>
        <v>326296</v>
      </c>
      <c r="L126" s="25"/>
      <c r="M126" s="245"/>
    </row>
    <row r="127" spans="1:13" s="29" customFormat="1" ht="26.1" customHeight="1" x14ac:dyDescent="0.4">
      <c r="A127" s="66"/>
      <c r="B127" s="67" t="s">
        <v>332</v>
      </c>
      <c r="C127" s="68"/>
      <c r="D127" s="68"/>
      <c r="E127" s="295"/>
      <c r="F127" s="382">
        <v>55501</v>
      </c>
      <c r="G127" s="382">
        <v>32900</v>
      </c>
      <c r="H127" s="382">
        <v>32900</v>
      </c>
      <c r="I127" s="382">
        <v>32900</v>
      </c>
      <c r="J127" s="382">
        <v>5000</v>
      </c>
      <c r="K127" s="382">
        <f t="shared" si="22"/>
        <v>37900</v>
      </c>
      <c r="L127" s="25"/>
      <c r="M127" s="245"/>
    </row>
    <row r="128" spans="1:13" s="29" customFormat="1" ht="26.1" customHeight="1" x14ac:dyDescent="0.4">
      <c r="A128" s="66"/>
      <c r="B128" s="67" t="s">
        <v>110</v>
      </c>
      <c r="C128" s="68"/>
      <c r="D128" s="68"/>
      <c r="E128" s="295"/>
      <c r="F128" s="382">
        <v>219980</v>
      </c>
      <c r="G128" s="382">
        <v>154078</v>
      </c>
      <c r="H128" s="382">
        <v>154078</v>
      </c>
      <c r="I128" s="382">
        <v>167484</v>
      </c>
      <c r="J128" s="382">
        <v>12079</v>
      </c>
      <c r="K128" s="382">
        <f t="shared" si="22"/>
        <v>179563</v>
      </c>
      <c r="L128" s="25"/>
      <c r="M128" s="245"/>
    </row>
    <row r="129" spans="1:13" s="29" customFormat="1" ht="26.1" customHeight="1" x14ac:dyDescent="0.4">
      <c r="A129" s="66"/>
      <c r="B129" s="67" t="s">
        <v>71</v>
      </c>
      <c r="C129" s="68"/>
      <c r="D129" s="68"/>
      <c r="E129" s="295"/>
      <c r="F129" s="382">
        <v>235263</v>
      </c>
      <c r="G129" s="382">
        <v>197479</v>
      </c>
      <c r="H129" s="382">
        <v>197479</v>
      </c>
      <c r="I129" s="382">
        <v>197479</v>
      </c>
      <c r="J129" s="382">
        <v>53761</v>
      </c>
      <c r="K129" s="382">
        <f t="shared" si="22"/>
        <v>251240</v>
      </c>
      <c r="L129" s="25"/>
      <c r="M129" s="245"/>
    </row>
    <row r="130" spans="1:13" s="29" customFormat="1" ht="26.1" customHeight="1" x14ac:dyDescent="0.4">
      <c r="A130" s="66"/>
      <c r="B130" s="67" t="s">
        <v>188</v>
      </c>
      <c r="C130" s="68"/>
      <c r="D130" s="68"/>
      <c r="E130" s="295"/>
      <c r="F130" s="382">
        <v>567292</v>
      </c>
      <c r="G130" s="382">
        <v>488765</v>
      </c>
      <c r="H130" s="382">
        <v>488765</v>
      </c>
      <c r="I130" s="382">
        <v>488765</v>
      </c>
      <c r="J130" s="382">
        <v>14565</v>
      </c>
      <c r="K130" s="382">
        <f t="shared" si="22"/>
        <v>503330</v>
      </c>
      <c r="L130" s="25"/>
      <c r="M130" s="245"/>
    </row>
    <row r="131" spans="1:13" s="29" customFormat="1" ht="26.1" customHeight="1" x14ac:dyDescent="0.4">
      <c r="A131" s="66"/>
      <c r="B131" s="67" t="s">
        <v>13</v>
      </c>
      <c r="C131" s="68"/>
      <c r="D131" s="68"/>
      <c r="E131" s="295"/>
      <c r="F131" s="382">
        <v>123654</v>
      </c>
      <c r="G131" s="382">
        <v>97148</v>
      </c>
      <c r="H131" s="382">
        <v>97148</v>
      </c>
      <c r="I131" s="382">
        <v>110667</v>
      </c>
      <c r="J131" s="382">
        <v>7633</v>
      </c>
      <c r="K131" s="382">
        <f t="shared" si="22"/>
        <v>118300</v>
      </c>
      <c r="L131" s="25"/>
      <c r="M131" s="245"/>
    </row>
    <row r="132" spans="1:13" s="29" customFormat="1" ht="26.1" customHeight="1" x14ac:dyDescent="0.4">
      <c r="A132" s="66"/>
      <c r="B132" s="67" t="s">
        <v>141</v>
      </c>
      <c r="C132" s="68"/>
      <c r="D132" s="68"/>
      <c r="E132" s="295"/>
      <c r="F132" s="382">
        <v>185714</v>
      </c>
      <c r="G132" s="382">
        <v>188823</v>
      </c>
      <c r="H132" s="382">
        <v>188823</v>
      </c>
      <c r="I132" s="382">
        <v>188823</v>
      </c>
      <c r="J132" s="382">
        <v>0</v>
      </c>
      <c r="K132" s="382">
        <f t="shared" si="22"/>
        <v>188823</v>
      </c>
      <c r="L132" s="25"/>
      <c r="M132" s="245"/>
    </row>
    <row r="133" spans="1:13" s="29" customFormat="1" ht="26.1" customHeight="1" x14ac:dyDescent="0.4">
      <c r="A133" s="66"/>
      <c r="B133" s="67" t="s">
        <v>4</v>
      </c>
      <c r="C133" s="68"/>
      <c r="D133" s="68"/>
      <c r="E133" s="295"/>
      <c r="F133" s="382">
        <v>77159</v>
      </c>
      <c r="G133" s="382">
        <v>19000</v>
      </c>
      <c r="H133" s="382">
        <v>19000</v>
      </c>
      <c r="I133" s="382">
        <v>19810</v>
      </c>
      <c r="J133" s="382">
        <v>5638</v>
      </c>
      <c r="K133" s="382">
        <f t="shared" si="22"/>
        <v>25448</v>
      </c>
      <c r="L133" s="25"/>
      <c r="M133" s="245"/>
    </row>
    <row r="134" spans="1:13" ht="26.1" customHeight="1" thickBot="1" x14ac:dyDescent="0.45">
      <c r="A134" s="56" t="s">
        <v>61</v>
      </c>
      <c r="B134" s="57"/>
      <c r="C134" s="58"/>
      <c r="D134" s="58"/>
      <c r="E134" s="282"/>
      <c r="F134" s="550">
        <f t="shared" ref="F134:H134" si="23">SUM(F123:F133)</f>
        <v>2480553</v>
      </c>
      <c r="G134" s="550">
        <f t="shared" si="23"/>
        <v>1999313</v>
      </c>
      <c r="H134" s="550">
        <f t="shared" si="23"/>
        <v>1999313</v>
      </c>
      <c r="I134" s="550">
        <f>SUM(I123:I133)</f>
        <v>2029361</v>
      </c>
      <c r="J134" s="550">
        <f>SUM(J123:J133)</f>
        <v>383817</v>
      </c>
      <c r="K134" s="550">
        <f>SUM(K123:K133)</f>
        <v>2413178</v>
      </c>
      <c r="L134" s="26"/>
      <c r="M134" s="245"/>
    </row>
    <row r="135" spans="1:13" ht="26.1" customHeight="1" thickBot="1" x14ac:dyDescent="0.45">
      <c r="A135" s="56" t="s">
        <v>299</v>
      </c>
      <c r="B135" s="57"/>
      <c r="C135" s="58"/>
      <c r="D135" s="58"/>
      <c r="E135" s="282"/>
      <c r="F135" s="550">
        <f t="shared" ref="F135:K135" si="24">F99+F51+F121+F65+F134</f>
        <v>28480103</v>
      </c>
      <c r="G135" s="550">
        <f t="shared" si="24"/>
        <v>28007584</v>
      </c>
      <c r="H135" s="550">
        <f t="shared" si="24"/>
        <v>28068100</v>
      </c>
      <c r="I135" s="550">
        <f t="shared" si="24"/>
        <v>29558460</v>
      </c>
      <c r="J135" s="550">
        <f t="shared" si="24"/>
        <v>706634</v>
      </c>
      <c r="K135" s="550">
        <f t="shared" si="24"/>
        <v>30265094</v>
      </c>
      <c r="M135" s="245"/>
    </row>
    <row r="137" spans="1:13" ht="21" customHeight="1" x14ac:dyDescent="0.25">
      <c r="F137" s="26"/>
      <c r="G137" s="26"/>
      <c r="H137" s="26"/>
      <c r="I137" s="26"/>
      <c r="J137" s="26"/>
    </row>
    <row r="138" spans="1:13" ht="21" customHeight="1" x14ac:dyDescent="0.25">
      <c r="F138" s="26"/>
      <c r="G138" s="26"/>
      <c r="H138" s="26"/>
      <c r="I138" s="26"/>
    </row>
  </sheetData>
  <mergeCells count="4">
    <mergeCell ref="A1:E1"/>
    <mergeCell ref="C24:E24"/>
    <mergeCell ref="A2:K2"/>
    <mergeCell ref="C25:E25"/>
  </mergeCells>
  <phoneticPr fontId="0" type="noConversion"/>
  <printOptions horizontalCentered="1" verticalCentered="1"/>
  <pageMargins left="0" right="0" top="0" bottom="0" header="0.51181102362204722" footer="0.51181102362204722"/>
  <pageSetup paperSize="9" scale="39" orientation="portrait" r:id="rId1"/>
  <headerFooter alignWithMargins="0">
    <oddHeader xml:space="preserve">&amp;R&amp;"Times New Roman CE,Félkövér"&amp;16
&amp;"-,Félkövér"
3. melléklet a 20/2025. (IX.30.) önkormányzati rendelethez
"3. melléklet a 4/2025. (II.28) önkormányzati rendelethez"&amp;"Times New Roman CE,Félkövér"
</oddHead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EJ53"/>
  <sheetViews>
    <sheetView zoomScale="50" zoomScaleNormal="50" zoomScaleSheetLayoutView="50" workbookViewId="0">
      <selection activeCell="AY60" sqref="AY60"/>
    </sheetView>
  </sheetViews>
  <sheetFormatPr defaultRowHeight="26.45" customHeight="1" x14ac:dyDescent="0.6"/>
  <cols>
    <col min="1" max="1" width="186.33203125" style="715" customWidth="1"/>
    <col min="2" max="2" width="49.83203125" style="717" customWidth="1"/>
    <col min="3" max="3" width="38.33203125" style="717" customWidth="1"/>
    <col min="4" max="5" width="50" style="717" customWidth="1"/>
    <col min="6" max="6" width="37.6640625" style="717" customWidth="1"/>
    <col min="7" max="7" width="50" style="717" customWidth="1"/>
    <col min="8" max="8" width="51.33203125" style="717" customWidth="1"/>
    <col min="9" max="9" width="38.1640625" style="717" customWidth="1"/>
    <col min="10" max="11" width="50" style="717" customWidth="1"/>
    <col min="12" max="12" width="38.33203125" style="717" customWidth="1"/>
    <col min="13" max="14" width="50" style="717" customWidth="1"/>
    <col min="15" max="15" width="38.33203125" style="717" customWidth="1"/>
    <col min="16" max="16" width="50" style="717" customWidth="1"/>
    <col min="17" max="17" width="186.33203125" style="715" customWidth="1"/>
    <col min="18" max="18" width="50" style="717" customWidth="1"/>
    <col min="19" max="19" width="38.33203125" style="717" customWidth="1"/>
    <col min="20" max="21" width="49.83203125" style="717" customWidth="1"/>
    <col min="22" max="22" width="38.1640625" style="717" customWidth="1"/>
    <col min="23" max="23" width="49.83203125" style="717" customWidth="1"/>
    <col min="24" max="24" width="50" style="717" customWidth="1"/>
    <col min="25" max="25" width="38.33203125" style="717" customWidth="1"/>
    <col min="26" max="27" width="49.83203125" style="717" customWidth="1"/>
    <col min="28" max="28" width="38.1640625" style="717" customWidth="1"/>
    <col min="29" max="30" width="50" style="717" customWidth="1"/>
    <col min="31" max="31" width="38.33203125" style="717" customWidth="1"/>
    <col min="32" max="32" width="50" style="717" customWidth="1"/>
    <col min="33" max="33" width="186.33203125" style="715" customWidth="1"/>
    <col min="34" max="34" width="50" style="715" customWidth="1"/>
    <col min="35" max="35" width="38.33203125" style="715" customWidth="1"/>
    <col min="36" max="36" width="49.83203125" style="715" customWidth="1"/>
    <col min="37" max="37" width="50" style="715" customWidth="1"/>
    <col min="38" max="38" width="45" style="715" customWidth="1"/>
    <col min="39" max="39" width="50.33203125" style="730" customWidth="1"/>
    <col min="40" max="40" width="50" style="730" customWidth="1"/>
    <col min="41" max="41" width="45" style="730" customWidth="1"/>
    <col min="42" max="42" width="50" style="717" customWidth="1"/>
    <col min="43" max="249" width="9.33203125" style="715"/>
    <col min="250" max="250" width="186.33203125" style="715" customWidth="1"/>
    <col min="251" max="251" width="49.83203125" style="715" customWidth="1"/>
    <col min="252" max="252" width="38.33203125" style="715" customWidth="1"/>
    <col min="253" max="254" width="50" style="715" customWidth="1"/>
    <col min="255" max="255" width="37.6640625" style="715" customWidth="1"/>
    <col min="256" max="256" width="50" style="715" customWidth="1"/>
    <col min="257" max="257" width="51.33203125" style="715" customWidth="1"/>
    <col min="258" max="258" width="38.1640625" style="715" customWidth="1"/>
    <col min="259" max="260" width="50" style="715" customWidth="1"/>
    <col min="261" max="261" width="38.33203125" style="715" customWidth="1"/>
    <col min="262" max="263" width="50" style="715" customWidth="1"/>
    <col min="264" max="264" width="38.33203125" style="715" customWidth="1"/>
    <col min="265" max="265" width="50" style="715" customWidth="1"/>
    <col min="266" max="266" width="186.33203125" style="715" customWidth="1"/>
    <col min="267" max="267" width="50" style="715" customWidth="1"/>
    <col min="268" max="268" width="38.33203125" style="715" customWidth="1"/>
    <col min="269" max="270" width="49.83203125" style="715" customWidth="1"/>
    <col min="271" max="271" width="38.1640625" style="715" customWidth="1"/>
    <col min="272" max="272" width="49.83203125" style="715" customWidth="1"/>
    <col min="273" max="273" width="50" style="715" customWidth="1"/>
    <col min="274" max="274" width="38.33203125" style="715" customWidth="1"/>
    <col min="275" max="276" width="49.83203125" style="715" customWidth="1"/>
    <col min="277" max="277" width="38.1640625" style="715" customWidth="1"/>
    <col min="278" max="279" width="50" style="715" customWidth="1"/>
    <col min="280" max="280" width="38.33203125" style="715" customWidth="1"/>
    <col min="281" max="281" width="50" style="715" customWidth="1"/>
    <col min="282" max="282" width="186.33203125" style="715" customWidth="1"/>
    <col min="283" max="283" width="50" style="715" customWidth="1"/>
    <col min="284" max="284" width="38.33203125" style="715" customWidth="1"/>
    <col min="285" max="285" width="49.83203125" style="715" customWidth="1"/>
    <col min="286" max="286" width="50" style="715" customWidth="1"/>
    <col min="287" max="287" width="45" style="715" customWidth="1"/>
    <col min="288" max="288" width="50.33203125" style="715" customWidth="1"/>
    <col min="289" max="289" width="50" style="715" customWidth="1"/>
    <col min="290" max="290" width="45" style="715" customWidth="1"/>
    <col min="291" max="291" width="50" style="715" customWidth="1"/>
    <col min="292" max="292" width="51" style="715" customWidth="1"/>
    <col min="293" max="505" width="9.33203125" style="715"/>
    <col min="506" max="506" width="186.33203125" style="715" customWidth="1"/>
    <col min="507" max="507" width="49.83203125" style="715" customWidth="1"/>
    <col min="508" max="508" width="38.33203125" style="715" customWidth="1"/>
    <col min="509" max="510" width="50" style="715" customWidth="1"/>
    <col min="511" max="511" width="37.6640625" style="715" customWidth="1"/>
    <col min="512" max="512" width="50" style="715" customWidth="1"/>
    <col min="513" max="513" width="51.33203125" style="715" customWidth="1"/>
    <col min="514" max="514" width="38.1640625" style="715" customWidth="1"/>
    <col min="515" max="516" width="50" style="715" customWidth="1"/>
    <col min="517" max="517" width="38.33203125" style="715" customWidth="1"/>
    <col min="518" max="519" width="50" style="715" customWidth="1"/>
    <col min="520" max="520" width="38.33203125" style="715" customWidth="1"/>
    <col min="521" max="521" width="50" style="715" customWidth="1"/>
    <col min="522" max="522" width="186.33203125" style="715" customWidth="1"/>
    <col min="523" max="523" width="50" style="715" customWidth="1"/>
    <col min="524" max="524" width="38.33203125" style="715" customWidth="1"/>
    <col min="525" max="526" width="49.83203125" style="715" customWidth="1"/>
    <col min="527" max="527" width="38.1640625" style="715" customWidth="1"/>
    <col min="528" max="528" width="49.83203125" style="715" customWidth="1"/>
    <col min="529" max="529" width="50" style="715" customWidth="1"/>
    <col min="530" max="530" width="38.33203125" style="715" customWidth="1"/>
    <col min="531" max="532" width="49.83203125" style="715" customWidth="1"/>
    <col min="533" max="533" width="38.1640625" style="715" customWidth="1"/>
    <col min="534" max="535" width="50" style="715" customWidth="1"/>
    <col min="536" max="536" width="38.33203125" style="715" customWidth="1"/>
    <col min="537" max="537" width="50" style="715" customWidth="1"/>
    <col min="538" max="538" width="186.33203125" style="715" customWidth="1"/>
    <col min="539" max="539" width="50" style="715" customWidth="1"/>
    <col min="540" max="540" width="38.33203125" style="715" customWidth="1"/>
    <col min="541" max="541" width="49.83203125" style="715" customWidth="1"/>
    <col min="542" max="542" width="50" style="715" customWidth="1"/>
    <col min="543" max="543" width="45" style="715" customWidth="1"/>
    <col min="544" max="544" width="50.33203125" style="715" customWidth="1"/>
    <col min="545" max="545" width="50" style="715" customWidth="1"/>
    <col min="546" max="546" width="45" style="715" customWidth="1"/>
    <col min="547" max="547" width="50" style="715" customWidth="1"/>
    <col min="548" max="548" width="51" style="715" customWidth="1"/>
    <col min="549" max="761" width="9.33203125" style="715"/>
    <col min="762" max="762" width="186.33203125" style="715" customWidth="1"/>
    <col min="763" max="763" width="49.83203125" style="715" customWidth="1"/>
    <col min="764" max="764" width="38.33203125" style="715" customWidth="1"/>
    <col min="765" max="766" width="50" style="715" customWidth="1"/>
    <col min="767" max="767" width="37.6640625" style="715" customWidth="1"/>
    <col min="768" max="768" width="50" style="715" customWidth="1"/>
    <col min="769" max="769" width="51.33203125" style="715" customWidth="1"/>
    <col min="770" max="770" width="38.1640625" style="715" customWidth="1"/>
    <col min="771" max="772" width="50" style="715" customWidth="1"/>
    <col min="773" max="773" width="38.33203125" style="715" customWidth="1"/>
    <col min="774" max="775" width="50" style="715" customWidth="1"/>
    <col min="776" max="776" width="38.33203125" style="715" customWidth="1"/>
    <col min="777" max="777" width="50" style="715" customWidth="1"/>
    <col min="778" max="778" width="186.33203125" style="715" customWidth="1"/>
    <col min="779" max="779" width="50" style="715" customWidth="1"/>
    <col min="780" max="780" width="38.33203125" style="715" customWidth="1"/>
    <col min="781" max="782" width="49.83203125" style="715" customWidth="1"/>
    <col min="783" max="783" width="38.1640625" style="715" customWidth="1"/>
    <col min="784" max="784" width="49.83203125" style="715" customWidth="1"/>
    <col min="785" max="785" width="50" style="715" customWidth="1"/>
    <col min="786" max="786" width="38.33203125" style="715" customWidth="1"/>
    <col min="787" max="788" width="49.83203125" style="715" customWidth="1"/>
    <col min="789" max="789" width="38.1640625" style="715" customWidth="1"/>
    <col min="790" max="791" width="50" style="715" customWidth="1"/>
    <col min="792" max="792" width="38.33203125" style="715" customWidth="1"/>
    <col min="793" max="793" width="50" style="715" customWidth="1"/>
    <col min="794" max="794" width="186.33203125" style="715" customWidth="1"/>
    <col min="795" max="795" width="50" style="715" customWidth="1"/>
    <col min="796" max="796" width="38.33203125" style="715" customWidth="1"/>
    <col min="797" max="797" width="49.83203125" style="715" customWidth="1"/>
    <col min="798" max="798" width="50" style="715" customWidth="1"/>
    <col min="799" max="799" width="45" style="715" customWidth="1"/>
    <col min="800" max="800" width="50.33203125" style="715" customWidth="1"/>
    <col min="801" max="801" width="50" style="715" customWidth="1"/>
    <col min="802" max="802" width="45" style="715" customWidth="1"/>
    <col min="803" max="803" width="50" style="715" customWidth="1"/>
    <col min="804" max="804" width="51" style="715" customWidth="1"/>
    <col min="805" max="1017" width="9.33203125" style="715"/>
    <col min="1018" max="1018" width="186.33203125" style="715" customWidth="1"/>
    <col min="1019" max="1019" width="49.83203125" style="715" customWidth="1"/>
    <col min="1020" max="1020" width="38.33203125" style="715" customWidth="1"/>
    <col min="1021" max="1022" width="50" style="715" customWidth="1"/>
    <col min="1023" max="1023" width="37.6640625" style="715" customWidth="1"/>
    <col min="1024" max="1024" width="50" style="715" customWidth="1"/>
    <col min="1025" max="1025" width="51.33203125" style="715" customWidth="1"/>
    <col min="1026" max="1026" width="38.1640625" style="715" customWidth="1"/>
    <col min="1027" max="1028" width="50" style="715" customWidth="1"/>
    <col min="1029" max="1029" width="38.33203125" style="715" customWidth="1"/>
    <col min="1030" max="1031" width="50" style="715" customWidth="1"/>
    <col min="1032" max="1032" width="38.33203125" style="715" customWidth="1"/>
    <col min="1033" max="1033" width="50" style="715" customWidth="1"/>
    <col min="1034" max="1034" width="186.33203125" style="715" customWidth="1"/>
    <col min="1035" max="1035" width="50" style="715" customWidth="1"/>
    <col min="1036" max="1036" width="38.33203125" style="715" customWidth="1"/>
    <col min="1037" max="1038" width="49.83203125" style="715" customWidth="1"/>
    <col min="1039" max="1039" width="38.1640625" style="715" customWidth="1"/>
    <col min="1040" max="1040" width="49.83203125" style="715" customWidth="1"/>
    <col min="1041" max="1041" width="50" style="715" customWidth="1"/>
    <col min="1042" max="1042" width="38.33203125" style="715" customWidth="1"/>
    <col min="1043" max="1044" width="49.83203125" style="715" customWidth="1"/>
    <col min="1045" max="1045" width="38.1640625" style="715" customWidth="1"/>
    <col min="1046" max="1047" width="50" style="715" customWidth="1"/>
    <col min="1048" max="1048" width="38.33203125" style="715" customWidth="1"/>
    <col min="1049" max="1049" width="50" style="715" customWidth="1"/>
    <col min="1050" max="1050" width="186.33203125" style="715" customWidth="1"/>
    <col min="1051" max="1051" width="50" style="715" customWidth="1"/>
    <col min="1052" max="1052" width="38.33203125" style="715" customWidth="1"/>
    <col min="1053" max="1053" width="49.83203125" style="715" customWidth="1"/>
    <col min="1054" max="1054" width="50" style="715" customWidth="1"/>
    <col min="1055" max="1055" width="45" style="715" customWidth="1"/>
    <col min="1056" max="1056" width="50.33203125" style="715" customWidth="1"/>
    <col min="1057" max="1057" width="50" style="715" customWidth="1"/>
    <col min="1058" max="1058" width="45" style="715" customWidth="1"/>
    <col min="1059" max="1059" width="50" style="715" customWidth="1"/>
    <col min="1060" max="1060" width="51" style="715" customWidth="1"/>
    <col min="1061" max="1273" width="9.33203125" style="715"/>
    <col min="1274" max="1274" width="186.33203125" style="715" customWidth="1"/>
    <col min="1275" max="1275" width="49.83203125" style="715" customWidth="1"/>
    <col min="1276" max="1276" width="38.33203125" style="715" customWidth="1"/>
    <col min="1277" max="1278" width="50" style="715" customWidth="1"/>
    <col min="1279" max="1279" width="37.6640625" style="715" customWidth="1"/>
    <col min="1280" max="1280" width="50" style="715" customWidth="1"/>
    <col min="1281" max="1281" width="51.33203125" style="715" customWidth="1"/>
    <col min="1282" max="1282" width="38.1640625" style="715" customWidth="1"/>
    <col min="1283" max="1284" width="50" style="715" customWidth="1"/>
    <col min="1285" max="1285" width="38.33203125" style="715" customWidth="1"/>
    <col min="1286" max="1287" width="50" style="715" customWidth="1"/>
    <col min="1288" max="1288" width="38.33203125" style="715" customWidth="1"/>
    <col min="1289" max="1289" width="50" style="715" customWidth="1"/>
    <col min="1290" max="1290" width="186.33203125" style="715" customWidth="1"/>
    <col min="1291" max="1291" width="50" style="715" customWidth="1"/>
    <col min="1292" max="1292" width="38.33203125" style="715" customWidth="1"/>
    <col min="1293" max="1294" width="49.83203125" style="715" customWidth="1"/>
    <col min="1295" max="1295" width="38.1640625" style="715" customWidth="1"/>
    <col min="1296" max="1296" width="49.83203125" style="715" customWidth="1"/>
    <col min="1297" max="1297" width="50" style="715" customWidth="1"/>
    <col min="1298" max="1298" width="38.33203125" style="715" customWidth="1"/>
    <col min="1299" max="1300" width="49.83203125" style="715" customWidth="1"/>
    <col min="1301" max="1301" width="38.1640625" style="715" customWidth="1"/>
    <col min="1302" max="1303" width="50" style="715" customWidth="1"/>
    <col min="1304" max="1304" width="38.33203125" style="715" customWidth="1"/>
    <col min="1305" max="1305" width="50" style="715" customWidth="1"/>
    <col min="1306" max="1306" width="186.33203125" style="715" customWidth="1"/>
    <col min="1307" max="1307" width="50" style="715" customWidth="1"/>
    <col min="1308" max="1308" width="38.33203125" style="715" customWidth="1"/>
    <col min="1309" max="1309" width="49.83203125" style="715" customWidth="1"/>
    <col min="1310" max="1310" width="50" style="715" customWidth="1"/>
    <col min="1311" max="1311" width="45" style="715" customWidth="1"/>
    <col min="1312" max="1312" width="50.33203125" style="715" customWidth="1"/>
    <col min="1313" max="1313" width="50" style="715" customWidth="1"/>
    <col min="1314" max="1314" width="45" style="715" customWidth="1"/>
    <col min="1315" max="1315" width="50" style="715" customWidth="1"/>
    <col min="1316" max="1316" width="51" style="715" customWidth="1"/>
    <col min="1317" max="1529" width="9.33203125" style="715"/>
    <col min="1530" max="1530" width="186.33203125" style="715" customWidth="1"/>
    <col min="1531" max="1531" width="49.83203125" style="715" customWidth="1"/>
    <col min="1532" max="1532" width="38.33203125" style="715" customWidth="1"/>
    <col min="1533" max="1534" width="50" style="715" customWidth="1"/>
    <col min="1535" max="1535" width="37.6640625" style="715" customWidth="1"/>
    <col min="1536" max="1536" width="50" style="715" customWidth="1"/>
    <col min="1537" max="1537" width="51.33203125" style="715" customWidth="1"/>
    <col min="1538" max="1538" width="38.1640625" style="715" customWidth="1"/>
    <col min="1539" max="1540" width="50" style="715" customWidth="1"/>
    <col min="1541" max="1541" width="38.33203125" style="715" customWidth="1"/>
    <col min="1542" max="1543" width="50" style="715" customWidth="1"/>
    <col min="1544" max="1544" width="38.33203125" style="715" customWidth="1"/>
    <col min="1545" max="1545" width="50" style="715" customWidth="1"/>
    <col min="1546" max="1546" width="186.33203125" style="715" customWidth="1"/>
    <col min="1547" max="1547" width="50" style="715" customWidth="1"/>
    <col min="1548" max="1548" width="38.33203125" style="715" customWidth="1"/>
    <col min="1549" max="1550" width="49.83203125" style="715" customWidth="1"/>
    <col min="1551" max="1551" width="38.1640625" style="715" customWidth="1"/>
    <col min="1552" max="1552" width="49.83203125" style="715" customWidth="1"/>
    <col min="1553" max="1553" width="50" style="715" customWidth="1"/>
    <col min="1554" max="1554" width="38.33203125" style="715" customWidth="1"/>
    <col min="1555" max="1556" width="49.83203125" style="715" customWidth="1"/>
    <col min="1557" max="1557" width="38.1640625" style="715" customWidth="1"/>
    <col min="1558" max="1559" width="50" style="715" customWidth="1"/>
    <col min="1560" max="1560" width="38.33203125" style="715" customWidth="1"/>
    <col min="1561" max="1561" width="50" style="715" customWidth="1"/>
    <col min="1562" max="1562" width="186.33203125" style="715" customWidth="1"/>
    <col min="1563" max="1563" width="50" style="715" customWidth="1"/>
    <col min="1564" max="1564" width="38.33203125" style="715" customWidth="1"/>
    <col min="1565" max="1565" width="49.83203125" style="715" customWidth="1"/>
    <col min="1566" max="1566" width="50" style="715" customWidth="1"/>
    <col min="1567" max="1567" width="45" style="715" customWidth="1"/>
    <col min="1568" max="1568" width="50.33203125" style="715" customWidth="1"/>
    <col min="1569" max="1569" width="50" style="715" customWidth="1"/>
    <col min="1570" max="1570" width="45" style="715" customWidth="1"/>
    <col min="1571" max="1571" width="50" style="715" customWidth="1"/>
    <col min="1572" max="1572" width="51" style="715" customWidth="1"/>
    <col min="1573" max="1785" width="9.33203125" style="715"/>
    <col min="1786" max="1786" width="186.33203125" style="715" customWidth="1"/>
    <col min="1787" max="1787" width="49.83203125" style="715" customWidth="1"/>
    <col min="1788" max="1788" width="38.33203125" style="715" customWidth="1"/>
    <col min="1789" max="1790" width="50" style="715" customWidth="1"/>
    <col min="1791" max="1791" width="37.6640625" style="715" customWidth="1"/>
    <col min="1792" max="1792" width="50" style="715" customWidth="1"/>
    <col min="1793" max="1793" width="51.33203125" style="715" customWidth="1"/>
    <col min="1794" max="1794" width="38.1640625" style="715" customWidth="1"/>
    <col min="1795" max="1796" width="50" style="715" customWidth="1"/>
    <col min="1797" max="1797" width="38.33203125" style="715" customWidth="1"/>
    <col min="1798" max="1799" width="50" style="715" customWidth="1"/>
    <col min="1800" max="1800" width="38.33203125" style="715" customWidth="1"/>
    <col min="1801" max="1801" width="50" style="715" customWidth="1"/>
    <col min="1802" max="1802" width="186.33203125" style="715" customWidth="1"/>
    <col min="1803" max="1803" width="50" style="715" customWidth="1"/>
    <col min="1804" max="1804" width="38.33203125" style="715" customWidth="1"/>
    <col min="1805" max="1806" width="49.83203125" style="715" customWidth="1"/>
    <col min="1807" max="1807" width="38.1640625" style="715" customWidth="1"/>
    <col min="1808" max="1808" width="49.83203125" style="715" customWidth="1"/>
    <col min="1809" max="1809" width="50" style="715" customWidth="1"/>
    <col min="1810" max="1810" width="38.33203125" style="715" customWidth="1"/>
    <col min="1811" max="1812" width="49.83203125" style="715" customWidth="1"/>
    <col min="1813" max="1813" width="38.1640625" style="715" customWidth="1"/>
    <col min="1814" max="1815" width="50" style="715" customWidth="1"/>
    <col min="1816" max="1816" width="38.33203125" style="715" customWidth="1"/>
    <col min="1817" max="1817" width="50" style="715" customWidth="1"/>
    <col min="1818" max="1818" width="186.33203125" style="715" customWidth="1"/>
    <col min="1819" max="1819" width="50" style="715" customWidth="1"/>
    <col min="1820" max="1820" width="38.33203125" style="715" customWidth="1"/>
    <col min="1821" max="1821" width="49.83203125" style="715" customWidth="1"/>
    <col min="1822" max="1822" width="50" style="715" customWidth="1"/>
    <col min="1823" max="1823" width="45" style="715" customWidth="1"/>
    <col min="1824" max="1824" width="50.33203125" style="715" customWidth="1"/>
    <col min="1825" max="1825" width="50" style="715" customWidth="1"/>
    <col min="1826" max="1826" width="45" style="715" customWidth="1"/>
    <col min="1827" max="1827" width="50" style="715" customWidth="1"/>
    <col min="1828" max="1828" width="51" style="715" customWidth="1"/>
    <col min="1829" max="2041" width="9.33203125" style="715"/>
    <col min="2042" max="2042" width="186.33203125" style="715" customWidth="1"/>
    <col min="2043" max="2043" width="49.83203125" style="715" customWidth="1"/>
    <col min="2044" max="2044" width="38.33203125" style="715" customWidth="1"/>
    <col min="2045" max="2046" width="50" style="715" customWidth="1"/>
    <col min="2047" max="2047" width="37.6640625" style="715" customWidth="1"/>
    <col min="2048" max="2048" width="50" style="715" customWidth="1"/>
    <col min="2049" max="2049" width="51.33203125" style="715" customWidth="1"/>
    <col min="2050" max="2050" width="38.1640625" style="715" customWidth="1"/>
    <col min="2051" max="2052" width="50" style="715" customWidth="1"/>
    <col min="2053" max="2053" width="38.33203125" style="715" customWidth="1"/>
    <col min="2054" max="2055" width="50" style="715" customWidth="1"/>
    <col min="2056" max="2056" width="38.33203125" style="715" customWidth="1"/>
    <col min="2057" max="2057" width="50" style="715" customWidth="1"/>
    <col min="2058" max="2058" width="186.33203125" style="715" customWidth="1"/>
    <col min="2059" max="2059" width="50" style="715" customWidth="1"/>
    <col min="2060" max="2060" width="38.33203125" style="715" customWidth="1"/>
    <col min="2061" max="2062" width="49.83203125" style="715" customWidth="1"/>
    <col min="2063" max="2063" width="38.1640625" style="715" customWidth="1"/>
    <col min="2064" max="2064" width="49.83203125" style="715" customWidth="1"/>
    <col min="2065" max="2065" width="50" style="715" customWidth="1"/>
    <col min="2066" max="2066" width="38.33203125" style="715" customWidth="1"/>
    <col min="2067" max="2068" width="49.83203125" style="715" customWidth="1"/>
    <col min="2069" max="2069" width="38.1640625" style="715" customWidth="1"/>
    <col min="2070" max="2071" width="50" style="715" customWidth="1"/>
    <col min="2072" max="2072" width="38.33203125" style="715" customWidth="1"/>
    <col min="2073" max="2073" width="50" style="715" customWidth="1"/>
    <col min="2074" max="2074" width="186.33203125" style="715" customWidth="1"/>
    <col min="2075" max="2075" width="50" style="715" customWidth="1"/>
    <col min="2076" max="2076" width="38.33203125" style="715" customWidth="1"/>
    <col min="2077" max="2077" width="49.83203125" style="715" customWidth="1"/>
    <col min="2078" max="2078" width="50" style="715" customWidth="1"/>
    <col min="2079" max="2079" width="45" style="715" customWidth="1"/>
    <col min="2080" max="2080" width="50.33203125" style="715" customWidth="1"/>
    <col min="2081" max="2081" width="50" style="715" customWidth="1"/>
    <col min="2082" max="2082" width="45" style="715" customWidth="1"/>
    <col min="2083" max="2083" width="50" style="715" customWidth="1"/>
    <col min="2084" max="2084" width="51" style="715" customWidth="1"/>
    <col min="2085" max="2297" width="9.33203125" style="715"/>
    <col min="2298" max="2298" width="186.33203125" style="715" customWidth="1"/>
    <col min="2299" max="2299" width="49.83203125" style="715" customWidth="1"/>
    <col min="2300" max="2300" width="38.33203125" style="715" customWidth="1"/>
    <col min="2301" max="2302" width="50" style="715" customWidth="1"/>
    <col min="2303" max="2303" width="37.6640625" style="715" customWidth="1"/>
    <col min="2304" max="2304" width="50" style="715" customWidth="1"/>
    <col min="2305" max="2305" width="51.33203125" style="715" customWidth="1"/>
    <col min="2306" max="2306" width="38.1640625" style="715" customWidth="1"/>
    <col min="2307" max="2308" width="50" style="715" customWidth="1"/>
    <col min="2309" max="2309" width="38.33203125" style="715" customWidth="1"/>
    <col min="2310" max="2311" width="50" style="715" customWidth="1"/>
    <col min="2312" max="2312" width="38.33203125" style="715" customWidth="1"/>
    <col min="2313" max="2313" width="50" style="715" customWidth="1"/>
    <col min="2314" max="2314" width="186.33203125" style="715" customWidth="1"/>
    <col min="2315" max="2315" width="50" style="715" customWidth="1"/>
    <col min="2316" max="2316" width="38.33203125" style="715" customWidth="1"/>
    <col min="2317" max="2318" width="49.83203125" style="715" customWidth="1"/>
    <col min="2319" max="2319" width="38.1640625" style="715" customWidth="1"/>
    <col min="2320" max="2320" width="49.83203125" style="715" customWidth="1"/>
    <col min="2321" max="2321" width="50" style="715" customWidth="1"/>
    <col min="2322" max="2322" width="38.33203125" style="715" customWidth="1"/>
    <col min="2323" max="2324" width="49.83203125" style="715" customWidth="1"/>
    <col min="2325" max="2325" width="38.1640625" style="715" customWidth="1"/>
    <col min="2326" max="2327" width="50" style="715" customWidth="1"/>
    <col min="2328" max="2328" width="38.33203125" style="715" customWidth="1"/>
    <col min="2329" max="2329" width="50" style="715" customWidth="1"/>
    <col min="2330" max="2330" width="186.33203125" style="715" customWidth="1"/>
    <col min="2331" max="2331" width="50" style="715" customWidth="1"/>
    <col min="2332" max="2332" width="38.33203125" style="715" customWidth="1"/>
    <col min="2333" max="2333" width="49.83203125" style="715" customWidth="1"/>
    <col min="2334" max="2334" width="50" style="715" customWidth="1"/>
    <col min="2335" max="2335" width="45" style="715" customWidth="1"/>
    <col min="2336" max="2336" width="50.33203125" style="715" customWidth="1"/>
    <col min="2337" max="2337" width="50" style="715" customWidth="1"/>
    <col min="2338" max="2338" width="45" style="715" customWidth="1"/>
    <col min="2339" max="2339" width="50" style="715" customWidth="1"/>
    <col min="2340" max="2340" width="51" style="715" customWidth="1"/>
    <col min="2341" max="2553" width="9.33203125" style="715"/>
    <col min="2554" max="2554" width="186.33203125" style="715" customWidth="1"/>
    <col min="2555" max="2555" width="49.83203125" style="715" customWidth="1"/>
    <col min="2556" max="2556" width="38.33203125" style="715" customWidth="1"/>
    <col min="2557" max="2558" width="50" style="715" customWidth="1"/>
    <col min="2559" max="2559" width="37.6640625" style="715" customWidth="1"/>
    <col min="2560" max="2560" width="50" style="715" customWidth="1"/>
    <col min="2561" max="2561" width="51.33203125" style="715" customWidth="1"/>
    <col min="2562" max="2562" width="38.1640625" style="715" customWidth="1"/>
    <col min="2563" max="2564" width="50" style="715" customWidth="1"/>
    <col min="2565" max="2565" width="38.33203125" style="715" customWidth="1"/>
    <col min="2566" max="2567" width="50" style="715" customWidth="1"/>
    <col min="2568" max="2568" width="38.33203125" style="715" customWidth="1"/>
    <col min="2569" max="2569" width="50" style="715" customWidth="1"/>
    <col min="2570" max="2570" width="186.33203125" style="715" customWidth="1"/>
    <col min="2571" max="2571" width="50" style="715" customWidth="1"/>
    <col min="2572" max="2572" width="38.33203125" style="715" customWidth="1"/>
    <col min="2573" max="2574" width="49.83203125" style="715" customWidth="1"/>
    <col min="2575" max="2575" width="38.1640625" style="715" customWidth="1"/>
    <col min="2576" max="2576" width="49.83203125" style="715" customWidth="1"/>
    <col min="2577" max="2577" width="50" style="715" customWidth="1"/>
    <col min="2578" max="2578" width="38.33203125" style="715" customWidth="1"/>
    <col min="2579" max="2580" width="49.83203125" style="715" customWidth="1"/>
    <col min="2581" max="2581" width="38.1640625" style="715" customWidth="1"/>
    <col min="2582" max="2583" width="50" style="715" customWidth="1"/>
    <col min="2584" max="2584" width="38.33203125" style="715" customWidth="1"/>
    <col min="2585" max="2585" width="50" style="715" customWidth="1"/>
    <col min="2586" max="2586" width="186.33203125" style="715" customWidth="1"/>
    <col min="2587" max="2587" width="50" style="715" customWidth="1"/>
    <col min="2588" max="2588" width="38.33203125" style="715" customWidth="1"/>
    <col min="2589" max="2589" width="49.83203125" style="715" customWidth="1"/>
    <col min="2590" max="2590" width="50" style="715" customWidth="1"/>
    <col min="2591" max="2591" width="45" style="715" customWidth="1"/>
    <col min="2592" max="2592" width="50.33203125" style="715" customWidth="1"/>
    <col min="2593" max="2593" width="50" style="715" customWidth="1"/>
    <col min="2594" max="2594" width="45" style="715" customWidth="1"/>
    <col min="2595" max="2595" width="50" style="715" customWidth="1"/>
    <col min="2596" max="2596" width="51" style="715" customWidth="1"/>
    <col min="2597" max="2809" width="9.33203125" style="715"/>
    <col min="2810" max="2810" width="186.33203125" style="715" customWidth="1"/>
    <col min="2811" max="2811" width="49.83203125" style="715" customWidth="1"/>
    <col min="2812" max="2812" width="38.33203125" style="715" customWidth="1"/>
    <col min="2813" max="2814" width="50" style="715" customWidth="1"/>
    <col min="2815" max="2815" width="37.6640625" style="715" customWidth="1"/>
    <col min="2816" max="2816" width="50" style="715" customWidth="1"/>
    <col min="2817" max="2817" width="51.33203125" style="715" customWidth="1"/>
    <col min="2818" max="2818" width="38.1640625" style="715" customWidth="1"/>
    <col min="2819" max="2820" width="50" style="715" customWidth="1"/>
    <col min="2821" max="2821" width="38.33203125" style="715" customWidth="1"/>
    <col min="2822" max="2823" width="50" style="715" customWidth="1"/>
    <col min="2824" max="2824" width="38.33203125" style="715" customWidth="1"/>
    <col min="2825" max="2825" width="50" style="715" customWidth="1"/>
    <col min="2826" max="2826" width="186.33203125" style="715" customWidth="1"/>
    <col min="2827" max="2827" width="50" style="715" customWidth="1"/>
    <col min="2828" max="2828" width="38.33203125" style="715" customWidth="1"/>
    <col min="2829" max="2830" width="49.83203125" style="715" customWidth="1"/>
    <col min="2831" max="2831" width="38.1640625" style="715" customWidth="1"/>
    <col min="2832" max="2832" width="49.83203125" style="715" customWidth="1"/>
    <col min="2833" max="2833" width="50" style="715" customWidth="1"/>
    <col min="2834" max="2834" width="38.33203125" style="715" customWidth="1"/>
    <col min="2835" max="2836" width="49.83203125" style="715" customWidth="1"/>
    <col min="2837" max="2837" width="38.1640625" style="715" customWidth="1"/>
    <col min="2838" max="2839" width="50" style="715" customWidth="1"/>
    <col min="2840" max="2840" width="38.33203125" style="715" customWidth="1"/>
    <col min="2841" max="2841" width="50" style="715" customWidth="1"/>
    <col min="2842" max="2842" width="186.33203125" style="715" customWidth="1"/>
    <col min="2843" max="2843" width="50" style="715" customWidth="1"/>
    <col min="2844" max="2844" width="38.33203125" style="715" customWidth="1"/>
    <col min="2845" max="2845" width="49.83203125" style="715" customWidth="1"/>
    <col min="2846" max="2846" width="50" style="715" customWidth="1"/>
    <col min="2847" max="2847" width="45" style="715" customWidth="1"/>
    <col min="2848" max="2848" width="50.33203125" style="715" customWidth="1"/>
    <col min="2849" max="2849" width="50" style="715" customWidth="1"/>
    <col min="2850" max="2850" width="45" style="715" customWidth="1"/>
    <col min="2851" max="2851" width="50" style="715" customWidth="1"/>
    <col min="2852" max="2852" width="51" style="715" customWidth="1"/>
    <col min="2853" max="3065" width="9.33203125" style="715"/>
    <col min="3066" max="3066" width="186.33203125" style="715" customWidth="1"/>
    <col min="3067" max="3067" width="49.83203125" style="715" customWidth="1"/>
    <col min="3068" max="3068" width="38.33203125" style="715" customWidth="1"/>
    <col min="3069" max="3070" width="50" style="715" customWidth="1"/>
    <col min="3071" max="3071" width="37.6640625" style="715" customWidth="1"/>
    <col min="3072" max="3072" width="50" style="715" customWidth="1"/>
    <col min="3073" max="3073" width="51.33203125" style="715" customWidth="1"/>
    <col min="3074" max="3074" width="38.1640625" style="715" customWidth="1"/>
    <col min="3075" max="3076" width="50" style="715" customWidth="1"/>
    <col min="3077" max="3077" width="38.33203125" style="715" customWidth="1"/>
    <col min="3078" max="3079" width="50" style="715" customWidth="1"/>
    <col min="3080" max="3080" width="38.33203125" style="715" customWidth="1"/>
    <col min="3081" max="3081" width="50" style="715" customWidth="1"/>
    <col min="3082" max="3082" width="186.33203125" style="715" customWidth="1"/>
    <col min="3083" max="3083" width="50" style="715" customWidth="1"/>
    <col min="3084" max="3084" width="38.33203125" style="715" customWidth="1"/>
    <col min="3085" max="3086" width="49.83203125" style="715" customWidth="1"/>
    <col min="3087" max="3087" width="38.1640625" style="715" customWidth="1"/>
    <col min="3088" max="3088" width="49.83203125" style="715" customWidth="1"/>
    <col min="3089" max="3089" width="50" style="715" customWidth="1"/>
    <col min="3090" max="3090" width="38.33203125" style="715" customWidth="1"/>
    <col min="3091" max="3092" width="49.83203125" style="715" customWidth="1"/>
    <col min="3093" max="3093" width="38.1640625" style="715" customWidth="1"/>
    <col min="3094" max="3095" width="50" style="715" customWidth="1"/>
    <col min="3096" max="3096" width="38.33203125" style="715" customWidth="1"/>
    <col min="3097" max="3097" width="50" style="715" customWidth="1"/>
    <col min="3098" max="3098" width="186.33203125" style="715" customWidth="1"/>
    <col min="3099" max="3099" width="50" style="715" customWidth="1"/>
    <col min="3100" max="3100" width="38.33203125" style="715" customWidth="1"/>
    <col min="3101" max="3101" width="49.83203125" style="715" customWidth="1"/>
    <col min="3102" max="3102" width="50" style="715" customWidth="1"/>
    <col min="3103" max="3103" width="45" style="715" customWidth="1"/>
    <col min="3104" max="3104" width="50.33203125" style="715" customWidth="1"/>
    <col min="3105" max="3105" width="50" style="715" customWidth="1"/>
    <col min="3106" max="3106" width="45" style="715" customWidth="1"/>
    <col min="3107" max="3107" width="50" style="715" customWidth="1"/>
    <col min="3108" max="3108" width="51" style="715" customWidth="1"/>
    <col min="3109" max="3321" width="9.33203125" style="715"/>
    <col min="3322" max="3322" width="186.33203125" style="715" customWidth="1"/>
    <col min="3323" max="3323" width="49.83203125" style="715" customWidth="1"/>
    <col min="3324" max="3324" width="38.33203125" style="715" customWidth="1"/>
    <col min="3325" max="3326" width="50" style="715" customWidth="1"/>
    <col min="3327" max="3327" width="37.6640625" style="715" customWidth="1"/>
    <col min="3328" max="3328" width="50" style="715" customWidth="1"/>
    <col min="3329" max="3329" width="51.33203125" style="715" customWidth="1"/>
    <col min="3330" max="3330" width="38.1640625" style="715" customWidth="1"/>
    <col min="3331" max="3332" width="50" style="715" customWidth="1"/>
    <col min="3333" max="3333" width="38.33203125" style="715" customWidth="1"/>
    <col min="3334" max="3335" width="50" style="715" customWidth="1"/>
    <col min="3336" max="3336" width="38.33203125" style="715" customWidth="1"/>
    <col min="3337" max="3337" width="50" style="715" customWidth="1"/>
    <col min="3338" max="3338" width="186.33203125" style="715" customWidth="1"/>
    <col min="3339" max="3339" width="50" style="715" customWidth="1"/>
    <col min="3340" max="3340" width="38.33203125" style="715" customWidth="1"/>
    <col min="3341" max="3342" width="49.83203125" style="715" customWidth="1"/>
    <col min="3343" max="3343" width="38.1640625" style="715" customWidth="1"/>
    <col min="3344" max="3344" width="49.83203125" style="715" customWidth="1"/>
    <col min="3345" max="3345" width="50" style="715" customWidth="1"/>
    <col min="3346" max="3346" width="38.33203125" style="715" customWidth="1"/>
    <col min="3347" max="3348" width="49.83203125" style="715" customWidth="1"/>
    <col min="3349" max="3349" width="38.1640625" style="715" customWidth="1"/>
    <col min="3350" max="3351" width="50" style="715" customWidth="1"/>
    <col min="3352" max="3352" width="38.33203125" style="715" customWidth="1"/>
    <col min="3353" max="3353" width="50" style="715" customWidth="1"/>
    <col min="3354" max="3354" width="186.33203125" style="715" customWidth="1"/>
    <col min="3355" max="3355" width="50" style="715" customWidth="1"/>
    <col min="3356" max="3356" width="38.33203125" style="715" customWidth="1"/>
    <col min="3357" max="3357" width="49.83203125" style="715" customWidth="1"/>
    <col min="3358" max="3358" width="50" style="715" customWidth="1"/>
    <col min="3359" max="3359" width="45" style="715" customWidth="1"/>
    <col min="3360" max="3360" width="50.33203125" style="715" customWidth="1"/>
    <col min="3361" max="3361" width="50" style="715" customWidth="1"/>
    <col min="3362" max="3362" width="45" style="715" customWidth="1"/>
    <col min="3363" max="3363" width="50" style="715" customWidth="1"/>
    <col min="3364" max="3364" width="51" style="715" customWidth="1"/>
    <col min="3365" max="3577" width="9.33203125" style="715"/>
    <col min="3578" max="3578" width="186.33203125" style="715" customWidth="1"/>
    <col min="3579" max="3579" width="49.83203125" style="715" customWidth="1"/>
    <col min="3580" max="3580" width="38.33203125" style="715" customWidth="1"/>
    <col min="3581" max="3582" width="50" style="715" customWidth="1"/>
    <col min="3583" max="3583" width="37.6640625" style="715" customWidth="1"/>
    <col min="3584" max="3584" width="50" style="715" customWidth="1"/>
    <col min="3585" max="3585" width="51.33203125" style="715" customWidth="1"/>
    <col min="3586" max="3586" width="38.1640625" style="715" customWidth="1"/>
    <col min="3587" max="3588" width="50" style="715" customWidth="1"/>
    <col min="3589" max="3589" width="38.33203125" style="715" customWidth="1"/>
    <col min="3590" max="3591" width="50" style="715" customWidth="1"/>
    <col min="3592" max="3592" width="38.33203125" style="715" customWidth="1"/>
    <col min="3593" max="3593" width="50" style="715" customWidth="1"/>
    <col min="3594" max="3594" width="186.33203125" style="715" customWidth="1"/>
    <col min="3595" max="3595" width="50" style="715" customWidth="1"/>
    <col min="3596" max="3596" width="38.33203125" style="715" customWidth="1"/>
    <col min="3597" max="3598" width="49.83203125" style="715" customWidth="1"/>
    <col min="3599" max="3599" width="38.1640625" style="715" customWidth="1"/>
    <col min="3600" max="3600" width="49.83203125" style="715" customWidth="1"/>
    <col min="3601" max="3601" width="50" style="715" customWidth="1"/>
    <col min="3602" max="3602" width="38.33203125" style="715" customWidth="1"/>
    <col min="3603" max="3604" width="49.83203125" style="715" customWidth="1"/>
    <col min="3605" max="3605" width="38.1640625" style="715" customWidth="1"/>
    <col min="3606" max="3607" width="50" style="715" customWidth="1"/>
    <col min="3608" max="3608" width="38.33203125" style="715" customWidth="1"/>
    <col min="3609" max="3609" width="50" style="715" customWidth="1"/>
    <col min="3610" max="3610" width="186.33203125" style="715" customWidth="1"/>
    <col min="3611" max="3611" width="50" style="715" customWidth="1"/>
    <col min="3612" max="3612" width="38.33203125" style="715" customWidth="1"/>
    <col min="3613" max="3613" width="49.83203125" style="715" customWidth="1"/>
    <col min="3614" max="3614" width="50" style="715" customWidth="1"/>
    <col min="3615" max="3615" width="45" style="715" customWidth="1"/>
    <col min="3616" max="3616" width="50.33203125" style="715" customWidth="1"/>
    <col min="3617" max="3617" width="50" style="715" customWidth="1"/>
    <col min="3618" max="3618" width="45" style="715" customWidth="1"/>
    <col min="3619" max="3619" width="50" style="715" customWidth="1"/>
    <col min="3620" max="3620" width="51" style="715" customWidth="1"/>
    <col min="3621" max="3833" width="9.33203125" style="715"/>
    <col min="3834" max="3834" width="186.33203125" style="715" customWidth="1"/>
    <col min="3835" max="3835" width="49.83203125" style="715" customWidth="1"/>
    <col min="3836" max="3836" width="38.33203125" style="715" customWidth="1"/>
    <col min="3837" max="3838" width="50" style="715" customWidth="1"/>
    <col min="3839" max="3839" width="37.6640625" style="715" customWidth="1"/>
    <col min="3840" max="3840" width="50" style="715" customWidth="1"/>
    <col min="3841" max="3841" width="51.33203125" style="715" customWidth="1"/>
    <col min="3842" max="3842" width="38.1640625" style="715" customWidth="1"/>
    <col min="3843" max="3844" width="50" style="715" customWidth="1"/>
    <col min="3845" max="3845" width="38.33203125" style="715" customWidth="1"/>
    <col min="3846" max="3847" width="50" style="715" customWidth="1"/>
    <col min="3848" max="3848" width="38.33203125" style="715" customWidth="1"/>
    <col min="3849" max="3849" width="50" style="715" customWidth="1"/>
    <col min="3850" max="3850" width="186.33203125" style="715" customWidth="1"/>
    <col min="3851" max="3851" width="50" style="715" customWidth="1"/>
    <col min="3852" max="3852" width="38.33203125" style="715" customWidth="1"/>
    <col min="3853" max="3854" width="49.83203125" style="715" customWidth="1"/>
    <col min="3855" max="3855" width="38.1640625" style="715" customWidth="1"/>
    <col min="3856" max="3856" width="49.83203125" style="715" customWidth="1"/>
    <col min="3857" max="3857" width="50" style="715" customWidth="1"/>
    <col min="3858" max="3858" width="38.33203125" style="715" customWidth="1"/>
    <col min="3859" max="3860" width="49.83203125" style="715" customWidth="1"/>
    <col min="3861" max="3861" width="38.1640625" style="715" customWidth="1"/>
    <col min="3862" max="3863" width="50" style="715" customWidth="1"/>
    <col min="3864" max="3864" width="38.33203125" style="715" customWidth="1"/>
    <col min="3865" max="3865" width="50" style="715" customWidth="1"/>
    <col min="3866" max="3866" width="186.33203125" style="715" customWidth="1"/>
    <col min="3867" max="3867" width="50" style="715" customWidth="1"/>
    <col min="3868" max="3868" width="38.33203125" style="715" customWidth="1"/>
    <col min="3869" max="3869" width="49.83203125" style="715" customWidth="1"/>
    <col min="3870" max="3870" width="50" style="715" customWidth="1"/>
    <col min="3871" max="3871" width="45" style="715" customWidth="1"/>
    <col min="3872" max="3872" width="50.33203125" style="715" customWidth="1"/>
    <col min="3873" max="3873" width="50" style="715" customWidth="1"/>
    <col min="3874" max="3874" width="45" style="715" customWidth="1"/>
    <col min="3875" max="3875" width="50" style="715" customWidth="1"/>
    <col min="3876" max="3876" width="51" style="715" customWidth="1"/>
    <col min="3877" max="4089" width="9.33203125" style="715"/>
    <col min="4090" max="4090" width="186.33203125" style="715" customWidth="1"/>
    <col min="4091" max="4091" width="49.83203125" style="715" customWidth="1"/>
    <col min="4092" max="4092" width="38.33203125" style="715" customWidth="1"/>
    <col min="4093" max="4094" width="50" style="715" customWidth="1"/>
    <col min="4095" max="4095" width="37.6640625" style="715" customWidth="1"/>
    <col min="4096" max="4096" width="50" style="715" customWidth="1"/>
    <col min="4097" max="4097" width="51.33203125" style="715" customWidth="1"/>
    <col min="4098" max="4098" width="38.1640625" style="715" customWidth="1"/>
    <col min="4099" max="4100" width="50" style="715" customWidth="1"/>
    <col min="4101" max="4101" width="38.33203125" style="715" customWidth="1"/>
    <col min="4102" max="4103" width="50" style="715" customWidth="1"/>
    <col min="4104" max="4104" width="38.33203125" style="715" customWidth="1"/>
    <col min="4105" max="4105" width="50" style="715" customWidth="1"/>
    <col min="4106" max="4106" width="186.33203125" style="715" customWidth="1"/>
    <col min="4107" max="4107" width="50" style="715" customWidth="1"/>
    <col min="4108" max="4108" width="38.33203125" style="715" customWidth="1"/>
    <col min="4109" max="4110" width="49.83203125" style="715" customWidth="1"/>
    <col min="4111" max="4111" width="38.1640625" style="715" customWidth="1"/>
    <col min="4112" max="4112" width="49.83203125" style="715" customWidth="1"/>
    <col min="4113" max="4113" width="50" style="715" customWidth="1"/>
    <col min="4114" max="4114" width="38.33203125" style="715" customWidth="1"/>
    <col min="4115" max="4116" width="49.83203125" style="715" customWidth="1"/>
    <col min="4117" max="4117" width="38.1640625" style="715" customWidth="1"/>
    <col min="4118" max="4119" width="50" style="715" customWidth="1"/>
    <col min="4120" max="4120" width="38.33203125" style="715" customWidth="1"/>
    <col min="4121" max="4121" width="50" style="715" customWidth="1"/>
    <col min="4122" max="4122" width="186.33203125" style="715" customWidth="1"/>
    <col min="4123" max="4123" width="50" style="715" customWidth="1"/>
    <col min="4124" max="4124" width="38.33203125" style="715" customWidth="1"/>
    <col min="4125" max="4125" width="49.83203125" style="715" customWidth="1"/>
    <col min="4126" max="4126" width="50" style="715" customWidth="1"/>
    <col min="4127" max="4127" width="45" style="715" customWidth="1"/>
    <col min="4128" max="4128" width="50.33203125" style="715" customWidth="1"/>
    <col min="4129" max="4129" width="50" style="715" customWidth="1"/>
    <col min="4130" max="4130" width="45" style="715" customWidth="1"/>
    <col min="4131" max="4131" width="50" style="715" customWidth="1"/>
    <col min="4132" max="4132" width="51" style="715" customWidth="1"/>
    <col min="4133" max="4345" width="9.33203125" style="715"/>
    <col min="4346" max="4346" width="186.33203125" style="715" customWidth="1"/>
    <col min="4347" max="4347" width="49.83203125" style="715" customWidth="1"/>
    <col min="4348" max="4348" width="38.33203125" style="715" customWidth="1"/>
    <col min="4349" max="4350" width="50" style="715" customWidth="1"/>
    <col min="4351" max="4351" width="37.6640625" style="715" customWidth="1"/>
    <col min="4352" max="4352" width="50" style="715" customWidth="1"/>
    <col min="4353" max="4353" width="51.33203125" style="715" customWidth="1"/>
    <col min="4354" max="4354" width="38.1640625" style="715" customWidth="1"/>
    <col min="4355" max="4356" width="50" style="715" customWidth="1"/>
    <col min="4357" max="4357" width="38.33203125" style="715" customWidth="1"/>
    <col min="4358" max="4359" width="50" style="715" customWidth="1"/>
    <col min="4360" max="4360" width="38.33203125" style="715" customWidth="1"/>
    <col min="4361" max="4361" width="50" style="715" customWidth="1"/>
    <col min="4362" max="4362" width="186.33203125" style="715" customWidth="1"/>
    <col min="4363" max="4363" width="50" style="715" customWidth="1"/>
    <col min="4364" max="4364" width="38.33203125" style="715" customWidth="1"/>
    <col min="4365" max="4366" width="49.83203125" style="715" customWidth="1"/>
    <col min="4367" max="4367" width="38.1640625" style="715" customWidth="1"/>
    <col min="4368" max="4368" width="49.83203125" style="715" customWidth="1"/>
    <col min="4369" max="4369" width="50" style="715" customWidth="1"/>
    <col min="4370" max="4370" width="38.33203125" style="715" customWidth="1"/>
    <col min="4371" max="4372" width="49.83203125" style="715" customWidth="1"/>
    <col min="4373" max="4373" width="38.1640625" style="715" customWidth="1"/>
    <col min="4374" max="4375" width="50" style="715" customWidth="1"/>
    <col min="4376" max="4376" width="38.33203125" style="715" customWidth="1"/>
    <col min="4377" max="4377" width="50" style="715" customWidth="1"/>
    <col min="4378" max="4378" width="186.33203125" style="715" customWidth="1"/>
    <col min="4379" max="4379" width="50" style="715" customWidth="1"/>
    <col min="4380" max="4380" width="38.33203125" style="715" customWidth="1"/>
    <col min="4381" max="4381" width="49.83203125" style="715" customWidth="1"/>
    <col min="4382" max="4382" width="50" style="715" customWidth="1"/>
    <col min="4383" max="4383" width="45" style="715" customWidth="1"/>
    <col min="4384" max="4384" width="50.33203125" style="715" customWidth="1"/>
    <col min="4385" max="4385" width="50" style="715" customWidth="1"/>
    <col min="4386" max="4386" width="45" style="715" customWidth="1"/>
    <col min="4387" max="4387" width="50" style="715" customWidth="1"/>
    <col min="4388" max="4388" width="51" style="715" customWidth="1"/>
    <col min="4389" max="4601" width="9.33203125" style="715"/>
    <col min="4602" max="4602" width="186.33203125" style="715" customWidth="1"/>
    <col min="4603" max="4603" width="49.83203125" style="715" customWidth="1"/>
    <col min="4604" max="4604" width="38.33203125" style="715" customWidth="1"/>
    <col min="4605" max="4606" width="50" style="715" customWidth="1"/>
    <col min="4607" max="4607" width="37.6640625" style="715" customWidth="1"/>
    <col min="4608" max="4608" width="50" style="715" customWidth="1"/>
    <col min="4609" max="4609" width="51.33203125" style="715" customWidth="1"/>
    <col min="4610" max="4610" width="38.1640625" style="715" customWidth="1"/>
    <col min="4611" max="4612" width="50" style="715" customWidth="1"/>
    <col min="4613" max="4613" width="38.33203125" style="715" customWidth="1"/>
    <col min="4614" max="4615" width="50" style="715" customWidth="1"/>
    <col min="4616" max="4616" width="38.33203125" style="715" customWidth="1"/>
    <col min="4617" max="4617" width="50" style="715" customWidth="1"/>
    <col min="4618" max="4618" width="186.33203125" style="715" customWidth="1"/>
    <col min="4619" max="4619" width="50" style="715" customWidth="1"/>
    <col min="4620" max="4620" width="38.33203125" style="715" customWidth="1"/>
    <col min="4621" max="4622" width="49.83203125" style="715" customWidth="1"/>
    <col min="4623" max="4623" width="38.1640625" style="715" customWidth="1"/>
    <col min="4624" max="4624" width="49.83203125" style="715" customWidth="1"/>
    <col min="4625" max="4625" width="50" style="715" customWidth="1"/>
    <col min="4626" max="4626" width="38.33203125" style="715" customWidth="1"/>
    <col min="4627" max="4628" width="49.83203125" style="715" customWidth="1"/>
    <col min="4629" max="4629" width="38.1640625" style="715" customWidth="1"/>
    <col min="4630" max="4631" width="50" style="715" customWidth="1"/>
    <col min="4632" max="4632" width="38.33203125" style="715" customWidth="1"/>
    <col min="4633" max="4633" width="50" style="715" customWidth="1"/>
    <col min="4634" max="4634" width="186.33203125" style="715" customWidth="1"/>
    <col min="4635" max="4635" width="50" style="715" customWidth="1"/>
    <col min="4636" max="4636" width="38.33203125" style="715" customWidth="1"/>
    <col min="4637" max="4637" width="49.83203125" style="715" customWidth="1"/>
    <col min="4638" max="4638" width="50" style="715" customWidth="1"/>
    <col min="4639" max="4639" width="45" style="715" customWidth="1"/>
    <col min="4640" max="4640" width="50.33203125" style="715" customWidth="1"/>
    <col min="4641" max="4641" width="50" style="715" customWidth="1"/>
    <col min="4642" max="4642" width="45" style="715" customWidth="1"/>
    <col min="4643" max="4643" width="50" style="715" customWidth="1"/>
    <col min="4644" max="4644" width="51" style="715" customWidth="1"/>
    <col min="4645" max="4857" width="9.33203125" style="715"/>
    <col min="4858" max="4858" width="186.33203125" style="715" customWidth="1"/>
    <col min="4859" max="4859" width="49.83203125" style="715" customWidth="1"/>
    <col min="4860" max="4860" width="38.33203125" style="715" customWidth="1"/>
    <col min="4861" max="4862" width="50" style="715" customWidth="1"/>
    <col min="4863" max="4863" width="37.6640625" style="715" customWidth="1"/>
    <col min="4864" max="4864" width="50" style="715" customWidth="1"/>
    <col min="4865" max="4865" width="51.33203125" style="715" customWidth="1"/>
    <col min="4866" max="4866" width="38.1640625" style="715" customWidth="1"/>
    <col min="4867" max="4868" width="50" style="715" customWidth="1"/>
    <col min="4869" max="4869" width="38.33203125" style="715" customWidth="1"/>
    <col min="4870" max="4871" width="50" style="715" customWidth="1"/>
    <col min="4872" max="4872" width="38.33203125" style="715" customWidth="1"/>
    <col min="4873" max="4873" width="50" style="715" customWidth="1"/>
    <col min="4874" max="4874" width="186.33203125" style="715" customWidth="1"/>
    <col min="4875" max="4875" width="50" style="715" customWidth="1"/>
    <col min="4876" max="4876" width="38.33203125" style="715" customWidth="1"/>
    <col min="4877" max="4878" width="49.83203125" style="715" customWidth="1"/>
    <col min="4879" max="4879" width="38.1640625" style="715" customWidth="1"/>
    <col min="4880" max="4880" width="49.83203125" style="715" customWidth="1"/>
    <col min="4881" max="4881" width="50" style="715" customWidth="1"/>
    <col min="4882" max="4882" width="38.33203125" style="715" customWidth="1"/>
    <col min="4883" max="4884" width="49.83203125" style="715" customWidth="1"/>
    <col min="4885" max="4885" width="38.1640625" style="715" customWidth="1"/>
    <col min="4886" max="4887" width="50" style="715" customWidth="1"/>
    <col min="4888" max="4888" width="38.33203125" style="715" customWidth="1"/>
    <col min="4889" max="4889" width="50" style="715" customWidth="1"/>
    <col min="4890" max="4890" width="186.33203125" style="715" customWidth="1"/>
    <col min="4891" max="4891" width="50" style="715" customWidth="1"/>
    <col min="4892" max="4892" width="38.33203125" style="715" customWidth="1"/>
    <col min="4893" max="4893" width="49.83203125" style="715" customWidth="1"/>
    <col min="4894" max="4894" width="50" style="715" customWidth="1"/>
    <col min="4895" max="4895" width="45" style="715" customWidth="1"/>
    <col min="4896" max="4896" width="50.33203125" style="715" customWidth="1"/>
    <col min="4897" max="4897" width="50" style="715" customWidth="1"/>
    <col min="4898" max="4898" width="45" style="715" customWidth="1"/>
    <col min="4899" max="4899" width="50" style="715" customWidth="1"/>
    <col min="4900" max="4900" width="51" style="715" customWidth="1"/>
    <col min="4901" max="5113" width="9.33203125" style="715"/>
    <col min="5114" max="5114" width="186.33203125" style="715" customWidth="1"/>
    <col min="5115" max="5115" width="49.83203125" style="715" customWidth="1"/>
    <col min="5116" max="5116" width="38.33203125" style="715" customWidth="1"/>
    <col min="5117" max="5118" width="50" style="715" customWidth="1"/>
    <col min="5119" max="5119" width="37.6640625" style="715" customWidth="1"/>
    <col min="5120" max="5120" width="50" style="715" customWidth="1"/>
    <col min="5121" max="5121" width="51.33203125" style="715" customWidth="1"/>
    <col min="5122" max="5122" width="38.1640625" style="715" customWidth="1"/>
    <col min="5123" max="5124" width="50" style="715" customWidth="1"/>
    <col min="5125" max="5125" width="38.33203125" style="715" customWidth="1"/>
    <col min="5126" max="5127" width="50" style="715" customWidth="1"/>
    <col min="5128" max="5128" width="38.33203125" style="715" customWidth="1"/>
    <col min="5129" max="5129" width="50" style="715" customWidth="1"/>
    <col min="5130" max="5130" width="186.33203125" style="715" customWidth="1"/>
    <col min="5131" max="5131" width="50" style="715" customWidth="1"/>
    <col min="5132" max="5132" width="38.33203125" style="715" customWidth="1"/>
    <col min="5133" max="5134" width="49.83203125" style="715" customWidth="1"/>
    <col min="5135" max="5135" width="38.1640625" style="715" customWidth="1"/>
    <col min="5136" max="5136" width="49.83203125" style="715" customWidth="1"/>
    <col min="5137" max="5137" width="50" style="715" customWidth="1"/>
    <col min="5138" max="5138" width="38.33203125" style="715" customWidth="1"/>
    <col min="5139" max="5140" width="49.83203125" style="715" customWidth="1"/>
    <col min="5141" max="5141" width="38.1640625" style="715" customWidth="1"/>
    <col min="5142" max="5143" width="50" style="715" customWidth="1"/>
    <col min="5144" max="5144" width="38.33203125" style="715" customWidth="1"/>
    <col min="5145" max="5145" width="50" style="715" customWidth="1"/>
    <col min="5146" max="5146" width="186.33203125" style="715" customWidth="1"/>
    <col min="5147" max="5147" width="50" style="715" customWidth="1"/>
    <col min="5148" max="5148" width="38.33203125" style="715" customWidth="1"/>
    <col min="5149" max="5149" width="49.83203125" style="715" customWidth="1"/>
    <col min="5150" max="5150" width="50" style="715" customWidth="1"/>
    <col min="5151" max="5151" width="45" style="715" customWidth="1"/>
    <col min="5152" max="5152" width="50.33203125" style="715" customWidth="1"/>
    <col min="5153" max="5153" width="50" style="715" customWidth="1"/>
    <col min="5154" max="5154" width="45" style="715" customWidth="1"/>
    <col min="5155" max="5155" width="50" style="715" customWidth="1"/>
    <col min="5156" max="5156" width="51" style="715" customWidth="1"/>
    <col min="5157" max="5369" width="9.33203125" style="715"/>
    <col min="5370" max="5370" width="186.33203125" style="715" customWidth="1"/>
    <col min="5371" max="5371" width="49.83203125" style="715" customWidth="1"/>
    <col min="5372" max="5372" width="38.33203125" style="715" customWidth="1"/>
    <col min="5373" max="5374" width="50" style="715" customWidth="1"/>
    <col min="5375" max="5375" width="37.6640625" style="715" customWidth="1"/>
    <col min="5376" max="5376" width="50" style="715" customWidth="1"/>
    <col min="5377" max="5377" width="51.33203125" style="715" customWidth="1"/>
    <col min="5378" max="5378" width="38.1640625" style="715" customWidth="1"/>
    <col min="5379" max="5380" width="50" style="715" customWidth="1"/>
    <col min="5381" max="5381" width="38.33203125" style="715" customWidth="1"/>
    <col min="5382" max="5383" width="50" style="715" customWidth="1"/>
    <col min="5384" max="5384" width="38.33203125" style="715" customWidth="1"/>
    <col min="5385" max="5385" width="50" style="715" customWidth="1"/>
    <col min="5386" max="5386" width="186.33203125" style="715" customWidth="1"/>
    <col min="5387" max="5387" width="50" style="715" customWidth="1"/>
    <col min="5388" max="5388" width="38.33203125" style="715" customWidth="1"/>
    <col min="5389" max="5390" width="49.83203125" style="715" customWidth="1"/>
    <col min="5391" max="5391" width="38.1640625" style="715" customWidth="1"/>
    <col min="5392" max="5392" width="49.83203125" style="715" customWidth="1"/>
    <col min="5393" max="5393" width="50" style="715" customWidth="1"/>
    <col min="5394" max="5394" width="38.33203125" style="715" customWidth="1"/>
    <col min="5395" max="5396" width="49.83203125" style="715" customWidth="1"/>
    <col min="5397" max="5397" width="38.1640625" style="715" customWidth="1"/>
    <col min="5398" max="5399" width="50" style="715" customWidth="1"/>
    <col min="5400" max="5400" width="38.33203125" style="715" customWidth="1"/>
    <col min="5401" max="5401" width="50" style="715" customWidth="1"/>
    <col min="5402" max="5402" width="186.33203125" style="715" customWidth="1"/>
    <col min="5403" max="5403" width="50" style="715" customWidth="1"/>
    <col min="5404" max="5404" width="38.33203125" style="715" customWidth="1"/>
    <col min="5405" max="5405" width="49.83203125" style="715" customWidth="1"/>
    <col min="5406" max="5406" width="50" style="715" customWidth="1"/>
    <col min="5407" max="5407" width="45" style="715" customWidth="1"/>
    <col min="5408" max="5408" width="50.33203125" style="715" customWidth="1"/>
    <col min="5409" max="5409" width="50" style="715" customWidth="1"/>
    <col min="5410" max="5410" width="45" style="715" customWidth="1"/>
    <col min="5411" max="5411" width="50" style="715" customWidth="1"/>
    <col min="5412" max="5412" width="51" style="715" customWidth="1"/>
    <col min="5413" max="5625" width="9.33203125" style="715"/>
    <col min="5626" max="5626" width="186.33203125" style="715" customWidth="1"/>
    <col min="5627" max="5627" width="49.83203125" style="715" customWidth="1"/>
    <col min="5628" max="5628" width="38.33203125" style="715" customWidth="1"/>
    <col min="5629" max="5630" width="50" style="715" customWidth="1"/>
    <col min="5631" max="5631" width="37.6640625" style="715" customWidth="1"/>
    <col min="5632" max="5632" width="50" style="715" customWidth="1"/>
    <col min="5633" max="5633" width="51.33203125" style="715" customWidth="1"/>
    <col min="5634" max="5634" width="38.1640625" style="715" customWidth="1"/>
    <col min="5635" max="5636" width="50" style="715" customWidth="1"/>
    <col min="5637" max="5637" width="38.33203125" style="715" customWidth="1"/>
    <col min="5638" max="5639" width="50" style="715" customWidth="1"/>
    <col min="5640" max="5640" width="38.33203125" style="715" customWidth="1"/>
    <col min="5641" max="5641" width="50" style="715" customWidth="1"/>
    <col min="5642" max="5642" width="186.33203125" style="715" customWidth="1"/>
    <col min="5643" max="5643" width="50" style="715" customWidth="1"/>
    <col min="5644" max="5644" width="38.33203125" style="715" customWidth="1"/>
    <col min="5645" max="5646" width="49.83203125" style="715" customWidth="1"/>
    <col min="5647" max="5647" width="38.1640625" style="715" customWidth="1"/>
    <col min="5648" max="5648" width="49.83203125" style="715" customWidth="1"/>
    <col min="5649" max="5649" width="50" style="715" customWidth="1"/>
    <col min="5650" max="5650" width="38.33203125" style="715" customWidth="1"/>
    <col min="5651" max="5652" width="49.83203125" style="715" customWidth="1"/>
    <col min="5653" max="5653" width="38.1640625" style="715" customWidth="1"/>
    <col min="5654" max="5655" width="50" style="715" customWidth="1"/>
    <col min="5656" max="5656" width="38.33203125" style="715" customWidth="1"/>
    <col min="5657" max="5657" width="50" style="715" customWidth="1"/>
    <col min="5658" max="5658" width="186.33203125" style="715" customWidth="1"/>
    <col min="5659" max="5659" width="50" style="715" customWidth="1"/>
    <col min="5660" max="5660" width="38.33203125" style="715" customWidth="1"/>
    <col min="5661" max="5661" width="49.83203125" style="715" customWidth="1"/>
    <col min="5662" max="5662" width="50" style="715" customWidth="1"/>
    <col min="5663" max="5663" width="45" style="715" customWidth="1"/>
    <col min="5664" max="5664" width="50.33203125" style="715" customWidth="1"/>
    <col min="5665" max="5665" width="50" style="715" customWidth="1"/>
    <col min="5666" max="5666" width="45" style="715" customWidth="1"/>
    <col min="5667" max="5667" width="50" style="715" customWidth="1"/>
    <col min="5668" max="5668" width="51" style="715" customWidth="1"/>
    <col min="5669" max="5881" width="9.33203125" style="715"/>
    <col min="5882" max="5882" width="186.33203125" style="715" customWidth="1"/>
    <col min="5883" max="5883" width="49.83203125" style="715" customWidth="1"/>
    <col min="5884" max="5884" width="38.33203125" style="715" customWidth="1"/>
    <col min="5885" max="5886" width="50" style="715" customWidth="1"/>
    <col min="5887" max="5887" width="37.6640625" style="715" customWidth="1"/>
    <col min="5888" max="5888" width="50" style="715" customWidth="1"/>
    <col min="5889" max="5889" width="51.33203125" style="715" customWidth="1"/>
    <col min="5890" max="5890" width="38.1640625" style="715" customWidth="1"/>
    <col min="5891" max="5892" width="50" style="715" customWidth="1"/>
    <col min="5893" max="5893" width="38.33203125" style="715" customWidth="1"/>
    <col min="5894" max="5895" width="50" style="715" customWidth="1"/>
    <col min="5896" max="5896" width="38.33203125" style="715" customWidth="1"/>
    <col min="5897" max="5897" width="50" style="715" customWidth="1"/>
    <col min="5898" max="5898" width="186.33203125" style="715" customWidth="1"/>
    <col min="5899" max="5899" width="50" style="715" customWidth="1"/>
    <col min="5900" max="5900" width="38.33203125" style="715" customWidth="1"/>
    <col min="5901" max="5902" width="49.83203125" style="715" customWidth="1"/>
    <col min="5903" max="5903" width="38.1640625" style="715" customWidth="1"/>
    <col min="5904" max="5904" width="49.83203125" style="715" customWidth="1"/>
    <col min="5905" max="5905" width="50" style="715" customWidth="1"/>
    <col min="5906" max="5906" width="38.33203125" style="715" customWidth="1"/>
    <col min="5907" max="5908" width="49.83203125" style="715" customWidth="1"/>
    <col min="5909" max="5909" width="38.1640625" style="715" customWidth="1"/>
    <col min="5910" max="5911" width="50" style="715" customWidth="1"/>
    <col min="5912" max="5912" width="38.33203125" style="715" customWidth="1"/>
    <col min="5913" max="5913" width="50" style="715" customWidth="1"/>
    <col min="5914" max="5914" width="186.33203125" style="715" customWidth="1"/>
    <col min="5915" max="5915" width="50" style="715" customWidth="1"/>
    <col min="5916" max="5916" width="38.33203125" style="715" customWidth="1"/>
    <col min="5917" max="5917" width="49.83203125" style="715" customWidth="1"/>
    <col min="5918" max="5918" width="50" style="715" customWidth="1"/>
    <col min="5919" max="5919" width="45" style="715" customWidth="1"/>
    <col min="5920" max="5920" width="50.33203125" style="715" customWidth="1"/>
    <col min="5921" max="5921" width="50" style="715" customWidth="1"/>
    <col min="5922" max="5922" width="45" style="715" customWidth="1"/>
    <col min="5923" max="5923" width="50" style="715" customWidth="1"/>
    <col min="5924" max="5924" width="51" style="715" customWidth="1"/>
    <col min="5925" max="6137" width="9.33203125" style="715"/>
    <col min="6138" max="6138" width="186.33203125" style="715" customWidth="1"/>
    <col min="6139" max="6139" width="49.83203125" style="715" customWidth="1"/>
    <col min="6140" max="6140" width="38.33203125" style="715" customWidth="1"/>
    <col min="6141" max="6142" width="50" style="715" customWidth="1"/>
    <col min="6143" max="6143" width="37.6640625" style="715" customWidth="1"/>
    <col min="6144" max="6144" width="50" style="715" customWidth="1"/>
    <col min="6145" max="6145" width="51.33203125" style="715" customWidth="1"/>
    <col min="6146" max="6146" width="38.1640625" style="715" customWidth="1"/>
    <col min="6147" max="6148" width="50" style="715" customWidth="1"/>
    <col min="6149" max="6149" width="38.33203125" style="715" customWidth="1"/>
    <col min="6150" max="6151" width="50" style="715" customWidth="1"/>
    <col min="6152" max="6152" width="38.33203125" style="715" customWidth="1"/>
    <col min="6153" max="6153" width="50" style="715" customWidth="1"/>
    <col min="6154" max="6154" width="186.33203125" style="715" customWidth="1"/>
    <col min="6155" max="6155" width="50" style="715" customWidth="1"/>
    <col min="6156" max="6156" width="38.33203125" style="715" customWidth="1"/>
    <col min="6157" max="6158" width="49.83203125" style="715" customWidth="1"/>
    <col min="6159" max="6159" width="38.1640625" style="715" customWidth="1"/>
    <col min="6160" max="6160" width="49.83203125" style="715" customWidth="1"/>
    <col min="6161" max="6161" width="50" style="715" customWidth="1"/>
    <col min="6162" max="6162" width="38.33203125" style="715" customWidth="1"/>
    <col min="6163" max="6164" width="49.83203125" style="715" customWidth="1"/>
    <col min="6165" max="6165" width="38.1640625" style="715" customWidth="1"/>
    <col min="6166" max="6167" width="50" style="715" customWidth="1"/>
    <col min="6168" max="6168" width="38.33203125" style="715" customWidth="1"/>
    <col min="6169" max="6169" width="50" style="715" customWidth="1"/>
    <col min="6170" max="6170" width="186.33203125" style="715" customWidth="1"/>
    <col min="6171" max="6171" width="50" style="715" customWidth="1"/>
    <col min="6172" max="6172" width="38.33203125" style="715" customWidth="1"/>
    <col min="6173" max="6173" width="49.83203125" style="715" customWidth="1"/>
    <col min="6174" max="6174" width="50" style="715" customWidth="1"/>
    <col min="6175" max="6175" width="45" style="715" customWidth="1"/>
    <col min="6176" max="6176" width="50.33203125" style="715" customWidth="1"/>
    <col min="6177" max="6177" width="50" style="715" customWidth="1"/>
    <col min="6178" max="6178" width="45" style="715" customWidth="1"/>
    <col min="6179" max="6179" width="50" style="715" customWidth="1"/>
    <col min="6180" max="6180" width="51" style="715" customWidth="1"/>
    <col min="6181" max="6393" width="9.33203125" style="715"/>
    <col min="6394" max="6394" width="186.33203125" style="715" customWidth="1"/>
    <col min="6395" max="6395" width="49.83203125" style="715" customWidth="1"/>
    <col min="6396" max="6396" width="38.33203125" style="715" customWidth="1"/>
    <col min="6397" max="6398" width="50" style="715" customWidth="1"/>
    <col min="6399" max="6399" width="37.6640625" style="715" customWidth="1"/>
    <col min="6400" max="6400" width="50" style="715" customWidth="1"/>
    <col min="6401" max="6401" width="51.33203125" style="715" customWidth="1"/>
    <col min="6402" max="6402" width="38.1640625" style="715" customWidth="1"/>
    <col min="6403" max="6404" width="50" style="715" customWidth="1"/>
    <col min="6405" max="6405" width="38.33203125" style="715" customWidth="1"/>
    <col min="6406" max="6407" width="50" style="715" customWidth="1"/>
    <col min="6408" max="6408" width="38.33203125" style="715" customWidth="1"/>
    <col min="6409" max="6409" width="50" style="715" customWidth="1"/>
    <col min="6410" max="6410" width="186.33203125" style="715" customWidth="1"/>
    <col min="6411" max="6411" width="50" style="715" customWidth="1"/>
    <col min="6412" max="6412" width="38.33203125" style="715" customWidth="1"/>
    <col min="6413" max="6414" width="49.83203125" style="715" customWidth="1"/>
    <col min="6415" max="6415" width="38.1640625" style="715" customWidth="1"/>
    <col min="6416" max="6416" width="49.83203125" style="715" customWidth="1"/>
    <col min="6417" max="6417" width="50" style="715" customWidth="1"/>
    <col min="6418" max="6418" width="38.33203125" style="715" customWidth="1"/>
    <col min="6419" max="6420" width="49.83203125" style="715" customWidth="1"/>
    <col min="6421" max="6421" width="38.1640625" style="715" customWidth="1"/>
    <col min="6422" max="6423" width="50" style="715" customWidth="1"/>
    <col min="6424" max="6424" width="38.33203125" style="715" customWidth="1"/>
    <col min="6425" max="6425" width="50" style="715" customWidth="1"/>
    <col min="6426" max="6426" width="186.33203125" style="715" customWidth="1"/>
    <col min="6427" max="6427" width="50" style="715" customWidth="1"/>
    <col min="6428" max="6428" width="38.33203125" style="715" customWidth="1"/>
    <col min="6429" max="6429" width="49.83203125" style="715" customWidth="1"/>
    <col min="6430" max="6430" width="50" style="715" customWidth="1"/>
    <col min="6431" max="6431" width="45" style="715" customWidth="1"/>
    <col min="6432" max="6432" width="50.33203125" style="715" customWidth="1"/>
    <col min="6433" max="6433" width="50" style="715" customWidth="1"/>
    <col min="6434" max="6434" width="45" style="715" customWidth="1"/>
    <col min="6435" max="6435" width="50" style="715" customWidth="1"/>
    <col min="6436" max="6436" width="51" style="715" customWidth="1"/>
    <col min="6437" max="6649" width="9.33203125" style="715"/>
    <col min="6650" max="6650" width="186.33203125" style="715" customWidth="1"/>
    <col min="6651" max="6651" width="49.83203125" style="715" customWidth="1"/>
    <col min="6652" max="6652" width="38.33203125" style="715" customWidth="1"/>
    <col min="6653" max="6654" width="50" style="715" customWidth="1"/>
    <col min="6655" max="6655" width="37.6640625" style="715" customWidth="1"/>
    <col min="6656" max="6656" width="50" style="715" customWidth="1"/>
    <col min="6657" max="6657" width="51.33203125" style="715" customWidth="1"/>
    <col min="6658" max="6658" width="38.1640625" style="715" customWidth="1"/>
    <col min="6659" max="6660" width="50" style="715" customWidth="1"/>
    <col min="6661" max="6661" width="38.33203125" style="715" customWidth="1"/>
    <col min="6662" max="6663" width="50" style="715" customWidth="1"/>
    <col min="6664" max="6664" width="38.33203125" style="715" customWidth="1"/>
    <col min="6665" max="6665" width="50" style="715" customWidth="1"/>
    <col min="6666" max="6666" width="186.33203125" style="715" customWidth="1"/>
    <col min="6667" max="6667" width="50" style="715" customWidth="1"/>
    <col min="6668" max="6668" width="38.33203125" style="715" customWidth="1"/>
    <col min="6669" max="6670" width="49.83203125" style="715" customWidth="1"/>
    <col min="6671" max="6671" width="38.1640625" style="715" customWidth="1"/>
    <col min="6672" max="6672" width="49.83203125" style="715" customWidth="1"/>
    <col min="6673" max="6673" width="50" style="715" customWidth="1"/>
    <col min="6674" max="6674" width="38.33203125" style="715" customWidth="1"/>
    <col min="6675" max="6676" width="49.83203125" style="715" customWidth="1"/>
    <col min="6677" max="6677" width="38.1640625" style="715" customWidth="1"/>
    <col min="6678" max="6679" width="50" style="715" customWidth="1"/>
    <col min="6680" max="6680" width="38.33203125" style="715" customWidth="1"/>
    <col min="6681" max="6681" width="50" style="715" customWidth="1"/>
    <col min="6682" max="6682" width="186.33203125" style="715" customWidth="1"/>
    <col min="6683" max="6683" width="50" style="715" customWidth="1"/>
    <col min="6684" max="6684" width="38.33203125" style="715" customWidth="1"/>
    <col min="6685" max="6685" width="49.83203125" style="715" customWidth="1"/>
    <col min="6686" max="6686" width="50" style="715" customWidth="1"/>
    <col min="6687" max="6687" width="45" style="715" customWidth="1"/>
    <col min="6688" max="6688" width="50.33203125" style="715" customWidth="1"/>
    <col min="6689" max="6689" width="50" style="715" customWidth="1"/>
    <col min="6690" max="6690" width="45" style="715" customWidth="1"/>
    <col min="6691" max="6691" width="50" style="715" customWidth="1"/>
    <col min="6692" max="6692" width="51" style="715" customWidth="1"/>
    <col min="6693" max="6905" width="9.33203125" style="715"/>
    <col min="6906" max="6906" width="186.33203125" style="715" customWidth="1"/>
    <col min="6907" max="6907" width="49.83203125" style="715" customWidth="1"/>
    <col min="6908" max="6908" width="38.33203125" style="715" customWidth="1"/>
    <col min="6909" max="6910" width="50" style="715" customWidth="1"/>
    <col min="6911" max="6911" width="37.6640625" style="715" customWidth="1"/>
    <col min="6912" max="6912" width="50" style="715" customWidth="1"/>
    <col min="6913" max="6913" width="51.33203125" style="715" customWidth="1"/>
    <col min="6914" max="6914" width="38.1640625" style="715" customWidth="1"/>
    <col min="6915" max="6916" width="50" style="715" customWidth="1"/>
    <col min="6917" max="6917" width="38.33203125" style="715" customWidth="1"/>
    <col min="6918" max="6919" width="50" style="715" customWidth="1"/>
    <col min="6920" max="6920" width="38.33203125" style="715" customWidth="1"/>
    <col min="6921" max="6921" width="50" style="715" customWidth="1"/>
    <col min="6922" max="6922" width="186.33203125" style="715" customWidth="1"/>
    <col min="6923" max="6923" width="50" style="715" customWidth="1"/>
    <col min="6924" max="6924" width="38.33203125" style="715" customWidth="1"/>
    <col min="6925" max="6926" width="49.83203125" style="715" customWidth="1"/>
    <col min="6927" max="6927" width="38.1640625" style="715" customWidth="1"/>
    <col min="6928" max="6928" width="49.83203125" style="715" customWidth="1"/>
    <col min="6929" max="6929" width="50" style="715" customWidth="1"/>
    <col min="6930" max="6930" width="38.33203125" style="715" customWidth="1"/>
    <col min="6931" max="6932" width="49.83203125" style="715" customWidth="1"/>
    <col min="6933" max="6933" width="38.1640625" style="715" customWidth="1"/>
    <col min="6934" max="6935" width="50" style="715" customWidth="1"/>
    <col min="6936" max="6936" width="38.33203125" style="715" customWidth="1"/>
    <col min="6937" max="6937" width="50" style="715" customWidth="1"/>
    <col min="6938" max="6938" width="186.33203125" style="715" customWidth="1"/>
    <col min="6939" max="6939" width="50" style="715" customWidth="1"/>
    <col min="6940" max="6940" width="38.33203125" style="715" customWidth="1"/>
    <col min="6941" max="6941" width="49.83203125" style="715" customWidth="1"/>
    <col min="6942" max="6942" width="50" style="715" customWidth="1"/>
    <col min="6943" max="6943" width="45" style="715" customWidth="1"/>
    <col min="6944" max="6944" width="50.33203125" style="715" customWidth="1"/>
    <col min="6945" max="6945" width="50" style="715" customWidth="1"/>
    <col min="6946" max="6946" width="45" style="715" customWidth="1"/>
    <col min="6947" max="6947" width="50" style="715" customWidth="1"/>
    <col min="6948" max="6948" width="51" style="715" customWidth="1"/>
    <col min="6949" max="7161" width="9.33203125" style="715"/>
    <col min="7162" max="7162" width="186.33203125" style="715" customWidth="1"/>
    <col min="7163" max="7163" width="49.83203125" style="715" customWidth="1"/>
    <col min="7164" max="7164" width="38.33203125" style="715" customWidth="1"/>
    <col min="7165" max="7166" width="50" style="715" customWidth="1"/>
    <col min="7167" max="7167" width="37.6640625" style="715" customWidth="1"/>
    <col min="7168" max="7168" width="50" style="715" customWidth="1"/>
    <col min="7169" max="7169" width="51.33203125" style="715" customWidth="1"/>
    <col min="7170" max="7170" width="38.1640625" style="715" customWidth="1"/>
    <col min="7171" max="7172" width="50" style="715" customWidth="1"/>
    <col min="7173" max="7173" width="38.33203125" style="715" customWidth="1"/>
    <col min="7174" max="7175" width="50" style="715" customWidth="1"/>
    <col min="7176" max="7176" width="38.33203125" style="715" customWidth="1"/>
    <col min="7177" max="7177" width="50" style="715" customWidth="1"/>
    <col min="7178" max="7178" width="186.33203125" style="715" customWidth="1"/>
    <col min="7179" max="7179" width="50" style="715" customWidth="1"/>
    <col min="7180" max="7180" width="38.33203125" style="715" customWidth="1"/>
    <col min="7181" max="7182" width="49.83203125" style="715" customWidth="1"/>
    <col min="7183" max="7183" width="38.1640625" style="715" customWidth="1"/>
    <col min="7184" max="7184" width="49.83203125" style="715" customWidth="1"/>
    <col min="7185" max="7185" width="50" style="715" customWidth="1"/>
    <col min="7186" max="7186" width="38.33203125" style="715" customWidth="1"/>
    <col min="7187" max="7188" width="49.83203125" style="715" customWidth="1"/>
    <col min="7189" max="7189" width="38.1640625" style="715" customWidth="1"/>
    <col min="7190" max="7191" width="50" style="715" customWidth="1"/>
    <col min="7192" max="7192" width="38.33203125" style="715" customWidth="1"/>
    <col min="7193" max="7193" width="50" style="715" customWidth="1"/>
    <col min="7194" max="7194" width="186.33203125" style="715" customWidth="1"/>
    <col min="7195" max="7195" width="50" style="715" customWidth="1"/>
    <col min="7196" max="7196" width="38.33203125" style="715" customWidth="1"/>
    <col min="7197" max="7197" width="49.83203125" style="715" customWidth="1"/>
    <col min="7198" max="7198" width="50" style="715" customWidth="1"/>
    <col min="7199" max="7199" width="45" style="715" customWidth="1"/>
    <col min="7200" max="7200" width="50.33203125" style="715" customWidth="1"/>
    <col min="7201" max="7201" width="50" style="715" customWidth="1"/>
    <col min="7202" max="7202" width="45" style="715" customWidth="1"/>
    <col min="7203" max="7203" width="50" style="715" customWidth="1"/>
    <col min="7204" max="7204" width="51" style="715" customWidth="1"/>
    <col min="7205" max="7417" width="9.33203125" style="715"/>
    <col min="7418" max="7418" width="186.33203125" style="715" customWidth="1"/>
    <col min="7419" max="7419" width="49.83203125" style="715" customWidth="1"/>
    <col min="7420" max="7420" width="38.33203125" style="715" customWidth="1"/>
    <col min="7421" max="7422" width="50" style="715" customWidth="1"/>
    <col min="7423" max="7423" width="37.6640625" style="715" customWidth="1"/>
    <col min="7424" max="7424" width="50" style="715" customWidth="1"/>
    <col min="7425" max="7425" width="51.33203125" style="715" customWidth="1"/>
    <col min="7426" max="7426" width="38.1640625" style="715" customWidth="1"/>
    <col min="7427" max="7428" width="50" style="715" customWidth="1"/>
    <col min="7429" max="7429" width="38.33203125" style="715" customWidth="1"/>
    <col min="7430" max="7431" width="50" style="715" customWidth="1"/>
    <col min="7432" max="7432" width="38.33203125" style="715" customWidth="1"/>
    <col min="7433" max="7433" width="50" style="715" customWidth="1"/>
    <col min="7434" max="7434" width="186.33203125" style="715" customWidth="1"/>
    <col min="7435" max="7435" width="50" style="715" customWidth="1"/>
    <col min="7436" max="7436" width="38.33203125" style="715" customWidth="1"/>
    <col min="7437" max="7438" width="49.83203125" style="715" customWidth="1"/>
    <col min="7439" max="7439" width="38.1640625" style="715" customWidth="1"/>
    <col min="7440" max="7440" width="49.83203125" style="715" customWidth="1"/>
    <col min="7441" max="7441" width="50" style="715" customWidth="1"/>
    <col min="7442" max="7442" width="38.33203125" style="715" customWidth="1"/>
    <col min="7443" max="7444" width="49.83203125" style="715" customWidth="1"/>
    <col min="7445" max="7445" width="38.1640625" style="715" customWidth="1"/>
    <col min="7446" max="7447" width="50" style="715" customWidth="1"/>
    <col min="7448" max="7448" width="38.33203125" style="715" customWidth="1"/>
    <col min="7449" max="7449" width="50" style="715" customWidth="1"/>
    <col min="7450" max="7450" width="186.33203125" style="715" customWidth="1"/>
    <col min="7451" max="7451" width="50" style="715" customWidth="1"/>
    <col min="7452" max="7452" width="38.33203125" style="715" customWidth="1"/>
    <col min="7453" max="7453" width="49.83203125" style="715" customWidth="1"/>
    <col min="7454" max="7454" width="50" style="715" customWidth="1"/>
    <col min="7455" max="7455" width="45" style="715" customWidth="1"/>
    <col min="7456" max="7456" width="50.33203125" style="715" customWidth="1"/>
    <col min="7457" max="7457" width="50" style="715" customWidth="1"/>
    <col min="7458" max="7458" width="45" style="715" customWidth="1"/>
    <col min="7459" max="7459" width="50" style="715" customWidth="1"/>
    <col min="7460" max="7460" width="51" style="715" customWidth="1"/>
    <col min="7461" max="7673" width="9.33203125" style="715"/>
    <col min="7674" max="7674" width="186.33203125" style="715" customWidth="1"/>
    <col min="7675" max="7675" width="49.83203125" style="715" customWidth="1"/>
    <col min="7676" max="7676" width="38.33203125" style="715" customWidth="1"/>
    <col min="7677" max="7678" width="50" style="715" customWidth="1"/>
    <col min="7679" max="7679" width="37.6640625" style="715" customWidth="1"/>
    <col min="7680" max="7680" width="50" style="715" customWidth="1"/>
    <col min="7681" max="7681" width="51.33203125" style="715" customWidth="1"/>
    <col min="7682" max="7682" width="38.1640625" style="715" customWidth="1"/>
    <col min="7683" max="7684" width="50" style="715" customWidth="1"/>
    <col min="7685" max="7685" width="38.33203125" style="715" customWidth="1"/>
    <col min="7686" max="7687" width="50" style="715" customWidth="1"/>
    <col min="7688" max="7688" width="38.33203125" style="715" customWidth="1"/>
    <col min="7689" max="7689" width="50" style="715" customWidth="1"/>
    <col min="7690" max="7690" width="186.33203125" style="715" customWidth="1"/>
    <col min="7691" max="7691" width="50" style="715" customWidth="1"/>
    <col min="7692" max="7692" width="38.33203125" style="715" customWidth="1"/>
    <col min="7693" max="7694" width="49.83203125" style="715" customWidth="1"/>
    <col min="7695" max="7695" width="38.1640625" style="715" customWidth="1"/>
    <col min="7696" max="7696" width="49.83203125" style="715" customWidth="1"/>
    <col min="7697" max="7697" width="50" style="715" customWidth="1"/>
    <col min="7698" max="7698" width="38.33203125" style="715" customWidth="1"/>
    <col min="7699" max="7700" width="49.83203125" style="715" customWidth="1"/>
    <col min="7701" max="7701" width="38.1640625" style="715" customWidth="1"/>
    <col min="7702" max="7703" width="50" style="715" customWidth="1"/>
    <col min="7704" max="7704" width="38.33203125" style="715" customWidth="1"/>
    <col min="7705" max="7705" width="50" style="715" customWidth="1"/>
    <col min="7706" max="7706" width="186.33203125" style="715" customWidth="1"/>
    <col min="7707" max="7707" width="50" style="715" customWidth="1"/>
    <col min="7708" max="7708" width="38.33203125" style="715" customWidth="1"/>
    <col min="7709" max="7709" width="49.83203125" style="715" customWidth="1"/>
    <col min="7710" max="7710" width="50" style="715" customWidth="1"/>
    <col min="7711" max="7711" width="45" style="715" customWidth="1"/>
    <col min="7712" max="7712" width="50.33203125" style="715" customWidth="1"/>
    <col min="7713" max="7713" width="50" style="715" customWidth="1"/>
    <col min="7714" max="7714" width="45" style="715" customWidth="1"/>
    <col min="7715" max="7715" width="50" style="715" customWidth="1"/>
    <col min="7716" max="7716" width="51" style="715" customWidth="1"/>
    <col min="7717" max="7929" width="9.33203125" style="715"/>
    <col min="7930" max="7930" width="186.33203125" style="715" customWidth="1"/>
    <col min="7931" max="7931" width="49.83203125" style="715" customWidth="1"/>
    <col min="7932" max="7932" width="38.33203125" style="715" customWidth="1"/>
    <col min="7933" max="7934" width="50" style="715" customWidth="1"/>
    <col min="7935" max="7935" width="37.6640625" style="715" customWidth="1"/>
    <col min="7936" max="7936" width="50" style="715" customWidth="1"/>
    <col min="7937" max="7937" width="51.33203125" style="715" customWidth="1"/>
    <col min="7938" max="7938" width="38.1640625" style="715" customWidth="1"/>
    <col min="7939" max="7940" width="50" style="715" customWidth="1"/>
    <col min="7941" max="7941" width="38.33203125" style="715" customWidth="1"/>
    <col min="7942" max="7943" width="50" style="715" customWidth="1"/>
    <col min="7944" max="7944" width="38.33203125" style="715" customWidth="1"/>
    <col min="7945" max="7945" width="50" style="715" customWidth="1"/>
    <col min="7946" max="7946" width="186.33203125" style="715" customWidth="1"/>
    <col min="7947" max="7947" width="50" style="715" customWidth="1"/>
    <col min="7948" max="7948" width="38.33203125" style="715" customWidth="1"/>
    <col min="7949" max="7950" width="49.83203125" style="715" customWidth="1"/>
    <col min="7951" max="7951" width="38.1640625" style="715" customWidth="1"/>
    <col min="7952" max="7952" width="49.83203125" style="715" customWidth="1"/>
    <col min="7953" max="7953" width="50" style="715" customWidth="1"/>
    <col min="7954" max="7954" width="38.33203125" style="715" customWidth="1"/>
    <col min="7955" max="7956" width="49.83203125" style="715" customWidth="1"/>
    <col min="7957" max="7957" width="38.1640625" style="715" customWidth="1"/>
    <col min="7958" max="7959" width="50" style="715" customWidth="1"/>
    <col min="7960" max="7960" width="38.33203125" style="715" customWidth="1"/>
    <col min="7961" max="7961" width="50" style="715" customWidth="1"/>
    <col min="7962" max="7962" width="186.33203125" style="715" customWidth="1"/>
    <col min="7963" max="7963" width="50" style="715" customWidth="1"/>
    <col min="7964" max="7964" width="38.33203125" style="715" customWidth="1"/>
    <col min="7965" max="7965" width="49.83203125" style="715" customWidth="1"/>
    <col min="7966" max="7966" width="50" style="715" customWidth="1"/>
    <col min="7967" max="7967" width="45" style="715" customWidth="1"/>
    <col min="7968" max="7968" width="50.33203125" style="715" customWidth="1"/>
    <col min="7969" max="7969" width="50" style="715" customWidth="1"/>
    <col min="7970" max="7970" width="45" style="715" customWidth="1"/>
    <col min="7971" max="7971" width="50" style="715" customWidth="1"/>
    <col min="7972" max="7972" width="51" style="715" customWidth="1"/>
    <col min="7973" max="8185" width="9.33203125" style="715"/>
    <col min="8186" max="8186" width="186.33203125" style="715" customWidth="1"/>
    <col min="8187" max="8187" width="49.83203125" style="715" customWidth="1"/>
    <col min="8188" max="8188" width="38.33203125" style="715" customWidth="1"/>
    <col min="8189" max="8190" width="50" style="715" customWidth="1"/>
    <col min="8191" max="8191" width="37.6640625" style="715" customWidth="1"/>
    <col min="8192" max="8192" width="50" style="715" customWidth="1"/>
    <col min="8193" max="8193" width="51.33203125" style="715" customWidth="1"/>
    <col min="8194" max="8194" width="38.1640625" style="715" customWidth="1"/>
    <col min="8195" max="8196" width="50" style="715" customWidth="1"/>
    <col min="8197" max="8197" width="38.33203125" style="715" customWidth="1"/>
    <col min="8198" max="8199" width="50" style="715" customWidth="1"/>
    <col min="8200" max="8200" width="38.33203125" style="715" customWidth="1"/>
    <col min="8201" max="8201" width="50" style="715" customWidth="1"/>
    <col min="8202" max="8202" width="186.33203125" style="715" customWidth="1"/>
    <col min="8203" max="8203" width="50" style="715" customWidth="1"/>
    <col min="8204" max="8204" width="38.33203125" style="715" customWidth="1"/>
    <col min="8205" max="8206" width="49.83203125" style="715" customWidth="1"/>
    <col min="8207" max="8207" width="38.1640625" style="715" customWidth="1"/>
    <col min="8208" max="8208" width="49.83203125" style="715" customWidth="1"/>
    <col min="8209" max="8209" width="50" style="715" customWidth="1"/>
    <col min="8210" max="8210" width="38.33203125" style="715" customWidth="1"/>
    <col min="8211" max="8212" width="49.83203125" style="715" customWidth="1"/>
    <col min="8213" max="8213" width="38.1640625" style="715" customWidth="1"/>
    <col min="8214" max="8215" width="50" style="715" customWidth="1"/>
    <col min="8216" max="8216" width="38.33203125" style="715" customWidth="1"/>
    <col min="8217" max="8217" width="50" style="715" customWidth="1"/>
    <col min="8218" max="8218" width="186.33203125" style="715" customWidth="1"/>
    <col min="8219" max="8219" width="50" style="715" customWidth="1"/>
    <col min="8220" max="8220" width="38.33203125" style="715" customWidth="1"/>
    <col min="8221" max="8221" width="49.83203125" style="715" customWidth="1"/>
    <col min="8222" max="8222" width="50" style="715" customWidth="1"/>
    <col min="8223" max="8223" width="45" style="715" customWidth="1"/>
    <col min="8224" max="8224" width="50.33203125" style="715" customWidth="1"/>
    <col min="8225" max="8225" width="50" style="715" customWidth="1"/>
    <col min="8226" max="8226" width="45" style="715" customWidth="1"/>
    <col min="8227" max="8227" width="50" style="715" customWidth="1"/>
    <col min="8228" max="8228" width="51" style="715" customWidth="1"/>
    <col min="8229" max="8441" width="9.33203125" style="715"/>
    <col min="8442" max="8442" width="186.33203125" style="715" customWidth="1"/>
    <col min="8443" max="8443" width="49.83203125" style="715" customWidth="1"/>
    <col min="8444" max="8444" width="38.33203125" style="715" customWidth="1"/>
    <col min="8445" max="8446" width="50" style="715" customWidth="1"/>
    <col min="8447" max="8447" width="37.6640625" style="715" customWidth="1"/>
    <col min="8448" max="8448" width="50" style="715" customWidth="1"/>
    <col min="8449" max="8449" width="51.33203125" style="715" customWidth="1"/>
    <col min="8450" max="8450" width="38.1640625" style="715" customWidth="1"/>
    <col min="8451" max="8452" width="50" style="715" customWidth="1"/>
    <col min="8453" max="8453" width="38.33203125" style="715" customWidth="1"/>
    <col min="8454" max="8455" width="50" style="715" customWidth="1"/>
    <col min="8456" max="8456" width="38.33203125" style="715" customWidth="1"/>
    <col min="8457" max="8457" width="50" style="715" customWidth="1"/>
    <col min="8458" max="8458" width="186.33203125" style="715" customWidth="1"/>
    <col min="8459" max="8459" width="50" style="715" customWidth="1"/>
    <col min="8460" max="8460" width="38.33203125" style="715" customWidth="1"/>
    <col min="8461" max="8462" width="49.83203125" style="715" customWidth="1"/>
    <col min="8463" max="8463" width="38.1640625" style="715" customWidth="1"/>
    <col min="8464" max="8464" width="49.83203125" style="715" customWidth="1"/>
    <col min="8465" max="8465" width="50" style="715" customWidth="1"/>
    <col min="8466" max="8466" width="38.33203125" style="715" customWidth="1"/>
    <col min="8467" max="8468" width="49.83203125" style="715" customWidth="1"/>
    <col min="8469" max="8469" width="38.1640625" style="715" customWidth="1"/>
    <col min="8470" max="8471" width="50" style="715" customWidth="1"/>
    <col min="8472" max="8472" width="38.33203125" style="715" customWidth="1"/>
    <col min="8473" max="8473" width="50" style="715" customWidth="1"/>
    <col min="8474" max="8474" width="186.33203125" style="715" customWidth="1"/>
    <col min="8475" max="8475" width="50" style="715" customWidth="1"/>
    <col min="8476" max="8476" width="38.33203125" style="715" customWidth="1"/>
    <col min="8477" max="8477" width="49.83203125" style="715" customWidth="1"/>
    <col min="8478" max="8478" width="50" style="715" customWidth="1"/>
    <col min="8479" max="8479" width="45" style="715" customWidth="1"/>
    <col min="8480" max="8480" width="50.33203125" style="715" customWidth="1"/>
    <col min="8481" max="8481" width="50" style="715" customWidth="1"/>
    <col min="8482" max="8482" width="45" style="715" customWidth="1"/>
    <col min="8483" max="8483" width="50" style="715" customWidth="1"/>
    <col min="8484" max="8484" width="51" style="715" customWidth="1"/>
    <col min="8485" max="8697" width="9.33203125" style="715"/>
    <col min="8698" max="8698" width="186.33203125" style="715" customWidth="1"/>
    <col min="8699" max="8699" width="49.83203125" style="715" customWidth="1"/>
    <col min="8700" max="8700" width="38.33203125" style="715" customWidth="1"/>
    <col min="8701" max="8702" width="50" style="715" customWidth="1"/>
    <col min="8703" max="8703" width="37.6640625" style="715" customWidth="1"/>
    <col min="8704" max="8704" width="50" style="715" customWidth="1"/>
    <col min="8705" max="8705" width="51.33203125" style="715" customWidth="1"/>
    <col min="8706" max="8706" width="38.1640625" style="715" customWidth="1"/>
    <col min="8707" max="8708" width="50" style="715" customWidth="1"/>
    <col min="8709" max="8709" width="38.33203125" style="715" customWidth="1"/>
    <col min="8710" max="8711" width="50" style="715" customWidth="1"/>
    <col min="8712" max="8712" width="38.33203125" style="715" customWidth="1"/>
    <col min="8713" max="8713" width="50" style="715" customWidth="1"/>
    <col min="8714" max="8714" width="186.33203125" style="715" customWidth="1"/>
    <col min="8715" max="8715" width="50" style="715" customWidth="1"/>
    <col min="8716" max="8716" width="38.33203125" style="715" customWidth="1"/>
    <col min="8717" max="8718" width="49.83203125" style="715" customWidth="1"/>
    <col min="8719" max="8719" width="38.1640625" style="715" customWidth="1"/>
    <col min="8720" max="8720" width="49.83203125" style="715" customWidth="1"/>
    <col min="8721" max="8721" width="50" style="715" customWidth="1"/>
    <col min="8722" max="8722" width="38.33203125" style="715" customWidth="1"/>
    <col min="8723" max="8724" width="49.83203125" style="715" customWidth="1"/>
    <col min="8725" max="8725" width="38.1640625" style="715" customWidth="1"/>
    <col min="8726" max="8727" width="50" style="715" customWidth="1"/>
    <col min="8728" max="8728" width="38.33203125" style="715" customWidth="1"/>
    <col min="8729" max="8729" width="50" style="715" customWidth="1"/>
    <col min="8730" max="8730" width="186.33203125" style="715" customWidth="1"/>
    <col min="8731" max="8731" width="50" style="715" customWidth="1"/>
    <col min="8732" max="8732" width="38.33203125" style="715" customWidth="1"/>
    <col min="8733" max="8733" width="49.83203125" style="715" customWidth="1"/>
    <col min="8734" max="8734" width="50" style="715" customWidth="1"/>
    <col min="8735" max="8735" width="45" style="715" customWidth="1"/>
    <col min="8736" max="8736" width="50.33203125" style="715" customWidth="1"/>
    <col min="8737" max="8737" width="50" style="715" customWidth="1"/>
    <col min="8738" max="8738" width="45" style="715" customWidth="1"/>
    <col min="8739" max="8739" width="50" style="715" customWidth="1"/>
    <col min="8740" max="8740" width="51" style="715" customWidth="1"/>
    <col min="8741" max="8953" width="9.33203125" style="715"/>
    <col min="8954" max="8954" width="186.33203125" style="715" customWidth="1"/>
    <col min="8955" max="8955" width="49.83203125" style="715" customWidth="1"/>
    <col min="8956" max="8956" width="38.33203125" style="715" customWidth="1"/>
    <col min="8957" max="8958" width="50" style="715" customWidth="1"/>
    <col min="8959" max="8959" width="37.6640625" style="715" customWidth="1"/>
    <col min="8960" max="8960" width="50" style="715" customWidth="1"/>
    <col min="8961" max="8961" width="51.33203125" style="715" customWidth="1"/>
    <col min="8962" max="8962" width="38.1640625" style="715" customWidth="1"/>
    <col min="8963" max="8964" width="50" style="715" customWidth="1"/>
    <col min="8965" max="8965" width="38.33203125" style="715" customWidth="1"/>
    <col min="8966" max="8967" width="50" style="715" customWidth="1"/>
    <col min="8968" max="8968" width="38.33203125" style="715" customWidth="1"/>
    <col min="8969" max="8969" width="50" style="715" customWidth="1"/>
    <col min="8970" max="8970" width="186.33203125" style="715" customWidth="1"/>
    <col min="8971" max="8971" width="50" style="715" customWidth="1"/>
    <col min="8972" max="8972" width="38.33203125" style="715" customWidth="1"/>
    <col min="8973" max="8974" width="49.83203125" style="715" customWidth="1"/>
    <col min="8975" max="8975" width="38.1640625" style="715" customWidth="1"/>
    <col min="8976" max="8976" width="49.83203125" style="715" customWidth="1"/>
    <col min="8977" max="8977" width="50" style="715" customWidth="1"/>
    <col min="8978" max="8978" width="38.33203125" style="715" customWidth="1"/>
    <col min="8979" max="8980" width="49.83203125" style="715" customWidth="1"/>
    <col min="8981" max="8981" width="38.1640625" style="715" customWidth="1"/>
    <col min="8982" max="8983" width="50" style="715" customWidth="1"/>
    <col min="8984" max="8984" width="38.33203125" style="715" customWidth="1"/>
    <col min="8985" max="8985" width="50" style="715" customWidth="1"/>
    <col min="8986" max="8986" width="186.33203125" style="715" customWidth="1"/>
    <col min="8987" max="8987" width="50" style="715" customWidth="1"/>
    <col min="8988" max="8988" width="38.33203125" style="715" customWidth="1"/>
    <col min="8989" max="8989" width="49.83203125" style="715" customWidth="1"/>
    <col min="8990" max="8990" width="50" style="715" customWidth="1"/>
    <col min="8991" max="8991" width="45" style="715" customWidth="1"/>
    <col min="8992" max="8992" width="50.33203125" style="715" customWidth="1"/>
    <col min="8993" max="8993" width="50" style="715" customWidth="1"/>
    <col min="8994" max="8994" width="45" style="715" customWidth="1"/>
    <col min="8995" max="8995" width="50" style="715" customWidth="1"/>
    <col min="8996" max="8996" width="51" style="715" customWidth="1"/>
    <col min="8997" max="9209" width="9.33203125" style="715"/>
    <col min="9210" max="9210" width="186.33203125" style="715" customWidth="1"/>
    <col min="9211" max="9211" width="49.83203125" style="715" customWidth="1"/>
    <col min="9212" max="9212" width="38.33203125" style="715" customWidth="1"/>
    <col min="9213" max="9214" width="50" style="715" customWidth="1"/>
    <col min="9215" max="9215" width="37.6640625" style="715" customWidth="1"/>
    <col min="9216" max="9216" width="50" style="715" customWidth="1"/>
    <col min="9217" max="9217" width="51.33203125" style="715" customWidth="1"/>
    <col min="9218" max="9218" width="38.1640625" style="715" customWidth="1"/>
    <col min="9219" max="9220" width="50" style="715" customWidth="1"/>
    <col min="9221" max="9221" width="38.33203125" style="715" customWidth="1"/>
    <col min="9222" max="9223" width="50" style="715" customWidth="1"/>
    <col min="9224" max="9224" width="38.33203125" style="715" customWidth="1"/>
    <col min="9225" max="9225" width="50" style="715" customWidth="1"/>
    <col min="9226" max="9226" width="186.33203125" style="715" customWidth="1"/>
    <col min="9227" max="9227" width="50" style="715" customWidth="1"/>
    <col min="9228" max="9228" width="38.33203125" style="715" customWidth="1"/>
    <col min="9229" max="9230" width="49.83203125" style="715" customWidth="1"/>
    <col min="9231" max="9231" width="38.1640625" style="715" customWidth="1"/>
    <col min="9232" max="9232" width="49.83203125" style="715" customWidth="1"/>
    <col min="9233" max="9233" width="50" style="715" customWidth="1"/>
    <col min="9234" max="9234" width="38.33203125" style="715" customWidth="1"/>
    <col min="9235" max="9236" width="49.83203125" style="715" customWidth="1"/>
    <col min="9237" max="9237" width="38.1640625" style="715" customWidth="1"/>
    <col min="9238" max="9239" width="50" style="715" customWidth="1"/>
    <col min="9240" max="9240" width="38.33203125" style="715" customWidth="1"/>
    <col min="9241" max="9241" width="50" style="715" customWidth="1"/>
    <col min="9242" max="9242" width="186.33203125" style="715" customWidth="1"/>
    <col min="9243" max="9243" width="50" style="715" customWidth="1"/>
    <col min="9244" max="9244" width="38.33203125" style="715" customWidth="1"/>
    <col min="9245" max="9245" width="49.83203125" style="715" customWidth="1"/>
    <col min="9246" max="9246" width="50" style="715" customWidth="1"/>
    <col min="9247" max="9247" width="45" style="715" customWidth="1"/>
    <col min="9248" max="9248" width="50.33203125" style="715" customWidth="1"/>
    <col min="9249" max="9249" width="50" style="715" customWidth="1"/>
    <col min="9250" max="9250" width="45" style="715" customWidth="1"/>
    <col min="9251" max="9251" width="50" style="715" customWidth="1"/>
    <col min="9252" max="9252" width="51" style="715" customWidth="1"/>
    <col min="9253" max="9465" width="9.33203125" style="715"/>
    <col min="9466" max="9466" width="186.33203125" style="715" customWidth="1"/>
    <col min="9467" max="9467" width="49.83203125" style="715" customWidth="1"/>
    <col min="9468" max="9468" width="38.33203125" style="715" customWidth="1"/>
    <col min="9469" max="9470" width="50" style="715" customWidth="1"/>
    <col min="9471" max="9471" width="37.6640625" style="715" customWidth="1"/>
    <col min="9472" max="9472" width="50" style="715" customWidth="1"/>
    <col min="9473" max="9473" width="51.33203125" style="715" customWidth="1"/>
    <col min="9474" max="9474" width="38.1640625" style="715" customWidth="1"/>
    <col min="9475" max="9476" width="50" style="715" customWidth="1"/>
    <col min="9477" max="9477" width="38.33203125" style="715" customWidth="1"/>
    <col min="9478" max="9479" width="50" style="715" customWidth="1"/>
    <col min="9480" max="9480" width="38.33203125" style="715" customWidth="1"/>
    <col min="9481" max="9481" width="50" style="715" customWidth="1"/>
    <col min="9482" max="9482" width="186.33203125" style="715" customWidth="1"/>
    <col min="9483" max="9483" width="50" style="715" customWidth="1"/>
    <col min="9484" max="9484" width="38.33203125" style="715" customWidth="1"/>
    <col min="9485" max="9486" width="49.83203125" style="715" customWidth="1"/>
    <col min="9487" max="9487" width="38.1640625" style="715" customWidth="1"/>
    <col min="9488" max="9488" width="49.83203125" style="715" customWidth="1"/>
    <col min="9489" max="9489" width="50" style="715" customWidth="1"/>
    <col min="9490" max="9490" width="38.33203125" style="715" customWidth="1"/>
    <col min="9491" max="9492" width="49.83203125" style="715" customWidth="1"/>
    <col min="9493" max="9493" width="38.1640625" style="715" customWidth="1"/>
    <col min="9494" max="9495" width="50" style="715" customWidth="1"/>
    <col min="9496" max="9496" width="38.33203125" style="715" customWidth="1"/>
    <col min="9497" max="9497" width="50" style="715" customWidth="1"/>
    <col min="9498" max="9498" width="186.33203125" style="715" customWidth="1"/>
    <col min="9499" max="9499" width="50" style="715" customWidth="1"/>
    <col min="9500" max="9500" width="38.33203125" style="715" customWidth="1"/>
    <col min="9501" max="9501" width="49.83203125" style="715" customWidth="1"/>
    <col min="9502" max="9502" width="50" style="715" customWidth="1"/>
    <col min="9503" max="9503" width="45" style="715" customWidth="1"/>
    <col min="9504" max="9504" width="50.33203125" style="715" customWidth="1"/>
    <col min="9505" max="9505" width="50" style="715" customWidth="1"/>
    <col min="9506" max="9506" width="45" style="715" customWidth="1"/>
    <col min="9507" max="9507" width="50" style="715" customWidth="1"/>
    <col min="9508" max="9508" width="51" style="715" customWidth="1"/>
    <col min="9509" max="9721" width="9.33203125" style="715"/>
    <col min="9722" max="9722" width="186.33203125" style="715" customWidth="1"/>
    <col min="9723" max="9723" width="49.83203125" style="715" customWidth="1"/>
    <col min="9724" max="9724" width="38.33203125" style="715" customWidth="1"/>
    <col min="9725" max="9726" width="50" style="715" customWidth="1"/>
    <col min="9727" max="9727" width="37.6640625" style="715" customWidth="1"/>
    <col min="9728" max="9728" width="50" style="715" customWidth="1"/>
    <col min="9729" max="9729" width="51.33203125" style="715" customWidth="1"/>
    <col min="9730" max="9730" width="38.1640625" style="715" customWidth="1"/>
    <col min="9731" max="9732" width="50" style="715" customWidth="1"/>
    <col min="9733" max="9733" width="38.33203125" style="715" customWidth="1"/>
    <col min="9734" max="9735" width="50" style="715" customWidth="1"/>
    <col min="9736" max="9736" width="38.33203125" style="715" customWidth="1"/>
    <col min="9737" max="9737" width="50" style="715" customWidth="1"/>
    <col min="9738" max="9738" width="186.33203125" style="715" customWidth="1"/>
    <col min="9739" max="9739" width="50" style="715" customWidth="1"/>
    <col min="9740" max="9740" width="38.33203125" style="715" customWidth="1"/>
    <col min="9741" max="9742" width="49.83203125" style="715" customWidth="1"/>
    <col min="9743" max="9743" width="38.1640625" style="715" customWidth="1"/>
    <col min="9744" max="9744" width="49.83203125" style="715" customWidth="1"/>
    <col min="9745" max="9745" width="50" style="715" customWidth="1"/>
    <col min="9746" max="9746" width="38.33203125" style="715" customWidth="1"/>
    <col min="9747" max="9748" width="49.83203125" style="715" customWidth="1"/>
    <col min="9749" max="9749" width="38.1640625" style="715" customWidth="1"/>
    <col min="9750" max="9751" width="50" style="715" customWidth="1"/>
    <col min="9752" max="9752" width="38.33203125" style="715" customWidth="1"/>
    <col min="9753" max="9753" width="50" style="715" customWidth="1"/>
    <col min="9754" max="9754" width="186.33203125" style="715" customWidth="1"/>
    <col min="9755" max="9755" width="50" style="715" customWidth="1"/>
    <col min="9756" max="9756" width="38.33203125" style="715" customWidth="1"/>
    <col min="9757" max="9757" width="49.83203125" style="715" customWidth="1"/>
    <col min="9758" max="9758" width="50" style="715" customWidth="1"/>
    <col min="9759" max="9759" width="45" style="715" customWidth="1"/>
    <col min="9760" max="9760" width="50.33203125" style="715" customWidth="1"/>
    <col min="9761" max="9761" width="50" style="715" customWidth="1"/>
    <col min="9762" max="9762" width="45" style="715" customWidth="1"/>
    <col min="9763" max="9763" width="50" style="715" customWidth="1"/>
    <col min="9764" max="9764" width="51" style="715" customWidth="1"/>
    <col min="9765" max="9977" width="9.33203125" style="715"/>
    <col min="9978" max="9978" width="186.33203125" style="715" customWidth="1"/>
    <col min="9979" max="9979" width="49.83203125" style="715" customWidth="1"/>
    <col min="9980" max="9980" width="38.33203125" style="715" customWidth="1"/>
    <col min="9981" max="9982" width="50" style="715" customWidth="1"/>
    <col min="9983" max="9983" width="37.6640625" style="715" customWidth="1"/>
    <col min="9984" max="9984" width="50" style="715" customWidth="1"/>
    <col min="9985" max="9985" width="51.33203125" style="715" customWidth="1"/>
    <col min="9986" max="9986" width="38.1640625" style="715" customWidth="1"/>
    <col min="9987" max="9988" width="50" style="715" customWidth="1"/>
    <col min="9989" max="9989" width="38.33203125" style="715" customWidth="1"/>
    <col min="9990" max="9991" width="50" style="715" customWidth="1"/>
    <col min="9992" max="9992" width="38.33203125" style="715" customWidth="1"/>
    <col min="9993" max="9993" width="50" style="715" customWidth="1"/>
    <col min="9994" max="9994" width="186.33203125" style="715" customWidth="1"/>
    <col min="9995" max="9995" width="50" style="715" customWidth="1"/>
    <col min="9996" max="9996" width="38.33203125" style="715" customWidth="1"/>
    <col min="9997" max="9998" width="49.83203125" style="715" customWidth="1"/>
    <col min="9999" max="9999" width="38.1640625" style="715" customWidth="1"/>
    <col min="10000" max="10000" width="49.83203125" style="715" customWidth="1"/>
    <col min="10001" max="10001" width="50" style="715" customWidth="1"/>
    <col min="10002" max="10002" width="38.33203125" style="715" customWidth="1"/>
    <col min="10003" max="10004" width="49.83203125" style="715" customWidth="1"/>
    <col min="10005" max="10005" width="38.1640625" style="715" customWidth="1"/>
    <col min="10006" max="10007" width="50" style="715" customWidth="1"/>
    <col min="10008" max="10008" width="38.33203125" style="715" customWidth="1"/>
    <col min="10009" max="10009" width="50" style="715" customWidth="1"/>
    <col min="10010" max="10010" width="186.33203125" style="715" customWidth="1"/>
    <col min="10011" max="10011" width="50" style="715" customWidth="1"/>
    <col min="10012" max="10012" width="38.33203125" style="715" customWidth="1"/>
    <col min="10013" max="10013" width="49.83203125" style="715" customWidth="1"/>
    <col min="10014" max="10014" width="50" style="715" customWidth="1"/>
    <col min="10015" max="10015" width="45" style="715" customWidth="1"/>
    <col min="10016" max="10016" width="50.33203125" style="715" customWidth="1"/>
    <col min="10017" max="10017" width="50" style="715" customWidth="1"/>
    <col min="10018" max="10018" width="45" style="715" customWidth="1"/>
    <col min="10019" max="10019" width="50" style="715" customWidth="1"/>
    <col min="10020" max="10020" width="51" style="715" customWidth="1"/>
    <col min="10021" max="10233" width="9.33203125" style="715"/>
    <col min="10234" max="10234" width="186.33203125" style="715" customWidth="1"/>
    <col min="10235" max="10235" width="49.83203125" style="715" customWidth="1"/>
    <col min="10236" max="10236" width="38.33203125" style="715" customWidth="1"/>
    <col min="10237" max="10238" width="50" style="715" customWidth="1"/>
    <col min="10239" max="10239" width="37.6640625" style="715" customWidth="1"/>
    <col min="10240" max="10240" width="50" style="715" customWidth="1"/>
    <col min="10241" max="10241" width="51.33203125" style="715" customWidth="1"/>
    <col min="10242" max="10242" width="38.1640625" style="715" customWidth="1"/>
    <col min="10243" max="10244" width="50" style="715" customWidth="1"/>
    <col min="10245" max="10245" width="38.33203125" style="715" customWidth="1"/>
    <col min="10246" max="10247" width="50" style="715" customWidth="1"/>
    <col min="10248" max="10248" width="38.33203125" style="715" customWidth="1"/>
    <col min="10249" max="10249" width="50" style="715" customWidth="1"/>
    <col min="10250" max="10250" width="186.33203125" style="715" customWidth="1"/>
    <col min="10251" max="10251" width="50" style="715" customWidth="1"/>
    <col min="10252" max="10252" width="38.33203125" style="715" customWidth="1"/>
    <col min="10253" max="10254" width="49.83203125" style="715" customWidth="1"/>
    <col min="10255" max="10255" width="38.1640625" style="715" customWidth="1"/>
    <col min="10256" max="10256" width="49.83203125" style="715" customWidth="1"/>
    <col min="10257" max="10257" width="50" style="715" customWidth="1"/>
    <col min="10258" max="10258" width="38.33203125" style="715" customWidth="1"/>
    <col min="10259" max="10260" width="49.83203125" style="715" customWidth="1"/>
    <col min="10261" max="10261" width="38.1640625" style="715" customWidth="1"/>
    <col min="10262" max="10263" width="50" style="715" customWidth="1"/>
    <col min="10264" max="10264" width="38.33203125" style="715" customWidth="1"/>
    <col min="10265" max="10265" width="50" style="715" customWidth="1"/>
    <col min="10266" max="10266" width="186.33203125" style="715" customWidth="1"/>
    <col min="10267" max="10267" width="50" style="715" customWidth="1"/>
    <col min="10268" max="10268" width="38.33203125" style="715" customWidth="1"/>
    <col min="10269" max="10269" width="49.83203125" style="715" customWidth="1"/>
    <col min="10270" max="10270" width="50" style="715" customWidth="1"/>
    <col min="10271" max="10271" width="45" style="715" customWidth="1"/>
    <col min="10272" max="10272" width="50.33203125" style="715" customWidth="1"/>
    <col min="10273" max="10273" width="50" style="715" customWidth="1"/>
    <col min="10274" max="10274" width="45" style="715" customWidth="1"/>
    <col min="10275" max="10275" width="50" style="715" customWidth="1"/>
    <col min="10276" max="10276" width="51" style="715" customWidth="1"/>
    <col min="10277" max="10489" width="9.33203125" style="715"/>
    <col min="10490" max="10490" width="186.33203125" style="715" customWidth="1"/>
    <col min="10491" max="10491" width="49.83203125" style="715" customWidth="1"/>
    <col min="10492" max="10492" width="38.33203125" style="715" customWidth="1"/>
    <col min="10493" max="10494" width="50" style="715" customWidth="1"/>
    <col min="10495" max="10495" width="37.6640625" style="715" customWidth="1"/>
    <col min="10496" max="10496" width="50" style="715" customWidth="1"/>
    <col min="10497" max="10497" width="51.33203125" style="715" customWidth="1"/>
    <col min="10498" max="10498" width="38.1640625" style="715" customWidth="1"/>
    <col min="10499" max="10500" width="50" style="715" customWidth="1"/>
    <col min="10501" max="10501" width="38.33203125" style="715" customWidth="1"/>
    <col min="10502" max="10503" width="50" style="715" customWidth="1"/>
    <col min="10504" max="10504" width="38.33203125" style="715" customWidth="1"/>
    <col min="10505" max="10505" width="50" style="715" customWidth="1"/>
    <col min="10506" max="10506" width="186.33203125" style="715" customWidth="1"/>
    <col min="10507" max="10507" width="50" style="715" customWidth="1"/>
    <col min="10508" max="10508" width="38.33203125" style="715" customWidth="1"/>
    <col min="10509" max="10510" width="49.83203125" style="715" customWidth="1"/>
    <col min="10511" max="10511" width="38.1640625" style="715" customWidth="1"/>
    <col min="10512" max="10512" width="49.83203125" style="715" customWidth="1"/>
    <col min="10513" max="10513" width="50" style="715" customWidth="1"/>
    <col min="10514" max="10514" width="38.33203125" style="715" customWidth="1"/>
    <col min="10515" max="10516" width="49.83203125" style="715" customWidth="1"/>
    <col min="10517" max="10517" width="38.1640625" style="715" customWidth="1"/>
    <col min="10518" max="10519" width="50" style="715" customWidth="1"/>
    <col min="10520" max="10520" width="38.33203125" style="715" customWidth="1"/>
    <col min="10521" max="10521" width="50" style="715" customWidth="1"/>
    <col min="10522" max="10522" width="186.33203125" style="715" customWidth="1"/>
    <col min="10523" max="10523" width="50" style="715" customWidth="1"/>
    <col min="10524" max="10524" width="38.33203125" style="715" customWidth="1"/>
    <col min="10525" max="10525" width="49.83203125" style="715" customWidth="1"/>
    <col min="10526" max="10526" width="50" style="715" customWidth="1"/>
    <col min="10527" max="10527" width="45" style="715" customWidth="1"/>
    <col min="10528" max="10528" width="50.33203125" style="715" customWidth="1"/>
    <col min="10529" max="10529" width="50" style="715" customWidth="1"/>
    <col min="10530" max="10530" width="45" style="715" customWidth="1"/>
    <col min="10531" max="10531" width="50" style="715" customWidth="1"/>
    <col min="10532" max="10532" width="51" style="715" customWidth="1"/>
    <col min="10533" max="10745" width="9.33203125" style="715"/>
    <col min="10746" max="10746" width="186.33203125" style="715" customWidth="1"/>
    <col min="10747" max="10747" width="49.83203125" style="715" customWidth="1"/>
    <col min="10748" max="10748" width="38.33203125" style="715" customWidth="1"/>
    <col min="10749" max="10750" width="50" style="715" customWidth="1"/>
    <col min="10751" max="10751" width="37.6640625" style="715" customWidth="1"/>
    <col min="10752" max="10752" width="50" style="715" customWidth="1"/>
    <col min="10753" max="10753" width="51.33203125" style="715" customWidth="1"/>
    <col min="10754" max="10754" width="38.1640625" style="715" customWidth="1"/>
    <col min="10755" max="10756" width="50" style="715" customWidth="1"/>
    <col min="10757" max="10757" width="38.33203125" style="715" customWidth="1"/>
    <col min="10758" max="10759" width="50" style="715" customWidth="1"/>
    <col min="10760" max="10760" width="38.33203125" style="715" customWidth="1"/>
    <col min="10761" max="10761" width="50" style="715" customWidth="1"/>
    <col min="10762" max="10762" width="186.33203125" style="715" customWidth="1"/>
    <col min="10763" max="10763" width="50" style="715" customWidth="1"/>
    <col min="10764" max="10764" width="38.33203125" style="715" customWidth="1"/>
    <col min="10765" max="10766" width="49.83203125" style="715" customWidth="1"/>
    <col min="10767" max="10767" width="38.1640625" style="715" customWidth="1"/>
    <col min="10768" max="10768" width="49.83203125" style="715" customWidth="1"/>
    <col min="10769" max="10769" width="50" style="715" customWidth="1"/>
    <col min="10770" max="10770" width="38.33203125" style="715" customWidth="1"/>
    <col min="10771" max="10772" width="49.83203125" style="715" customWidth="1"/>
    <col min="10773" max="10773" width="38.1640625" style="715" customWidth="1"/>
    <col min="10774" max="10775" width="50" style="715" customWidth="1"/>
    <col min="10776" max="10776" width="38.33203125" style="715" customWidth="1"/>
    <col min="10777" max="10777" width="50" style="715" customWidth="1"/>
    <col min="10778" max="10778" width="186.33203125" style="715" customWidth="1"/>
    <col min="10779" max="10779" width="50" style="715" customWidth="1"/>
    <col min="10780" max="10780" width="38.33203125" style="715" customWidth="1"/>
    <col min="10781" max="10781" width="49.83203125" style="715" customWidth="1"/>
    <col min="10782" max="10782" width="50" style="715" customWidth="1"/>
    <col min="10783" max="10783" width="45" style="715" customWidth="1"/>
    <col min="10784" max="10784" width="50.33203125" style="715" customWidth="1"/>
    <col min="10785" max="10785" width="50" style="715" customWidth="1"/>
    <col min="10786" max="10786" width="45" style="715" customWidth="1"/>
    <col min="10787" max="10787" width="50" style="715" customWidth="1"/>
    <col min="10788" max="10788" width="51" style="715" customWidth="1"/>
    <col min="10789" max="11001" width="9.33203125" style="715"/>
    <col min="11002" max="11002" width="186.33203125" style="715" customWidth="1"/>
    <col min="11003" max="11003" width="49.83203125" style="715" customWidth="1"/>
    <col min="11004" max="11004" width="38.33203125" style="715" customWidth="1"/>
    <col min="11005" max="11006" width="50" style="715" customWidth="1"/>
    <col min="11007" max="11007" width="37.6640625" style="715" customWidth="1"/>
    <col min="11008" max="11008" width="50" style="715" customWidth="1"/>
    <col min="11009" max="11009" width="51.33203125" style="715" customWidth="1"/>
    <col min="11010" max="11010" width="38.1640625" style="715" customWidth="1"/>
    <col min="11011" max="11012" width="50" style="715" customWidth="1"/>
    <col min="11013" max="11013" width="38.33203125" style="715" customWidth="1"/>
    <col min="11014" max="11015" width="50" style="715" customWidth="1"/>
    <col min="11016" max="11016" width="38.33203125" style="715" customWidth="1"/>
    <col min="11017" max="11017" width="50" style="715" customWidth="1"/>
    <col min="11018" max="11018" width="186.33203125" style="715" customWidth="1"/>
    <col min="11019" max="11019" width="50" style="715" customWidth="1"/>
    <col min="11020" max="11020" width="38.33203125" style="715" customWidth="1"/>
    <col min="11021" max="11022" width="49.83203125" style="715" customWidth="1"/>
    <col min="11023" max="11023" width="38.1640625" style="715" customWidth="1"/>
    <col min="11024" max="11024" width="49.83203125" style="715" customWidth="1"/>
    <col min="11025" max="11025" width="50" style="715" customWidth="1"/>
    <col min="11026" max="11026" width="38.33203125" style="715" customWidth="1"/>
    <col min="11027" max="11028" width="49.83203125" style="715" customWidth="1"/>
    <col min="11029" max="11029" width="38.1640625" style="715" customWidth="1"/>
    <col min="11030" max="11031" width="50" style="715" customWidth="1"/>
    <col min="11032" max="11032" width="38.33203125" style="715" customWidth="1"/>
    <col min="11033" max="11033" width="50" style="715" customWidth="1"/>
    <col min="11034" max="11034" width="186.33203125" style="715" customWidth="1"/>
    <col min="11035" max="11035" width="50" style="715" customWidth="1"/>
    <col min="11036" max="11036" width="38.33203125" style="715" customWidth="1"/>
    <col min="11037" max="11037" width="49.83203125" style="715" customWidth="1"/>
    <col min="11038" max="11038" width="50" style="715" customWidth="1"/>
    <col min="11039" max="11039" width="45" style="715" customWidth="1"/>
    <col min="11040" max="11040" width="50.33203125" style="715" customWidth="1"/>
    <col min="11041" max="11041" width="50" style="715" customWidth="1"/>
    <col min="11042" max="11042" width="45" style="715" customWidth="1"/>
    <col min="11043" max="11043" width="50" style="715" customWidth="1"/>
    <col min="11044" max="11044" width="51" style="715" customWidth="1"/>
    <col min="11045" max="11257" width="9.33203125" style="715"/>
    <col min="11258" max="11258" width="186.33203125" style="715" customWidth="1"/>
    <col min="11259" max="11259" width="49.83203125" style="715" customWidth="1"/>
    <col min="11260" max="11260" width="38.33203125" style="715" customWidth="1"/>
    <col min="11261" max="11262" width="50" style="715" customWidth="1"/>
    <col min="11263" max="11263" width="37.6640625" style="715" customWidth="1"/>
    <col min="11264" max="11264" width="50" style="715" customWidth="1"/>
    <col min="11265" max="11265" width="51.33203125" style="715" customWidth="1"/>
    <col min="11266" max="11266" width="38.1640625" style="715" customWidth="1"/>
    <col min="11267" max="11268" width="50" style="715" customWidth="1"/>
    <col min="11269" max="11269" width="38.33203125" style="715" customWidth="1"/>
    <col min="11270" max="11271" width="50" style="715" customWidth="1"/>
    <col min="11272" max="11272" width="38.33203125" style="715" customWidth="1"/>
    <col min="11273" max="11273" width="50" style="715" customWidth="1"/>
    <col min="11274" max="11274" width="186.33203125" style="715" customWidth="1"/>
    <col min="11275" max="11275" width="50" style="715" customWidth="1"/>
    <col min="11276" max="11276" width="38.33203125" style="715" customWidth="1"/>
    <col min="11277" max="11278" width="49.83203125" style="715" customWidth="1"/>
    <col min="11279" max="11279" width="38.1640625" style="715" customWidth="1"/>
    <col min="11280" max="11280" width="49.83203125" style="715" customWidth="1"/>
    <col min="11281" max="11281" width="50" style="715" customWidth="1"/>
    <col min="11282" max="11282" width="38.33203125" style="715" customWidth="1"/>
    <col min="11283" max="11284" width="49.83203125" style="715" customWidth="1"/>
    <col min="11285" max="11285" width="38.1640625" style="715" customWidth="1"/>
    <col min="11286" max="11287" width="50" style="715" customWidth="1"/>
    <col min="11288" max="11288" width="38.33203125" style="715" customWidth="1"/>
    <col min="11289" max="11289" width="50" style="715" customWidth="1"/>
    <col min="11290" max="11290" width="186.33203125" style="715" customWidth="1"/>
    <col min="11291" max="11291" width="50" style="715" customWidth="1"/>
    <col min="11292" max="11292" width="38.33203125" style="715" customWidth="1"/>
    <col min="11293" max="11293" width="49.83203125" style="715" customWidth="1"/>
    <col min="11294" max="11294" width="50" style="715" customWidth="1"/>
    <col min="11295" max="11295" width="45" style="715" customWidth="1"/>
    <col min="11296" max="11296" width="50.33203125" style="715" customWidth="1"/>
    <col min="11297" max="11297" width="50" style="715" customWidth="1"/>
    <col min="11298" max="11298" width="45" style="715" customWidth="1"/>
    <col min="11299" max="11299" width="50" style="715" customWidth="1"/>
    <col min="11300" max="11300" width="51" style="715" customWidth="1"/>
    <col min="11301" max="11513" width="9.33203125" style="715"/>
    <col min="11514" max="11514" width="186.33203125" style="715" customWidth="1"/>
    <col min="11515" max="11515" width="49.83203125" style="715" customWidth="1"/>
    <col min="11516" max="11516" width="38.33203125" style="715" customWidth="1"/>
    <col min="11517" max="11518" width="50" style="715" customWidth="1"/>
    <col min="11519" max="11519" width="37.6640625" style="715" customWidth="1"/>
    <col min="11520" max="11520" width="50" style="715" customWidth="1"/>
    <col min="11521" max="11521" width="51.33203125" style="715" customWidth="1"/>
    <col min="11522" max="11522" width="38.1640625" style="715" customWidth="1"/>
    <col min="11523" max="11524" width="50" style="715" customWidth="1"/>
    <col min="11525" max="11525" width="38.33203125" style="715" customWidth="1"/>
    <col min="11526" max="11527" width="50" style="715" customWidth="1"/>
    <col min="11528" max="11528" width="38.33203125" style="715" customWidth="1"/>
    <col min="11529" max="11529" width="50" style="715" customWidth="1"/>
    <col min="11530" max="11530" width="186.33203125" style="715" customWidth="1"/>
    <col min="11531" max="11531" width="50" style="715" customWidth="1"/>
    <col min="11532" max="11532" width="38.33203125" style="715" customWidth="1"/>
    <col min="11533" max="11534" width="49.83203125" style="715" customWidth="1"/>
    <col min="11535" max="11535" width="38.1640625" style="715" customWidth="1"/>
    <col min="11536" max="11536" width="49.83203125" style="715" customWidth="1"/>
    <col min="11537" max="11537" width="50" style="715" customWidth="1"/>
    <col min="11538" max="11538" width="38.33203125" style="715" customWidth="1"/>
    <col min="11539" max="11540" width="49.83203125" style="715" customWidth="1"/>
    <col min="11541" max="11541" width="38.1640625" style="715" customWidth="1"/>
    <col min="11542" max="11543" width="50" style="715" customWidth="1"/>
    <col min="11544" max="11544" width="38.33203125" style="715" customWidth="1"/>
    <col min="11545" max="11545" width="50" style="715" customWidth="1"/>
    <col min="11546" max="11546" width="186.33203125" style="715" customWidth="1"/>
    <col min="11547" max="11547" width="50" style="715" customWidth="1"/>
    <col min="11548" max="11548" width="38.33203125" style="715" customWidth="1"/>
    <col min="11549" max="11549" width="49.83203125" style="715" customWidth="1"/>
    <col min="11550" max="11550" width="50" style="715" customWidth="1"/>
    <col min="11551" max="11551" width="45" style="715" customWidth="1"/>
    <col min="11552" max="11552" width="50.33203125" style="715" customWidth="1"/>
    <col min="11553" max="11553" width="50" style="715" customWidth="1"/>
    <col min="11554" max="11554" width="45" style="715" customWidth="1"/>
    <col min="11555" max="11555" width="50" style="715" customWidth="1"/>
    <col min="11556" max="11556" width="51" style="715" customWidth="1"/>
    <col min="11557" max="11769" width="9.33203125" style="715"/>
    <col min="11770" max="11770" width="186.33203125" style="715" customWidth="1"/>
    <col min="11771" max="11771" width="49.83203125" style="715" customWidth="1"/>
    <col min="11772" max="11772" width="38.33203125" style="715" customWidth="1"/>
    <col min="11773" max="11774" width="50" style="715" customWidth="1"/>
    <col min="11775" max="11775" width="37.6640625" style="715" customWidth="1"/>
    <col min="11776" max="11776" width="50" style="715" customWidth="1"/>
    <col min="11777" max="11777" width="51.33203125" style="715" customWidth="1"/>
    <col min="11778" max="11778" width="38.1640625" style="715" customWidth="1"/>
    <col min="11779" max="11780" width="50" style="715" customWidth="1"/>
    <col min="11781" max="11781" width="38.33203125" style="715" customWidth="1"/>
    <col min="11782" max="11783" width="50" style="715" customWidth="1"/>
    <col min="11784" max="11784" width="38.33203125" style="715" customWidth="1"/>
    <col min="11785" max="11785" width="50" style="715" customWidth="1"/>
    <col min="11786" max="11786" width="186.33203125" style="715" customWidth="1"/>
    <col min="11787" max="11787" width="50" style="715" customWidth="1"/>
    <col min="11788" max="11788" width="38.33203125" style="715" customWidth="1"/>
    <col min="11789" max="11790" width="49.83203125" style="715" customWidth="1"/>
    <col min="11791" max="11791" width="38.1640625" style="715" customWidth="1"/>
    <col min="11792" max="11792" width="49.83203125" style="715" customWidth="1"/>
    <col min="11793" max="11793" width="50" style="715" customWidth="1"/>
    <col min="11794" max="11794" width="38.33203125" style="715" customWidth="1"/>
    <col min="11795" max="11796" width="49.83203125" style="715" customWidth="1"/>
    <col min="11797" max="11797" width="38.1640625" style="715" customWidth="1"/>
    <col min="11798" max="11799" width="50" style="715" customWidth="1"/>
    <col min="11800" max="11800" width="38.33203125" style="715" customWidth="1"/>
    <col min="11801" max="11801" width="50" style="715" customWidth="1"/>
    <col min="11802" max="11802" width="186.33203125" style="715" customWidth="1"/>
    <col min="11803" max="11803" width="50" style="715" customWidth="1"/>
    <col min="11804" max="11804" width="38.33203125" style="715" customWidth="1"/>
    <col min="11805" max="11805" width="49.83203125" style="715" customWidth="1"/>
    <col min="11806" max="11806" width="50" style="715" customWidth="1"/>
    <col min="11807" max="11807" width="45" style="715" customWidth="1"/>
    <col min="11808" max="11808" width="50.33203125" style="715" customWidth="1"/>
    <col min="11809" max="11809" width="50" style="715" customWidth="1"/>
    <col min="11810" max="11810" width="45" style="715" customWidth="1"/>
    <col min="11811" max="11811" width="50" style="715" customWidth="1"/>
    <col min="11812" max="11812" width="51" style="715" customWidth="1"/>
    <col min="11813" max="12025" width="9.33203125" style="715"/>
    <col min="12026" max="12026" width="186.33203125" style="715" customWidth="1"/>
    <col min="12027" max="12027" width="49.83203125" style="715" customWidth="1"/>
    <col min="12028" max="12028" width="38.33203125" style="715" customWidth="1"/>
    <col min="12029" max="12030" width="50" style="715" customWidth="1"/>
    <col min="12031" max="12031" width="37.6640625" style="715" customWidth="1"/>
    <col min="12032" max="12032" width="50" style="715" customWidth="1"/>
    <col min="12033" max="12033" width="51.33203125" style="715" customWidth="1"/>
    <col min="12034" max="12034" width="38.1640625" style="715" customWidth="1"/>
    <col min="12035" max="12036" width="50" style="715" customWidth="1"/>
    <col min="12037" max="12037" width="38.33203125" style="715" customWidth="1"/>
    <col min="12038" max="12039" width="50" style="715" customWidth="1"/>
    <col min="12040" max="12040" width="38.33203125" style="715" customWidth="1"/>
    <col min="12041" max="12041" width="50" style="715" customWidth="1"/>
    <col min="12042" max="12042" width="186.33203125" style="715" customWidth="1"/>
    <col min="12043" max="12043" width="50" style="715" customWidth="1"/>
    <col min="12044" max="12044" width="38.33203125" style="715" customWidth="1"/>
    <col min="12045" max="12046" width="49.83203125" style="715" customWidth="1"/>
    <col min="12047" max="12047" width="38.1640625" style="715" customWidth="1"/>
    <col min="12048" max="12048" width="49.83203125" style="715" customWidth="1"/>
    <col min="12049" max="12049" width="50" style="715" customWidth="1"/>
    <col min="12050" max="12050" width="38.33203125" style="715" customWidth="1"/>
    <col min="12051" max="12052" width="49.83203125" style="715" customWidth="1"/>
    <col min="12053" max="12053" width="38.1640625" style="715" customWidth="1"/>
    <col min="12054" max="12055" width="50" style="715" customWidth="1"/>
    <col min="12056" max="12056" width="38.33203125" style="715" customWidth="1"/>
    <col min="12057" max="12057" width="50" style="715" customWidth="1"/>
    <col min="12058" max="12058" width="186.33203125" style="715" customWidth="1"/>
    <col min="12059" max="12059" width="50" style="715" customWidth="1"/>
    <col min="12060" max="12060" width="38.33203125" style="715" customWidth="1"/>
    <col min="12061" max="12061" width="49.83203125" style="715" customWidth="1"/>
    <col min="12062" max="12062" width="50" style="715" customWidth="1"/>
    <col min="12063" max="12063" width="45" style="715" customWidth="1"/>
    <col min="12064" max="12064" width="50.33203125" style="715" customWidth="1"/>
    <col min="12065" max="12065" width="50" style="715" customWidth="1"/>
    <col min="12066" max="12066" width="45" style="715" customWidth="1"/>
    <col min="12067" max="12067" width="50" style="715" customWidth="1"/>
    <col min="12068" max="12068" width="51" style="715" customWidth="1"/>
    <col min="12069" max="12281" width="9.33203125" style="715"/>
    <col min="12282" max="12282" width="186.33203125" style="715" customWidth="1"/>
    <col min="12283" max="12283" width="49.83203125" style="715" customWidth="1"/>
    <col min="12284" max="12284" width="38.33203125" style="715" customWidth="1"/>
    <col min="12285" max="12286" width="50" style="715" customWidth="1"/>
    <col min="12287" max="12287" width="37.6640625" style="715" customWidth="1"/>
    <col min="12288" max="12288" width="50" style="715" customWidth="1"/>
    <col min="12289" max="12289" width="51.33203125" style="715" customWidth="1"/>
    <col min="12290" max="12290" width="38.1640625" style="715" customWidth="1"/>
    <col min="12291" max="12292" width="50" style="715" customWidth="1"/>
    <col min="12293" max="12293" width="38.33203125" style="715" customWidth="1"/>
    <col min="12294" max="12295" width="50" style="715" customWidth="1"/>
    <col min="12296" max="12296" width="38.33203125" style="715" customWidth="1"/>
    <col min="12297" max="12297" width="50" style="715" customWidth="1"/>
    <col min="12298" max="12298" width="186.33203125" style="715" customWidth="1"/>
    <col min="12299" max="12299" width="50" style="715" customWidth="1"/>
    <col min="12300" max="12300" width="38.33203125" style="715" customWidth="1"/>
    <col min="12301" max="12302" width="49.83203125" style="715" customWidth="1"/>
    <col min="12303" max="12303" width="38.1640625" style="715" customWidth="1"/>
    <col min="12304" max="12304" width="49.83203125" style="715" customWidth="1"/>
    <col min="12305" max="12305" width="50" style="715" customWidth="1"/>
    <col min="12306" max="12306" width="38.33203125" style="715" customWidth="1"/>
    <col min="12307" max="12308" width="49.83203125" style="715" customWidth="1"/>
    <col min="12309" max="12309" width="38.1640625" style="715" customWidth="1"/>
    <col min="12310" max="12311" width="50" style="715" customWidth="1"/>
    <col min="12312" max="12312" width="38.33203125" style="715" customWidth="1"/>
    <col min="12313" max="12313" width="50" style="715" customWidth="1"/>
    <col min="12314" max="12314" width="186.33203125" style="715" customWidth="1"/>
    <col min="12315" max="12315" width="50" style="715" customWidth="1"/>
    <col min="12316" max="12316" width="38.33203125" style="715" customWidth="1"/>
    <col min="12317" max="12317" width="49.83203125" style="715" customWidth="1"/>
    <col min="12318" max="12318" width="50" style="715" customWidth="1"/>
    <col min="12319" max="12319" width="45" style="715" customWidth="1"/>
    <col min="12320" max="12320" width="50.33203125" style="715" customWidth="1"/>
    <col min="12321" max="12321" width="50" style="715" customWidth="1"/>
    <col min="12322" max="12322" width="45" style="715" customWidth="1"/>
    <col min="12323" max="12323" width="50" style="715" customWidth="1"/>
    <col min="12324" max="12324" width="51" style="715" customWidth="1"/>
    <col min="12325" max="12537" width="9.33203125" style="715"/>
    <col min="12538" max="12538" width="186.33203125" style="715" customWidth="1"/>
    <col min="12539" max="12539" width="49.83203125" style="715" customWidth="1"/>
    <col min="12540" max="12540" width="38.33203125" style="715" customWidth="1"/>
    <col min="12541" max="12542" width="50" style="715" customWidth="1"/>
    <col min="12543" max="12543" width="37.6640625" style="715" customWidth="1"/>
    <col min="12544" max="12544" width="50" style="715" customWidth="1"/>
    <col min="12545" max="12545" width="51.33203125" style="715" customWidth="1"/>
    <col min="12546" max="12546" width="38.1640625" style="715" customWidth="1"/>
    <col min="12547" max="12548" width="50" style="715" customWidth="1"/>
    <col min="12549" max="12549" width="38.33203125" style="715" customWidth="1"/>
    <col min="12550" max="12551" width="50" style="715" customWidth="1"/>
    <col min="12552" max="12552" width="38.33203125" style="715" customWidth="1"/>
    <col min="12553" max="12553" width="50" style="715" customWidth="1"/>
    <col min="12554" max="12554" width="186.33203125" style="715" customWidth="1"/>
    <col min="12555" max="12555" width="50" style="715" customWidth="1"/>
    <col min="12556" max="12556" width="38.33203125" style="715" customWidth="1"/>
    <col min="12557" max="12558" width="49.83203125" style="715" customWidth="1"/>
    <col min="12559" max="12559" width="38.1640625" style="715" customWidth="1"/>
    <col min="12560" max="12560" width="49.83203125" style="715" customWidth="1"/>
    <col min="12561" max="12561" width="50" style="715" customWidth="1"/>
    <col min="12562" max="12562" width="38.33203125" style="715" customWidth="1"/>
    <col min="12563" max="12564" width="49.83203125" style="715" customWidth="1"/>
    <col min="12565" max="12565" width="38.1640625" style="715" customWidth="1"/>
    <col min="12566" max="12567" width="50" style="715" customWidth="1"/>
    <col min="12568" max="12568" width="38.33203125" style="715" customWidth="1"/>
    <col min="12569" max="12569" width="50" style="715" customWidth="1"/>
    <col min="12570" max="12570" width="186.33203125" style="715" customWidth="1"/>
    <col min="12571" max="12571" width="50" style="715" customWidth="1"/>
    <col min="12572" max="12572" width="38.33203125" style="715" customWidth="1"/>
    <col min="12573" max="12573" width="49.83203125" style="715" customWidth="1"/>
    <col min="12574" max="12574" width="50" style="715" customWidth="1"/>
    <col min="12575" max="12575" width="45" style="715" customWidth="1"/>
    <col min="12576" max="12576" width="50.33203125" style="715" customWidth="1"/>
    <col min="12577" max="12577" width="50" style="715" customWidth="1"/>
    <col min="12578" max="12578" width="45" style="715" customWidth="1"/>
    <col min="12579" max="12579" width="50" style="715" customWidth="1"/>
    <col min="12580" max="12580" width="51" style="715" customWidth="1"/>
    <col min="12581" max="12793" width="9.33203125" style="715"/>
    <col min="12794" max="12794" width="186.33203125" style="715" customWidth="1"/>
    <col min="12795" max="12795" width="49.83203125" style="715" customWidth="1"/>
    <col min="12796" max="12796" width="38.33203125" style="715" customWidth="1"/>
    <col min="12797" max="12798" width="50" style="715" customWidth="1"/>
    <col min="12799" max="12799" width="37.6640625" style="715" customWidth="1"/>
    <col min="12800" max="12800" width="50" style="715" customWidth="1"/>
    <col min="12801" max="12801" width="51.33203125" style="715" customWidth="1"/>
    <col min="12802" max="12802" width="38.1640625" style="715" customWidth="1"/>
    <col min="12803" max="12804" width="50" style="715" customWidth="1"/>
    <col min="12805" max="12805" width="38.33203125" style="715" customWidth="1"/>
    <col min="12806" max="12807" width="50" style="715" customWidth="1"/>
    <col min="12808" max="12808" width="38.33203125" style="715" customWidth="1"/>
    <col min="12809" max="12809" width="50" style="715" customWidth="1"/>
    <col min="12810" max="12810" width="186.33203125" style="715" customWidth="1"/>
    <col min="12811" max="12811" width="50" style="715" customWidth="1"/>
    <col min="12812" max="12812" width="38.33203125" style="715" customWidth="1"/>
    <col min="12813" max="12814" width="49.83203125" style="715" customWidth="1"/>
    <col min="12815" max="12815" width="38.1640625" style="715" customWidth="1"/>
    <col min="12816" max="12816" width="49.83203125" style="715" customWidth="1"/>
    <col min="12817" max="12817" width="50" style="715" customWidth="1"/>
    <col min="12818" max="12818" width="38.33203125" style="715" customWidth="1"/>
    <col min="12819" max="12820" width="49.83203125" style="715" customWidth="1"/>
    <col min="12821" max="12821" width="38.1640625" style="715" customWidth="1"/>
    <col min="12822" max="12823" width="50" style="715" customWidth="1"/>
    <col min="12824" max="12824" width="38.33203125" style="715" customWidth="1"/>
    <col min="12825" max="12825" width="50" style="715" customWidth="1"/>
    <col min="12826" max="12826" width="186.33203125" style="715" customWidth="1"/>
    <col min="12827" max="12827" width="50" style="715" customWidth="1"/>
    <col min="12828" max="12828" width="38.33203125" style="715" customWidth="1"/>
    <col min="12829" max="12829" width="49.83203125" style="715" customWidth="1"/>
    <col min="12830" max="12830" width="50" style="715" customWidth="1"/>
    <col min="12831" max="12831" width="45" style="715" customWidth="1"/>
    <col min="12832" max="12832" width="50.33203125" style="715" customWidth="1"/>
    <col min="12833" max="12833" width="50" style="715" customWidth="1"/>
    <col min="12834" max="12834" width="45" style="715" customWidth="1"/>
    <col min="12835" max="12835" width="50" style="715" customWidth="1"/>
    <col min="12836" max="12836" width="51" style="715" customWidth="1"/>
    <col min="12837" max="13049" width="9.33203125" style="715"/>
    <col min="13050" max="13050" width="186.33203125" style="715" customWidth="1"/>
    <col min="13051" max="13051" width="49.83203125" style="715" customWidth="1"/>
    <col min="13052" max="13052" width="38.33203125" style="715" customWidth="1"/>
    <col min="13053" max="13054" width="50" style="715" customWidth="1"/>
    <col min="13055" max="13055" width="37.6640625" style="715" customWidth="1"/>
    <col min="13056" max="13056" width="50" style="715" customWidth="1"/>
    <col min="13057" max="13057" width="51.33203125" style="715" customWidth="1"/>
    <col min="13058" max="13058" width="38.1640625" style="715" customWidth="1"/>
    <col min="13059" max="13060" width="50" style="715" customWidth="1"/>
    <col min="13061" max="13061" width="38.33203125" style="715" customWidth="1"/>
    <col min="13062" max="13063" width="50" style="715" customWidth="1"/>
    <col min="13064" max="13064" width="38.33203125" style="715" customWidth="1"/>
    <col min="13065" max="13065" width="50" style="715" customWidth="1"/>
    <col min="13066" max="13066" width="186.33203125" style="715" customWidth="1"/>
    <col min="13067" max="13067" width="50" style="715" customWidth="1"/>
    <col min="13068" max="13068" width="38.33203125" style="715" customWidth="1"/>
    <col min="13069" max="13070" width="49.83203125" style="715" customWidth="1"/>
    <col min="13071" max="13071" width="38.1640625" style="715" customWidth="1"/>
    <col min="13072" max="13072" width="49.83203125" style="715" customWidth="1"/>
    <col min="13073" max="13073" width="50" style="715" customWidth="1"/>
    <col min="13074" max="13074" width="38.33203125" style="715" customWidth="1"/>
    <col min="13075" max="13076" width="49.83203125" style="715" customWidth="1"/>
    <col min="13077" max="13077" width="38.1640625" style="715" customWidth="1"/>
    <col min="13078" max="13079" width="50" style="715" customWidth="1"/>
    <col min="13080" max="13080" width="38.33203125" style="715" customWidth="1"/>
    <col min="13081" max="13081" width="50" style="715" customWidth="1"/>
    <col min="13082" max="13082" width="186.33203125" style="715" customWidth="1"/>
    <col min="13083" max="13083" width="50" style="715" customWidth="1"/>
    <col min="13084" max="13084" width="38.33203125" style="715" customWidth="1"/>
    <col min="13085" max="13085" width="49.83203125" style="715" customWidth="1"/>
    <col min="13086" max="13086" width="50" style="715" customWidth="1"/>
    <col min="13087" max="13087" width="45" style="715" customWidth="1"/>
    <col min="13088" max="13088" width="50.33203125" style="715" customWidth="1"/>
    <col min="13089" max="13089" width="50" style="715" customWidth="1"/>
    <col min="13090" max="13090" width="45" style="715" customWidth="1"/>
    <col min="13091" max="13091" width="50" style="715" customWidth="1"/>
    <col min="13092" max="13092" width="51" style="715" customWidth="1"/>
    <col min="13093" max="13305" width="9.33203125" style="715"/>
    <col min="13306" max="13306" width="186.33203125" style="715" customWidth="1"/>
    <col min="13307" max="13307" width="49.83203125" style="715" customWidth="1"/>
    <col min="13308" max="13308" width="38.33203125" style="715" customWidth="1"/>
    <col min="13309" max="13310" width="50" style="715" customWidth="1"/>
    <col min="13311" max="13311" width="37.6640625" style="715" customWidth="1"/>
    <col min="13312" max="13312" width="50" style="715" customWidth="1"/>
    <col min="13313" max="13313" width="51.33203125" style="715" customWidth="1"/>
    <col min="13314" max="13314" width="38.1640625" style="715" customWidth="1"/>
    <col min="13315" max="13316" width="50" style="715" customWidth="1"/>
    <col min="13317" max="13317" width="38.33203125" style="715" customWidth="1"/>
    <col min="13318" max="13319" width="50" style="715" customWidth="1"/>
    <col min="13320" max="13320" width="38.33203125" style="715" customWidth="1"/>
    <col min="13321" max="13321" width="50" style="715" customWidth="1"/>
    <col min="13322" max="13322" width="186.33203125" style="715" customWidth="1"/>
    <col min="13323" max="13323" width="50" style="715" customWidth="1"/>
    <col min="13324" max="13324" width="38.33203125" style="715" customWidth="1"/>
    <col min="13325" max="13326" width="49.83203125" style="715" customWidth="1"/>
    <col min="13327" max="13327" width="38.1640625" style="715" customWidth="1"/>
    <col min="13328" max="13328" width="49.83203125" style="715" customWidth="1"/>
    <col min="13329" max="13329" width="50" style="715" customWidth="1"/>
    <col min="13330" max="13330" width="38.33203125" style="715" customWidth="1"/>
    <col min="13331" max="13332" width="49.83203125" style="715" customWidth="1"/>
    <col min="13333" max="13333" width="38.1640625" style="715" customWidth="1"/>
    <col min="13334" max="13335" width="50" style="715" customWidth="1"/>
    <col min="13336" max="13336" width="38.33203125" style="715" customWidth="1"/>
    <col min="13337" max="13337" width="50" style="715" customWidth="1"/>
    <col min="13338" max="13338" width="186.33203125" style="715" customWidth="1"/>
    <col min="13339" max="13339" width="50" style="715" customWidth="1"/>
    <col min="13340" max="13340" width="38.33203125" style="715" customWidth="1"/>
    <col min="13341" max="13341" width="49.83203125" style="715" customWidth="1"/>
    <col min="13342" max="13342" width="50" style="715" customWidth="1"/>
    <col min="13343" max="13343" width="45" style="715" customWidth="1"/>
    <col min="13344" max="13344" width="50.33203125" style="715" customWidth="1"/>
    <col min="13345" max="13345" width="50" style="715" customWidth="1"/>
    <col min="13346" max="13346" width="45" style="715" customWidth="1"/>
    <col min="13347" max="13347" width="50" style="715" customWidth="1"/>
    <col min="13348" max="13348" width="51" style="715" customWidth="1"/>
    <col min="13349" max="13561" width="9.33203125" style="715"/>
    <col min="13562" max="13562" width="186.33203125" style="715" customWidth="1"/>
    <col min="13563" max="13563" width="49.83203125" style="715" customWidth="1"/>
    <col min="13564" max="13564" width="38.33203125" style="715" customWidth="1"/>
    <col min="13565" max="13566" width="50" style="715" customWidth="1"/>
    <col min="13567" max="13567" width="37.6640625" style="715" customWidth="1"/>
    <col min="13568" max="13568" width="50" style="715" customWidth="1"/>
    <col min="13569" max="13569" width="51.33203125" style="715" customWidth="1"/>
    <col min="13570" max="13570" width="38.1640625" style="715" customWidth="1"/>
    <col min="13571" max="13572" width="50" style="715" customWidth="1"/>
    <col min="13573" max="13573" width="38.33203125" style="715" customWidth="1"/>
    <col min="13574" max="13575" width="50" style="715" customWidth="1"/>
    <col min="13576" max="13576" width="38.33203125" style="715" customWidth="1"/>
    <col min="13577" max="13577" width="50" style="715" customWidth="1"/>
    <col min="13578" max="13578" width="186.33203125" style="715" customWidth="1"/>
    <col min="13579" max="13579" width="50" style="715" customWidth="1"/>
    <col min="13580" max="13580" width="38.33203125" style="715" customWidth="1"/>
    <col min="13581" max="13582" width="49.83203125" style="715" customWidth="1"/>
    <col min="13583" max="13583" width="38.1640625" style="715" customWidth="1"/>
    <col min="13584" max="13584" width="49.83203125" style="715" customWidth="1"/>
    <col min="13585" max="13585" width="50" style="715" customWidth="1"/>
    <col min="13586" max="13586" width="38.33203125" style="715" customWidth="1"/>
    <col min="13587" max="13588" width="49.83203125" style="715" customWidth="1"/>
    <col min="13589" max="13589" width="38.1640625" style="715" customWidth="1"/>
    <col min="13590" max="13591" width="50" style="715" customWidth="1"/>
    <col min="13592" max="13592" width="38.33203125" style="715" customWidth="1"/>
    <col min="13593" max="13593" width="50" style="715" customWidth="1"/>
    <col min="13594" max="13594" width="186.33203125" style="715" customWidth="1"/>
    <col min="13595" max="13595" width="50" style="715" customWidth="1"/>
    <col min="13596" max="13596" width="38.33203125" style="715" customWidth="1"/>
    <col min="13597" max="13597" width="49.83203125" style="715" customWidth="1"/>
    <col min="13598" max="13598" width="50" style="715" customWidth="1"/>
    <col min="13599" max="13599" width="45" style="715" customWidth="1"/>
    <col min="13600" max="13600" width="50.33203125" style="715" customWidth="1"/>
    <col min="13601" max="13601" width="50" style="715" customWidth="1"/>
    <col min="13602" max="13602" width="45" style="715" customWidth="1"/>
    <col min="13603" max="13603" width="50" style="715" customWidth="1"/>
    <col min="13604" max="13604" width="51" style="715" customWidth="1"/>
    <col min="13605" max="13817" width="9.33203125" style="715"/>
    <col min="13818" max="13818" width="186.33203125" style="715" customWidth="1"/>
    <col min="13819" max="13819" width="49.83203125" style="715" customWidth="1"/>
    <col min="13820" max="13820" width="38.33203125" style="715" customWidth="1"/>
    <col min="13821" max="13822" width="50" style="715" customWidth="1"/>
    <col min="13823" max="13823" width="37.6640625" style="715" customWidth="1"/>
    <col min="13824" max="13824" width="50" style="715" customWidth="1"/>
    <col min="13825" max="13825" width="51.33203125" style="715" customWidth="1"/>
    <col min="13826" max="13826" width="38.1640625" style="715" customWidth="1"/>
    <col min="13827" max="13828" width="50" style="715" customWidth="1"/>
    <col min="13829" max="13829" width="38.33203125" style="715" customWidth="1"/>
    <col min="13830" max="13831" width="50" style="715" customWidth="1"/>
    <col min="13832" max="13832" width="38.33203125" style="715" customWidth="1"/>
    <col min="13833" max="13833" width="50" style="715" customWidth="1"/>
    <col min="13834" max="13834" width="186.33203125" style="715" customWidth="1"/>
    <col min="13835" max="13835" width="50" style="715" customWidth="1"/>
    <col min="13836" max="13836" width="38.33203125" style="715" customWidth="1"/>
    <col min="13837" max="13838" width="49.83203125" style="715" customWidth="1"/>
    <col min="13839" max="13839" width="38.1640625" style="715" customWidth="1"/>
    <col min="13840" max="13840" width="49.83203125" style="715" customWidth="1"/>
    <col min="13841" max="13841" width="50" style="715" customWidth="1"/>
    <col min="13842" max="13842" width="38.33203125" style="715" customWidth="1"/>
    <col min="13843" max="13844" width="49.83203125" style="715" customWidth="1"/>
    <col min="13845" max="13845" width="38.1640625" style="715" customWidth="1"/>
    <col min="13846" max="13847" width="50" style="715" customWidth="1"/>
    <col min="13848" max="13848" width="38.33203125" style="715" customWidth="1"/>
    <col min="13849" max="13849" width="50" style="715" customWidth="1"/>
    <col min="13850" max="13850" width="186.33203125" style="715" customWidth="1"/>
    <col min="13851" max="13851" width="50" style="715" customWidth="1"/>
    <col min="13852" max="13852" width="38.33203125" style="715" customWidth="1"/>
    <col min="13853" max="13853" width="49.83203125" style="715" customWidth="1"/>
    <col min="13854" max="13854" width="50" style="715" customWidth="1"/>
    <col min="13855" max="13855" width="45" style="715" customWidth="1"/>
    <col min="13856" max="13856" width="50.33203125" style="715" customWidth="1"/>
    <col min="13857" max="13857" width="50" style="715" customWidth="1"/>
    <col min="13858" max="13858" width="45" style="715" customWidth="1"/>
    <col min="13859" max="13859" width="50" style="715" customWidth="1"/>
    <col min="13860" max="13860" width="51" style="715" customWidth="1"/>
    <col min="13861" max="14073" width="9.33203125" style="715"/>
    <col min="14074" max="14074" width="186.33203125" style="715" customWidth="1"/>
    <col min="14075" max="14075" width="49.83203125" style="715" customWidth="1"/>
    <col min="14076" max="14076" width="38.33203125" style="715" customWidth="1"/>
    <col min="14077" max="14078" width="50" style="715" customWidth="1"/>
    <col min="14079" max="14079" width="37.6640625" style="715" customWidth="1"/>
    <col min="14080" max="14080" width="50" style="715" customWidth="1"/>
    <col min="14081" max="14081" width="51.33203125" style="715" customWidth="1"/>
    <col min="14082" max="14082" width="38.1640625" style="715" customWidth="1"/>
    <col min="14083" max="14084" width="50" style="715" customWidth="1"/>
    <col min="14085" max="14085" width="38.33203125" style="715" customWidth="1"/>
    <col min="14086" max="14087" width="50" style="715" customWidth="1"/>
    <col min="14088" max="14088" width="38.33203125" style="715" customWidth="1"/>
    <col min="14089" max="14089" width="50" style="715" customWidth="1"/>
    <col min="14090" max="14090" width="186.33203125" style="715" customWidth="1"/>
    <col min="14091" max="14091" width="50" style="715" customWidth="1"/>
    <col min="14092" max="14092" width="38.33203125" style="715" customWidth="1"/>
    <col min="14093" max="14094" width="49.83203125" style="715" customWidth="1"/>
    <col min="14095" max="14095" width="38.1640625" style="715" customWidth="1"/>
    <col min="14096" max="14096" width="49.83203125" style="715" customWidth="1"/>
    <col min="14097" max="14097" width="50" style="715" customWidth="1"/>
    <col min="14098" max="14098" width="38.33203125" style="715" customWidth="1"/>
    <col min="14099" max="14100" width="49.83203125" style="715" customWidth="1"/>
    <col min="14101" max="14101" width="38.1640625" style="715" customWidth="1"/>
    <col min="14102" max="14103" width="50" style="715" customWidth="1"/>
    <col min="14104" max="14104" width="38.33203125" style="715" customWidth="1"/>
    <col min="14105" max="14105" width="50" style="715" customWidth="1"/>
    <col min="14106" max="14106" width="186.33203125" style="715" customWidth="1"/>
    <col min="14107" max="14107" width="50" style="715" customWidth="1"/>
    <col min="14108" max="14108" width="38.33203125" style="715" customWidth="1"/>
    <col min="14109" max="14109" width="49.83203125" style="715" customWidth="1"/>
    <col min="14110" max="14110" width="50" style="715" customWidth="1"/>
    <col min="14111" max="14111" width="45" style="715" customWidth="1"/>
    <col min="14112" max="14112" width="50.33203125" style="715" customWidth="1"/>
    <col min="14113" max="14113" width="50" style="715" customWidth="1"/>
    <col min="14114" max="14114" width="45" style="715" customWidth="1"/>
    <col min="14115" max="14115" width="50" style="715" customWidth="1"/>
    <col min="14116" max="14116" width="51" style="715" customWidth="1"/>
    <col min="14117" max="14329" width="9.33203125" style="715"/>
    <col min="14330" max="14330" width="186.33203125" style="715" customWidth="1"/>
    <col min="14331" max="14331" width="49.83203125" style="715" customWidth="1"/>
    <col min="14332" max="14332" width="38.33203125" style="715" customWidth="1"/>
    <col min="14333" max="14334" width="50" style="715" customWidth="1"/>
    <col min="14335" max="14335" width="37.6640625" style="715" customWidth="1"/>
    <col min="14336" max="14336" width="50" style="715" customWidth="1"/>
    <col min="14337" max="14337" width="51.33203125" style="715" customWidth="1"/>
    <col min="14338" max="14338" width="38.1640625" style="715" customWidth="1"/>
    <col min="14339" max="14340" width="50" style="715" customWidth="1"/>
    <col min="14341" max="14341" width="38.33203125" style="715" customWidth="1"/>
    <col min="14342" max="14343" width="50" style="715" customWidth="1"/>
    <col min="14344" max="14344" width="38.33203125" style="715" customWidth="1"/>
    <col min="14345" max="14345" width="50" style="715" customWidth="1"/>
    <col min="14346" max="14346" width="186.33203125" style="715" customWidth="1"/>
    <col min="14347" max="14347" width="50" style="715" customWidth="1"/>
    <col min="14348" max="14348" width="38.33203125" style="715" customWidth="1"/>
    <col min="14349" max="14350" width="49.83203125" style="715" customWidth="1"/>
    <col min="14351" max="14351" width="38.1640625" style="715" customWidth="1"/>
    <col min="14352" max="14352" width="49.83203125" style="715" customWidth="1"/>
    <col min="14353" max="14353" width="50" style="715" customWidth="1"/>
    <col min="14354" max="14354" width="38.33203125" style="715" customWidth="1"/>
    <col min="14355" max="14356" width="49.83203125" style="715" customWidth="1"/>
    <col min="14357" max="14357" width="38.1640625" style="715" customWidth="1"/>
    <col min="14358" max="14359" width="50" style="715" customWidth="1"/>
    <col min="14360" max="14360" width="38.33203125" style="715" customWidth="1"/>
    <col min="14361" max="14361" width="50" style="715" customWidth="1"/>
    <col min="14362" max="14362" width="186.33203125" style="715" customWidth="1"/>
    <col min="14363" max="14363" width="50" style="715" customWidth="1"/>
    <col min="14364" max="14364" width="38.33203125" style="715" customWidth="1"/>
    <col min="14365" max="14365" width="49.83203125" style="715" customWidth="1"/>
    <col min="14366" max="14366" width="50" style="715" customWidth="1"/>
    <col min="14367" max="14367" width="45" style="715" customWidth="1"/>
    <col min="14368" max="14368" width="50.33203125" style="715" customWidth="1"/>
    <col min="14369" max="14369" width="50" style="715" customWidth="1"/>
    <col min="14370" max="14370" width="45" style="715" customWidth="1"/>
    <col min="14371" max="14371" width="50" style="715" customWidth="1"/>
    <col min="14372" max="14372" width="51" style="715" customWidth="1"/>
    <col min="14373" max="14585" width="9.33203125" style="715"/>
    <col min="14586" max="14586" width="186.33203125" style="715" customWidth="1"/>
    <col min="14587" max="14587" width="49.83203125" style="715" customWidth="1"/>
    <col min="14588" max="14588" width="38.33203125" style="715" customWidth="1"/>
    <col min="14589" max="14590" width="50" style="715" customWidth="1"/>
    <col min="14591" max="14591" width="37.6640625" style="715" customWidth="1"/>
    <col min="14592" max="14592" width="50" style="715" customWidth="1"/>
    <col min="14593" max="14593" width="51.33203125" style="715" customWidth="1"/>
    <col min="14594" max="14594" width="38.1640625" style="715" customWidth="1"/>
    <col min="14595" max="14596" width="50" style="715" customWidth="1"/>
    <col min="14597" max="14597" width="38.33203125" style="715" customWidth="1"/>
    <col min="14598" max="14599" width="50" style="715" customWidth="1"/>
    <col min="14600" max="14600" width="38.33203125" style="715" customWidth="1"/>
    <col min="14601" max="14601" width="50" style="715" customWidth="1"/>
    <col min="14602" max="14602" width="186.33203125" style="715" customWidth="1"/>
    <col min="14603" max="14603" width="50" style="715" customWidth="1"/>
    <col min="14604" max="14604" width="38.33203125" style="715" customWidth="1"/>
    <col min="14605" max="14606" width="49.83203125" style="715" customWidth="1"/>
    <col min="14607" max="14607" width="38.1640625" style="715" customWidth="1"/>
    <col min="14608" max="14608" width="49.83203125" style="715" customWidth="1"/>
    <col min="14609" max="14609" width="50" style="715" customWidth="1"/>
    <col min="14610" max="14610" width="38.33203125" style="715" customWidth="1"/>
    <col min="14611" max="14612" width="49.83203125" style="715" customWidth="1"/>
    <col min="14613" max="14613" width="38.1640625" style="715" customWidth="1"/>
    <col min="14614" max="14615" width="50" style="715" customWidth="1"/>
    <col min="14616" max="14616" width="38.33203125" style="715" customWidth="1"/>
    <col min="14617" max="14617" width="50" style="715" customWidth="1"/>
    <col min="14618" max="14618" width="186.33203125" style="715" customWidth="1"/>
    <col min="14619" max="14619" width="50" style="715" customWidth="1"/>
    <col min="14620" max="14620" width="38.33203125" style="715" customWidth="1"/>
    <col min="14621" max="14621" width="49.83203125" style="715" customWidth="1"/>
    <col min="14622" max="14622" width="50" style="715" customWidth="1"/>
    <col min="14623" max="14623" width="45" style="715" customWidth="1"/>
    <col min="14624" max="14624" width="50.33203125" style="715" customWidth="1"/>
    <col min="14625" max="14625" width="50" style="715" customWidth="1"/>
    <col min="14626" max="14626" width="45" style="715" customWidth="1"/>
    <col min="14627" max="14627" width="50" style="715" customWidth="1"/>
    <col min="14628" max="14628" width="51" style="715" customWidth="1"/>
    <col min="14629" max="14841" width="9.33203125" style="715"/>
    <col min="14842" max="14842" width="186.33203125" style="715" customWidth="1"/>
    <col min="14843" max="14843" width="49.83203125" style="715" customWidth="1"/>
    <col min="14844" max="14844" width="38.33203125" style="715" customWidth="1"/>
    <col min="14845" max="14846" width="50" style="715" customWidth="1"/>
    <col min="14847" max="14847" width="37.6640625" style="715" customWidth="1"/>
    <col min="14848" max="14848" width="50" style="715" customWidth="1"/>
    <col min="14849" max="14849" width="51.33203125" style="715" customWidth="1"/>
    <col min="14850" max="14850" width="38.1640625" style="715" customWidth="1"/>
    <col min="14851" max="14852" width="50" style="715" customWidth="1"/>
    <col min="14853" max="14853" width="38.33203125" style="715" customWidth="1"/>
    <col min="14854" max="14855" width="50" style="715" customWidth="1"/>
    <col min="14856" max="14856" width="38.33203125" style="715" customWidth="1"/>
    <col min="14857" max="14857" width="50" style="715" customWidth="1"/>
    <col min="14858" max="14858" width="186.33203125" style="715" customWidth="1"/>
    <col min="14859" max="14859" width="50" style="715" customWidth="1"/>
    <col min="14860" max="14860" width="38.33203125" style="715" customWidth="1"/>
    <col min="14861" max="14862" width="49.83203125" style="715" customWidth="1"/>
    <col min="14863" max="14863" width="38.1640625" style="715" customWidth="1"/>
    <col min="14864" max="14864" width="49.83203125" style="715" customWidth="1"/>
    <col min="14865" max="14865" width="50" style="715" customWidth="1"/>
    <col min="14866" max="14866" width="38.33203125" style="715" customWidth="1"/>
    <col min="14867" max="14868" width="49.83203125" style="715" customWidth="1"/>
    <col min="14869" max="14869" width="38.1640625" style="715" customWidth="1"/>
    <col min="14870" max="14871" width="50" style="715" customWidth="1"/>
    <col min="14872" max="14872" width="38.33203125" style="715" customWidth="1"/>
    <col min="14873" max="14873" width="50" style="715" customWidth="1"/>
    <col min="14874" max="14874" width="186.33203125" style="715" customWidth="1"/>
    <col min="14875" max="14875" width="50" style="715" customWidth="1"/>
    <col min="14876" max="14876" width="38.33203125" style="715" customWidth="1"/>
    <col min="14877" max="14877" width="49.83203125" style="715" customWidth="1"/>
    <col min="14878" max="14878" width="50" style="715" customWidth="1"/>
    <col min="14879" max="14879" width="45" style="715" customWidth="1"/>
    <col min="14880" max="14880" width="50.33203125" style="715" customWidth="1"/>
    <col min="14881" max="14881" width="50" style="715" customWidth="1"/>
    <col min="14882" max="14882" width="45" style="715" customWidth="1"/>
    <col min="14883" max="14883" width="50" style="715" customWidth="1"/>
    <col min="14884" max="14884" width="51" style="715" customWidth="1"/>
    <col min="14885" max="15097" width="9.33203125" style="715"/>
    <col min="15098" max="15098" width="186.33203125" style="715" customWidth="1"/>
    <col min="15099" max="15099" width="49.83203125" style="715" customWidth="1"/>
    <col min="15100" max="15100" width="38.33203125" style="715" customWidth="1"/>
    <col min="15101" max="15102" width="50" style="715" customWidth="1"/>
    <col min="15103" max="15103" width="37.6640625" style="715" customWidth="1"/>
    <col min="15104" max="15104" width="50" style="715" customWidth="1"/>
    <col min="15105" max="15105" width="51.33203125" style="715" customWidth="1"/>
    <col min="15106" max="15106" width="38.1640625" style="715" customWidth="1"/>
    <col min="15107" max="15108" width="50" style="715" customWidth="1"/>
    <col min="15109" max="15109" width="38.33203125" style="715" customWidth="1"/>
    <col min="15110" max="15111" width="50" style="715" customWidth="1"/>
    <col min="15112" max="15112" width="38.33203125" style="715" customWidth="1"/>
    <col min="15113" max="15113" width="50" style="715" customWidth="1"/>
    <col min="15114" max="15114" width="186.33203125" style="715" customWidth="1"/>
    <col min="15115" max="15115" width="50" style="715" customWidth="1"/>
    <col min="15116" max="15116" width="38.33203125" style="715" customWidth="1"/>
    <col min="15117" max="15118" width="49.83203125" style="715" customWidth="1"/>
    <col min="15119" max="15119" width="38.1640625" style="715" customWidth="1"/>
    <col min="15120" max="15120" width="49.83203125" style="715" customWidth="1"/>
    <col min="15121" max="15121" width="50" style="715" customWidth="1"/>
    <col min="15122" max="15122" width="38.33203125" style="715" customWidth="1"/>
    <col min="15123" max="15124" width="49.83203125" style="715" customWidth="1"/>
    <col min="15125" max="15125" width="38.1640625" style="715" customWidth="1"/>
    <col min="15126" max="15127" width="50" style="715" customWidth="1"/>
    <col min="15128" max="15128" width="38.33203125" style="715" customWidth="1"/>
    <col min="15129" max="15129" width="50" style="715" customWidth="1"/>
    <col min="15130" max="15130" width="186.33203125" style="715" customWidth="1"/>
    <col min="15131" max="15131" width="50" style="715" customWidth="1"/>
    <col min="15132" max="15132" width="38.33203125" style="715" customWidth="1"/>
    <col min="15133" max="15133" width="49.83203125" style="715" customWidth="1"/>
    <col min="15134" max="15134" width="50" style="715" customWidth="1"/>
    <col min="15135" max="15135" width="45" style="715" customWidth="1"/>
    <col min="15136" max="15136" width="50.33203125" style="715" customWidth="1"/>
    <col min="15137" max="15137" width="50" style="715" customWidth="1"/>
    <col min="15138" max="15138" width="45" style="715" customWidth="1"/>
    <col min="15139" max="15139" width="50" style="715" customWidth="1"/>
    <col min="15140" max="15140" width="51" style="715" customWidth="1"/>
    <col min="15141" max="15353" width="9.33203125" style="715"/>
    <col min="15354" max="15354" width="186.33203125" style="715" customWidth="1"/>
    <col min="15355" max="15355" width="49.83203125" style="715" customWidth="1"/>
    <col min="15356" max="15356" width="38.33203125" style="715" customWidth="1"/>
    <col min="15357" max="15358" width="50" style="715" customWidth="1"/>
    <col min="15359" max="15359" width="37.6640625" style="715" customWidth="1"/>
    <col min="15360" max="15360" width="50" style="715" customWidth="1"/>
    <col min="15361" max="15361" width="51.33203125" style="715" customWidth="1"/>
    <col min="15362" max="15362" width="38.1640625" style="715" customWidth="1"/>
    <col min="15363" max="15364" width="50" style="715" customWidth="1"/>
    <col min="15365" max="15365" width="38.33203125" style="715" customWidth="1"/>
    <col min="15366" max="15367" width="50" style="715" customWidth="1"/>
    <col min="15368" max="15368" width="38.33203125" style="715" customWidth="1"/>
    <col min="15369" max="15369" width="50" style="715" customWidth="1"/>
    <col min="15370" max="15370" width="186.33203125" style="715" customWidth="1"/>
    <col min="15371" max="15371" width="50" style="715" customWidth="1"/>
    <col min="15372" max="15372" width="38.33203125" style="715" customWidth="1"/>
    <col min="15373" max="15374" width="49.83203125" style="715" customWidth="1"/>
    <col min="15375" max="15375" width="38.1640625" style="715" customWidth="1"/>
    <col min="15376" max="15376" width="49.83203125" style="715" customWidth="1"/>
    <col min="15377" max="15377" width="50" style="715" customWidth="1"/>
    <col min="15378" max="15378" width="38.33203125" style="715" customWidth="1"/>
    <col min="15379" max="15380" width="49.83203125" style="715" customWidth="1"/>
    <col min="15381" max="15381" width="38.1640625" style="715" customWidth="1"/>
    <col min="15382" max="15383" width="50" style="715" customWidth="1"/>
    <col min="15384" max="15384" width="38.33203125" style="715" customWidth="1"/>
    <col min="15385" max="15385" width="50" style="715" customWidth="1"/>
    <col min="15386" max="15386" width="186.33203125" style="715" customWidth="1"/>
    <col min="15387" max="15387" width="50" style="715" customWidth="1"/>
    <col min="15388" max="15388" width="38.33203125" style="715" customWidth="1"/>
    <col min="15389" max="15389" width="49.83203125" style="715" customWidth="1"/>
    <col min="15390" max="15390" width="50" style="715" customWidth="1"/>
    <col min="15391" max="15391" width="45" style="715" customWidth="1"/>
    <col min="15392" max="15392" width="50.33203125" style="715" customWidth="1"/>
    <col min="15393" max="15393" width="50" style="715" customWidth="1"/>
    <col min="15394" max="15394" width="45" style="715" customWidth="1"/>
    <col min="15395" max="15395" width="50" style="715" customWidth="1"/>
    <col min="15396" max="15396" width="51" style="715" customWidth="1"/>
    <col min="15397" max="15609" width="9.33203125" style="715"/>
    <col min="15610" max="15610" width="186.33203125" style="715" customWidth="1"/>
    <col min="15611" max="15611" width="49.83203125" style="715" customWidth="1"/>
    <col min="15612" max="15612" width="38.33203125" style="715" customWidth="1"/>
    <col min="15613" max="15614" width="50" style="715" customWidth="1"/>
    <col min="15615" max="15615" width="37.6640625" style="715" customWidth="1"/>
    <col min="15616" max="15616" width="50" style="715" customWidth="1"/>
    <col min="15617" max="15617" width="51.33203125" style="715" customWidth="1"/>
    <col min="15618" max="15618" width="38.1640625" style="715" customWidth="1"/>
    <col min="15619" max="15620" width="50" style="715" customWidth="1"/>
    <col min="15621" max="15621" width="38.33203125" style="715" customWidth="1"/>
    <col min="15622" max="15623" width="50" style="715" customWidth="1"/>
    <col min="15624" max="15624" width="38.33203125" style="715" customWidth="1"/>
    <col min="15625" max="15625" width="50" style="715" customWidth="1"/>
    <col min="15626" max="15626" width="186.33203125" style="715" customWidth="1"/>
    <col min="15627" max="15627" width="50" style="715" customWidth="1"/>
    <col min="15628" max="15628" width="38.33203125" style="715" customWidth="1"/>
    <col min="15629" max="15630" width="49.83203125" style="715" customWidth="1"/>
    <col min="15631" max="15631" width="38.1640625" style="715" customWidth="1"/>
    <col min="15632" max="15632" width="49.83203125" style="715" customWidth="1"/>
    <col min="15633" max="15633" width="50" style="715" customWidth="1"/>
    <col min="15634" max="15634" width="38.33203125" style="715" customWidth="1"/>
    <col min="15635" max="15636" width="49.83203125" style="715" customWidth="1"/>
    <col min="15637" max="15637" width="38.1640625" style="715" customWidth="1"/>
    <col min="15638" max="15639" width="50" style="715" customWidth="1"/>
    <col min="15640" max="15640" width="38.33203125" style="715" customWidth="1"/>
    <col min="15641" max="15641" width="50" style="715" customWidth="1"/>
    <col min="15642" max="15642" width="186.33203125" style="715" customWidth="1"/>
    <col min="15643" max="15643" width="50" style="715" customWidth="1"/>
    <col min="15644" max="15644" width="38.33203125" style="715" customWidth="1"/>
    <col min="15645" max="15645" width="49.83203125" style="715" customWidth="1"/>
    <col min="15646" max="15646" width="50" style="715" customWidth="1"/>
    <col min="15647" max="15647" width="45" style="715" customWidth="1"/>
    <col min="15648" max="15648" width="50.33203125" style="715" customWidth="1"/>
    <col min="15649" max="15649" width="50" style="715" customWidth="1"/>
    <col min="15650" max="15650" width="45" style="715" customWidth="1"/>
    <col min="15651" max="15651" width="50" style="715" customWidth="1"/>
    <col min="15652" max="15652" width="51" style="715" customWidth="1"/>
    <col min="15653" max="15865" width="9.33203125" style="715"/>
    <col min="15866" max="15866" width="186.33203125" style="715" customWidth="1"/>
    <col min="15867" max="15867" width="49.83203125" style="715" customWidth="1"/>
    <col min="15868" max="15868" width="38.33203125" style="715" customWidth="1"/>
    <col min="15869" max="15870" width="50" style="715" customWidth="1"/>
    <col min="15871" max="15871" width="37.6640625" style="715" customWidth="1"/>
    <col min="15872" max="15872" width="50" style="715" customWidth="1"/>
    <col min="15873" max="15873" width="51.33203125" style="715" customWidth="1"/>
    <col min="15874" max="15874" width="38.1640625" style="715" customWidth="1"/>
    <col min="15875" max="15876" width="50" style="715" customWidth="1"/>
    <col min="15877" max="15877" width="38.33203125" style="715" customWidth="1"/>
    <col min="15878" max="15879" width="50" style="715" customWidth="1"/>
    <col min="15880" max="15880" width="38.33203125" style="715" customWidth="1"/>
    <col min="15881" max="15881" width="50" style="715" customWidth="1"/>
    <col min="15882" max="15882" width="186.33203125" style="715" customWidth="1"/>
    <col min="15883" max="15883" width="50" style="715" customWidth="1"/>
    <col min="15884" max="15884" width="38.33203125" style="715" customWidth="1"/>
    <col min="15885" max="15886" width="49.83203125" style="715" customWidth="1"/>
    <col min="15887" max="15887" width="38.1640625" style="715" customWidth="1"/>
    <col min="15888" max="15888" width="49.83203125" style="715" customWidth="1"/>
    <col min="15889" max="15889" width="50" style="715" customWidth="1"/>
    <col min="15890" max="15890" width="38.33203125" style="715" customWidth="1"/>
    <col min="15891" max="15892" width="49.83203125" style="715" customWidth="1"/>
    <col min="15893" max="15893" width="38.1640625" style="715" customWidth="1"/>
    <col min="15894" max="15895" width="50" style="715" customWidth="1"/>
    <col min="15896" max="15896" width="38.33203125" style="715" customWidth="1"/>
    <col min="15897" max="15897" width="50" style="715" customWidth="1"/>
    <col min="15898" max="15898" width="186.33203125" style="715" customWidth="1"/>
    <col min="15899" max="15899" width="50" style="715" customWidth="1"/>
    <col min="15900" max="15900" width="38.33203125" style="715" customWidth="1"/>
    <col min="15901" max="15901" width="49.83203125" style="715" customWidth="1"/>
    <col min="15902" max="15902" width="50" style="715" customWidth="1"/>
    <col min="15903" max="15903" width="45" style="715" customWidth="1"/>
    <col min="15904" max="15904" width="50.33203125" style="715" customWidth="1"/>
    <col min="15905" max="15905" width="50" style="715" customWidth="1"/>
    <col min="15906" max="15906" width="45" style="715" customWidth="1"/>
    <col min="15907" max="15907" width="50" style="715" customWidth="1"/>
    <col min="15908" max="15908" width="51" style="715" customWidth="1"/>
    <col min="15909" max="16121" width="9.33203125" style="715"/>
    <col min="16122" max="16122" width="186.33203125" style="715" customWidth="1"/>
    <col min="16123" max="16123" width="49.83203125" style="715" customWidth="1"/>
    <col min="16124" max="16124" width="38.33203125" style="715" customWidth="1"/>
    <col min="16125" max="16126" width="50" style="715" customWidth="1"/>
    <col min="16127" max="16127" width="37.6640625" style="715" customWidth="1"/>
    <col min="16128" max="16128" width="50" style="715" customWidth="1"/>
    <col min="16129" max="16129" width="51.33203125" style="715" customWidth="1"/>
    <col min="16130" max="16130" width="38.1640625" style="715" customWidth="1"/>
    <col min="16131" max="16132" width="50" style="715" customWidth="1"/>
    <col min="16133" max="16133" width="38.33203125" style="715" customWidth="1"/>
    <col min="16134" max="16135" width="50" style="715" customWidth="1"/>
    <col min="16136" max="16136" width="38.33203125" style="715" customWidth="1"/>
    <col min="16137" max="16137" width="50" style="715" customWidth="1"/>
    <col min="16138" max="16138" width="186.33203125" style="715" customWidth="1"/>
    <col min="16139" max="16139" width="50" style="715" customWidth="1"/>
    <col min="16140" max="16140" width="38.33203125" style="715" customWidth="1"/>
    <col min="16141" max="16142" width="49.83203125" style="715" customWidth="1"/>
    <col min="16143" max="16143" width="38.1640625" style="715" customWidth="1"/>
    <col min="16144" max="16144" width="49.83203125" style="715" customWidth="1"/>
    <col min="16145" max="16145" width="50" style="715" customWidth="1"/>
    <col min="16146" max="16146" width="38.33203125" style="715" customWidth="1"/>
    <col min="16147" max="16148" width="49.83203125" style="715" customWidth="1"/>
    <col min="16149" max="16149" width="38.1640625" style="715" customWidth="1"/>
    <col min="16150" max="16151" width="50" style="715" customWidth="1"/>
    <col min="16152" max="16152" width="38.33203125" style="715" customWidth="1"/>
    <col min="16153" max="16153" width="50" style="715" customWidth="1"/>
    <col min="16154" max="16154" width="186.33203125" style="715" customWidth="1"/>
    <col min="16155" max="16155" width="50" style="715" customWidth="1"/>
    <col min="16156" max="16156" width="38.33203125" style="715" customWidth="1"/>
    <col min="16157" max="16157" width="49.83203125" style="715" customWidth="1"/>
    <col min="16158" max="16158" width="50" style="715" customWidth="1"/>
    <col min="16159" max="16159" width="45" style="715" customWidth="1"/>
    <col min="16160" max="16160" width="50.33203125" style="715" customWidth="1"/>
    <col min="16161" max="16161" width="50" style="715" customWidth="1"/>
    <col min="16162" max="16162" width="45" style="715" customWidth="1"/>
    <col min="16163" max="16163" width="50" style="715" customWidth="1"/>
    <col min="16164" max="16164" width="51" style="715" customWidth="1"/>
    <col min="16165" max="16384" width="9.33203125" style="715"/>
  </cols>
  <sheetData>
    <row r="1" spans="1:42" ht="26.45" customHeight="1" x14ac:dyDescent="0.7">
      <c r="A1" s="712"/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2"/>
      <c r="R1" s="713"/>
      <c r="S1" s="713"/>
      <c r="T1" s="713"/>
      <c r="U1" s="713"/>
      <c r="V1" s="713"/>
      <c r="W1" s="713"/>
      <c r="X1" s="713"/>
      <c r="Y1" s="713"/>
      <c r="Z1" s="713"/>
      <c r="AA1" s="713"/>
      <c r="AB1" s="713"/>
      <c r="AC1" s="713"/>
      <c r="AD1" s="713"/>
      <c r="AE1" s="713"/>
      <c r="AF1" s="713"/>
      <c r="AG1" s="712"/>
      <c r="AH1" s="712"/>
      <c r="AI1" s="712"/>
      <c r="AJ1" s="712"/>
      <c r="AK1" s="712"/>
      <c r="AL1" s="712"/>
      <c r="AM1" s="714"/>
      <c r="AN1" s="714"/>
      <c r="AO1" s="714"/>
      <c r="AP1" s="713"/>
    </row>
    <row r="2" spans="1:42" ht="26.45" customHeight="1" x14ac:dyDescent="0.7">
      <c r="A2" s="712"/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2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2"/>
      <c r="AH2" s="712"/>
      <c r="AI2" s="712"/>
      <c r="AJ2" s="712"/>
      <c r="AK2" s="712"/>
      <c r="AL2" s="712"/>
      <c r="AM2" s="714"/>
      <c r="AN2" s="714"/>
      <c r="AO2" s="714"/>
      <c r="AP2" s="713"/>
    </row>
    <row r="3" spans="1:42" ht="54" customHeight="1" x14ac:dyDescent="0.7">
      <c r="A3" s="716"/>
      <c r="B3" s="1024" t="s">
        <v>211</v>
      </c>
      <c r="C3" s="1024"/>
      <c r="D3" s="1024"/>
      <c r="E3" s="1024"/>
      <c r="F3" s="1024"/>
      <c r="G3" s="1024"/>
      <c r="H3" s="1024"/>
      <c r="I3" s="1024"/>
      <c r="J3" s="1024"/>
      <c r="K3" s="1024"/>
      <c r="L3" s="1024"/>
      <c r="M3" s="1024"/>
      <c r="N3" s="1024"/>
      <c r="O3" s="1024"/>
      <c r="P3" s="1024"/>
      <c r="Q3" s="712"/>
      <c r="R3" s="1025" t="s">
        <v>211</v>
      </c>
      <c r="S3" s="1025"/>
      <c r="T3" s="1025"/>
      <c r="U3" s="1025"/>
      <c r="V3" s="1025"/>
      <c r="W3" s="1025"/>
      <c r="X3" s="1025"/>
      <c r="Y3" s="1025"/>
      <c r="Z3" s="1025"/>
      <c r="AA3" s="1025"/>
      <c r="AB3" s="1025"/>
      <c r="AC3" s="1025"/>
      <c r="AD3" s="1025"/>
      <c r="AE3" s="1025"/>
      <c r="AF3" s="1025"/>
      <c r="AG3" s="712"/>
      <c r="AH3" s="1025" t="s">
        <v>211</v>
      </c>
      <c r="AI3" s="1025"/>
      <c r="AJ3" s="1025"/>
      <c r="AK3" s="1025"/>
      <c r="AL3" s="1025"/>
      <c r="AM3" s="1025"/>
      <c r="AN3" s="1025"/>
      <c r="AO3" s="1025"/>
      <c r="AP3" s="1025"/>
    </row>
    <row r="4" spans="1:42" ht="54" customHeight="1" x14ac:dyDescent="0.7">
      <c r="A4" s="716"/>
      <c r="B4" s="1024" t="s">
        <v>709</v>
      </c>
      <c r="C4" s="1024"/>
      <c r="D4" s="1024"/>
      <c r="E4" s="1024"/>
      <c r="F4" s="1024"/>
      <c r="G4" s="1024"/>
      <c r="H4" s="1024"/>
      <c r="I4" s="1024"/>
      <c r="J4" s="1024"/>
      <c r="K4" s="1024"/>
      <c r="L4" s="1024"/>
      <c r="M4" s="1024"/>
      <c r="N4" s="1024"/>
      <c r="O4" s="1024"/>
      <c r="P4" s="1024"/>
      <c r="Q4" s="712"/>
      <c r="R4" s="1025" t="s">
        <v>709</v>
      </c>
      <c r="S4" s="1025"/>
      <c r="T4" s="1025"/>
      <c r="U4" s="1025"/>
      <c r="V4" s="1025"/>
      <c r="W4" s="1025"/>
      <c r="X4" s="1025"/>
      <c r="Y4" s="1025"/>
      <c r="Z4" s="1025"/>
      <c r="AA4" s="1025"/>
      <c r="AB4" s="1025"/>
      <c r="AC4" s="1025"/>
      <c r="AD4" s="1025"/>
      <c r="AE4" s="1025"/>
      <c r="AF4" s="1025"/>
      <c r="AG4" s="712"/>
      <c r="AH4" s="1025" t="s">
        <v>709</v>
      </c>
      <c r="AI4" s="1025"/>
      <c r="AJ4" s="1025"/>
      <c r="AK4" s="1025"/>
      <c r="AL4" s="1025"/>
      <c r="AM4" s="1025"/>
      <c r="AN4" s="1025"/>
      <c r="AO4" s="1025"/>
      <c r="AP4" s="1025"/>
    </row>
    <row r="5" spans="1:42" ht="42.75" customHeight="1" thickBot="1" x14ac:dyDescent="0.75">
      <c r="A5" s="712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 t="s">
        <v>203</v>
      </c>
      <c r="Q5" s="712"/>
      <c r="R5" s="713"/>
      <c r="S5" s="713"/>
      <c r="T5" s="713"/>
      <c r="U5" s="713"/>
      <c r="V5" s="713"/>
      <c r="W5" s="713"/>
      <c r="X5" s="713"/>
      <c r="Y5" s="713"/>
      <c r="Z5" s="713"/>
      <c r="AA5" s="713"/>
      <c r="AB5" s="713"/>
      <c r="AC5" s="713"/>
      <c r="AD5" s="713"/>
      <c r="AE5" s="713"/>
      <c r="AF5" s="713" t="s">
        <v>203</v>
      </c>
      <c r="AG5" s="712"/>
      <c r="AH5" s="712"/>
      <c r="AI5" s="712"/>
      <c r="AJ5" s="712"/>
      <c r="AK5" s="712"/>
      <c r="AL5" s="712"/>
      <c r="AM5" s="714"/>
      <c r="AN5" s="714"/>
      <c r="AO5" s="714"/>
      <c r="AP5" s="713" t="s">
        <v>203</v>
      </c>
    </row>
    <row r="6" spans="1:42" s="719" customFormat="1" ht="140.25" customHeight="1" x14ac:dyDescent="0.7">
      <c r="A6" s="718" t="s">
        <v>710</v>
      </c>
      <c r="B6" s="1029" t="s">
        <v>50</v>
      </c>
      <c r="C6" s="1030"/>
      <c r="D6" s="1031"/>
      <c r="E6" s="1026" t="s">
        <v>243</v>
      </c>
      <c r="F6" s="1027"/>
      <c r="G6" s="1028"/>
      <c r="H6" s="1026" t="s">
        <v>711</v>
      </c>
      <c r="I6" s="1027"/>
      <c r="J6" s="1028"/>
      <c r="K6" s="1029" t="s">
        <v>181</v>
      </c>
      <c r="L6" s="1030"/>
      <c r="M6" s="1031"/>
      <c r="N6" s="1026" t="s">
        <v>221</v>
      </c>
      <c r="O6" s="1027"/>
      <c r="P6" s="1028"/>
      <c r="Q6" s="718" t="s">
        <v>710</v>
      </c>
      <c r="R6" s="1029" t="s">
        <v>66</v>
      </c>
      <c r="S6" s="1030"/>
      <c r="T6" s="1031"/>
      <c r="U6" s="1026" t="s">
        <v>67</v>
      </c>
      <c r="V6" s="1027"/>
      <c r="W6" s="1028"/>
      <c r="X6" s="1026" t="s">
        <v>249</v>
      </c>
      <c r="Y6" s="1027"/>
      <c r="Z6" s="1028"/>
      <c r="AA6" s="1026" t="s">
        <v>222</v>
      </c>
      <c r="AB6" s="1027"/>
      <c r="AC6" s="1028"/>
      <c r="AD6" s="1026" t="s">
        <v>712</v>
      </c>
      <c r="AE6" s="1027"/>
      <c r="AF6" s="1028"/>
      <c r="AG6" s="718" t="s">
        <v>710</v>
      </c>
      <c r="AH6" s="1026" t="s">
        <v>713</v>
      </c>
      <c r="AI6" s="1027"/>
      <c r="AJ6" s="1028"/>
      <c r="AK6" s="1026" t="s">
        <v>714</v>
      </c>
      <c r="AL6" s="1027"/>
      <c r="AM6" s="1028"/>
      <c r="AN6" s="1026" t="s">
        <v>715</v>
      </c>
      <c r="AO6" s="1027"/>
      <c r="AP6" s="1028"/>
    </row>
    <row r="7" spans="1:42" s="719" customFormat="1" ht="78.75" customHeight="1" thickBot="1" x14ac:dyDescent="0.75">
      <c r="A7" s="720" t="s">
        <v>716</v>
      </c>
      <c r="B7" s="1032"/>
      <c r="C7" s="1033"/>
      <c r="D7" s="1034"/>
      <c r="E7" s="721"/>
      <c r="F7" s="722"/>
      <c r="G7" s="723"/>
      <c r="H7" s="721"/>
      <c r="I7" s="722"/>
      <c r="J7" s="723"/>
      <c r="K7" s="721"/>
      <c r="L7" s="722"/>
      <c r="M7" s="723"/>
      <c r="N7" s="1032"/>
      <c r="O7" s="1033"/>
      <c r="P7" s="1034"/>
      <c r="Q7" s="720" t="s">
        <v>716</v>
      </c>
      <c r="R7" s="1032"/>
      <c r="S7" s="1033"/>
      <c r="T7" s="1034"/>
      <c r="U7" s="724"/>
      <c r="V7" s="724"/>
      <c r="W7" s="724"/>
      <c r="X7" s="1032"/>
      <c r="Y7" s="1033"/>
      <c r="Z7" s="1034"/>
      <c r="AA7" s="1032"/>
      <c r="AB7" s="1033"/>
      <c r="AC7" s="1034"/>
      <c r="AD7" s="1032"/>
      <c r="AE7" s="1033"/>
      <c r="AF7" s="1034"/>
      <c r="AG7" s="720" t="s">
        <v>716</v>
      </c>
      <c r="AH7" s="725"/>
      <c r="AI7" s="726"/>
      <c r="AJ7" s="727"/>
      <c r="AK7" s="1032"/>
      <c r="AL7" s="1033"/>
      <c r="AM7" s="1034"/>
      <c r="AN7" s="1032"/>
      <c r="AO7" s="1033"/>
      <c r="AP7" s="1034"/>
    </row>
    <row r="8" spans="1:42" s="730" customFormat="1" ht="147.75" customHeight="1" thickBot="1" x14ac:dyDescent="0.65">
      <c r="A8" s="728"/>
      <c r="B8" s="729" t="s">
        <v>717</v>
      </c>
      <c r="C8" s="729" t="s">
        <v>718</v>
      </c>
      <c r="D8" s="729" t="s">
        <v>719</v>
      </c>
      <c r="E8" s="729" t="s">
        <v>717</v>
      </c>
      <c r="F8" s="729" t="s">
        <v>718</v>
      </c>
      <c r="G8" s="729" t="s">
        <v>719</v>
      </c>
      <c r="H8" s="729" t="s">
        <v>717</v>
      </c>
      <c r="I8" s="729" t="s">
        <v>718</v>
      </c>
      <c r="J8" s="729" t="s">
        <v>719</v>
      </c>
      <c r="K8" s="729" t="s">
        <v>717</v>
      </c>
      <c r="L8" s="729" t="s">
        <v>718</v>
      </c>
      <c r="M8" s="729" t="s">
        <v>719</v>
      </c>
      <c r="N8" s="729" t="s">
        <v>717</v>
      </c>
      <c r="O8" s="729" t="s">
        <v>718</v>
      </c>
      <c r="P8" s="729" t="s">
        <v>719</v>
      </c>
      <c r="Q8" s="728"/>
      <c r="R8" s="729" t="s">
        <v>717</v>
      </c>
      <c r="S8" s="729" t="s">
        <v>718</v>
      </c>
      <c r="T8" s="729" t="s">
        <v>719</v>
      </c>
      <c r="U8" s="729" t="s">
        <v>717</v>
      </c>
      <c r="V8" s="729" t="s">
        <v>718</v>
      </c>
      <c r="W8" s="729" t="s">
        <v>719</v>
      </c>
      <c r="X8" s="729" t="s">
        <v>717</v>
      </c>
      <c r="Y8" s="729" t="s">
        <v>718</v>
      </c>
      <c r="Z8" s="729" t="s">
        <v>719</v>
      </c>
      <c r="AA8" s="729" t="s">
        <v>717</v>
      </c>
      <c r="AB8" s="729" t="s">
        <v>718</v>
      </c>
      <c r="AC8" s="729" t="s">
        <v>719</v>
      </c>
      <c r="AD8" s="729" t="s">
        <v>717</v>
      </c>
      <c r="AE8" s="729" t="s">
        <v>718</v>
      </c>
      <c r="AF8" s="729" t="s">
        <v>719</v>
      </c>
      <c r="AG8" s="728"/>
      <c r="AH8" s="729" t="s">
        <v>717</v>
      </c>
      <c r="AI8" s="729" t="s">
        <v>718</v>
      </c>
      <c r="AJ8" s="729" t="s">
        <v>719</v>
      </c>
      <c r="AK8" s="729" t="s">
        <v>717</v>
      </c>
      <c r="AL8" s="729" t="s">
        <v>718</v>
      </c>
      <c r="AM8" s="729" t="s">
        <v>719</v>
      </c>
      <c r="AN8" s="729" t="s">
        <v>717</v>
      </c>
      <c r="AO8" s="729" t="s">
        <v>718</v>
      </c>
      <c r="AP8" s="729" t="s">
        <v>719</v>
      </c>
    </row>
    <row r="9" spans="1:42" ht="45.75" customHeight="1" x14ac:dyDescent="0.7">
      <c r="A9" s="731" t="s">
        <v>720</v>
      </c>
      <c r="B9" s="732"/>
      <c r="C9" s="732"/>
      <c r="D9" s="732"/>
      <c r="E9" s="732"/>
      <c r="F9" s="732"/>
      <c r="G9" s="732"/>
      <c r="H9" s="732"/>
      <c r="I9" s="732"/>
      <c r="J9" s="732"/>
      <c r="K9" s="732"/>
      <c r="L9" s="732"/>
      <c r="M9" s="732"/>
      <c r="N9" s="732"/>
      <c r="O9" s="732"/>
      <c r="P9" s="732"/>
      <c r="Q9" s="731" t="s">
        <v>720</v>
      </c>
      <c r="R9" s="732"/>
      <c r="S9" s="732"/>
      <c r="T9" s="732"/>
      <c r="U9" s="732"/>
      <c r="V9" s="732"/>
      <c r="W9" s="732"/>
      <c r="X9" s="732"/>
      <c r="Y9" s="732"/>
      <c r="Z9" s="732"/>
      <c r="AA9" s="732"/>
      <c r="AB9" s="732"/>
      <c r="AC9" s="732"/>
      <c r="AD9" s="732"/>
      <c r="AE9" s="732"/>
      <c r="AF9" s="732"/>
      <c r="AG9" s="731" t="s">
        <v>720</v>
      </c>
      <c r="AH9" s="731"/>
      <c r="AI9" s="731"/>
      <c r="AJ9" s="731"/>
      <c r="AK9" s="731"/>
      <c r="AL9" s="731"/>
      <c r="AM9" s="733"/>
      <c r="AN9" s="733"/>
      <c r="AO9" s="733"/>
      <c r="AP9" s="732"/>
    </row>
    <row r="10" spans="1:42" ht="48.75" customHeight="1" x14ac:dyDescent="0.7">
      <c r="A10" s="734" t="s">
        <v>721</v>
      </c>
      <c r="B10" s="735">
        <f>'[3]int.bevételek RM II'!D10</f>
        <v>2164</v>
      </c>
      <c r="C10" s="735">
        <v>379</v>
      </c>
      <c r="D10" s="735">
        <f t="shared" ref="D10:D27" si="0">SUM(B10:C10)</f>
        <v>2543</v>
      </c>
      <c r="E10" s="735">
        <f>'[3]int.bevételek RM II'!G10</f>
        <v>0</v>
      </c>
      <c r="F10" s="735"/>
      <c r="G10" s="735">
        <f t="shared" ref="G10:G27" si="1">SUM(E10:F10)</f>
        <v>0</v>
      </c>
      <c r="H10" s="735">
        <f>'[3]int.bevételek RM II'!J10</f>
        <v>0</v>
      </c>
      <c r="I10" s="735"/>
      <c r="J10" s="735">
        <f t="shared" ref="J10:J27" si="2">SUM(H10:I10)</f>
        <v>0</v>
      </c>
      <c r="K10" s="735">
        <f>'[3]int.bevételek RM II'!M10</f>
        <v>0</v>
      </c>
      <c r="L10" s="735"/>
      <c r="M10" s="735">
        <f t="shared" ref="M10:M27" si="3">SUM(K10:L10)</f>
        <v>0</v>
      </c>
      <c r="N10" s="736">
        <f t="shared" ref="N10:P27" si="4">B10+E10+H10+K10</f>
        <v>2164</v>
      </c>
      <c r="O10" s="736">
        <f t="shared" si="4"/>
        <v>379</v>
      </c>
      <c r="P10" s="736">
        <f t="shared" si="4"/>
        <v>2543</v>
      </c>
      <c r="Q10" s="734" t="s">
        <v>721</v>
      </c>
      <c r="R10" s="735">
        <f>'[3]int.bevételek RM II'!T10</f>
        <v>0</v>
      </c>
      <c r="S10" s="735"/>
      <c r="T10" s="735">
        <f t="shared" ref="T10:T27" si="5">SUM(R10:S10)</f>
        <v>0</v>
      </c>
      <c r="U10" s="735">
        <f>'[3]int.bevételek RM II'!W10</f>
        <v>0</v>
      </c>
      <c r="V10" s="735"/>
      <c r="W10" s="735">
        <f>SUM(U10:V10)</f>
        <v>0</v>
      </c>
      <c r="X10" s="735">
        <f>'[3]int.bevételek RM II'!Z10</f>
        <v>0</v>
      </c>
      <c r="Y10" s="735"/>
      <c r="Z10" s="735">
        <f t="shared" ref="Z10:Z27" si="6">SUM(X10:Y10)</f>
        <v>0</v>
      </c>
      <c r="AA10" s="736">
        <f t="shared" ref="AA10:AC27" si="7">R10+U10+X10</f>
        <v>0</v>
      </c>
      <c r="AB10" s="736">
        <f t="shared" si="7"/>
        <v>0</v>
      </c>
      <c r="AC10" s="736">
        <f t="shared" si="7"/>
        <v>0</v>
      </c>
      <c r="AD10" s="736">
        <f>N10+AA10</f>
        <v>2164</v>
      </c>
      <c r="AE10" s="736">
        <f>O10+AB10</f>
        <v>379</v>
      </c>
      <c r="AF10" s="736">
        <f>P10+AC10</f>
        <v>2543</v>
      </c>
      <c r="AG10" s="734" t="s">
        <v>721</v>
      </c>
      <c r="AH10" s="735">
        <f>'[3]int.bevételek RM II'!AJ10</f>
        <v>2312</v>
      </c>
      <c r="AI10" s="735"/>
      <c r="AJ10" s="735">
        <f t="shared" ref="AJ10:AJ27" si="8">SUM(AH10:AI10)</f>
        <v>2312</v>
      </c>
      <c r="AK10" s="736">
        <f>'[3]int.bevételek RM II'!AM10</f>
        <v>277789</v>
      </c>
      <c r="AL10" s="736">
        <v>1684</v>
      </c>
      <c r="AM10" s="736">
        <f>SUM(AK10:AL10)</f>
        <v>279473</v>
      </c>
      <c r="AN10" s="736">
        <f t="shared" ref="AN10:AP27" si="9">N10+AA10+AH10+AK10</f>
        <v>282265</v>
      </c>
      <c r="AO10" s="736">
        <f t="shared" si="9"/>
        <v>2063</v>
      </c>
      <c r="AP10" s="736">
        <f t="shared" si="9"/>
        <v>284328</v>
      </c>
    </row>
    <row r="11" spans="1:42" ht="48.75" customHeight="1" x14ac:dyDescent="0.7">
      <c r="A11" s="737" t="s">
        <v>722</v>
      </c>
      <c r="B11" s="735">
        <f>'[3]int.bevételek RM II'!D11</f>
        <v>736</v>
      </c>
      <c r="C11" s="735"/>
      <c r="D11" s="735">
        <f t="shared" si="0"/>
        <v>736</v>
      </c>
      <c r="E11" s="735">
        <f>'[3]int.bevételek RM II'!G11</f>
        <v>0</v>
      </c>
      <c r="F11" s="735"/>
      <c r="G11" s="735">
        <f t="shared" si="1"/>
        <v>0</v>
      </c>
      <c r="H11" s="735">
        <f>'[3]int.bevételek RM II'!J11</f>
        <v>0</v>
      </c>
      <c r="I11" s="735"/>
      <c r="J11" s="735">
        <f t="shared" si="2"/>
        <v>0</v>
      </c>
      <c r="K11" s="735">
        <f>'[3]int.bevételek RM II'!M11</f>
        <v>0</v>
      </c>
      <c r="L11" s="735"/>
      <c r="M11" s="735">
        <f t="shared" si="3"/>
        <v>0</v>
      </c>
      <c r="N11" s="736">
        <f t="shared" si="4"/>
        <v>736</v>
      </c>
      <c r="O11" s="736">
        <f t="shared" si="4"/>
        <v>0</v>
      </c>
      <c r="P11" s="736">
        <f t="shared" si="4"/>
        <v>736</v>
      </c>
      <c r="Q11" s="737" t="s">
        <v>722</v>
      </c>
      <c r="R11" s="735">
        <f>'[3]int.bevételek RM II'!T11</f>
        <v>0</v>
      </c>
      <c r="S11" s="735"/>
      <c r="T11" s="735">
        <f t="shared" si="5"/>
        <v>0</v>
      </c>
      <c r="U11" s="735">
        <f>'[3]int.bevételek RM II'!W11</f>
        <v>0</v>
      </c>
      <c r="V11" s="735"/>
      <c r="W11" s="735">
        <f>SUM(U11:V11)</f>
        <v>0</v>
      </c>
      <c r="X11" s="735">
        <f>'[3]int.bevételek RM II'!Z11</f>
        <v>0</v>
      </c>
      <c r="Y11" s="735"/>
      <c r="Z11" s="735">
        <f t="shared" si="6"/>
        <v>0</v>
      </c>
      <c r="AA11" s="736">
        <f t="shared" si="7"/>
        <v>0</v>
      </c>
      <c r="AB11" s="736">
        <f t="shared" si="7"/>
        <v>0</v>
      </c>
      <c r="AC11" s="736">
        <f t="shared" si="7"/>
        <v>0</v>
      </c>
      <c r="AD11" s="736">
        <f t="shared" ref="AD11:AF37" si="10">N11+AA11</f>
        <v>736</v>
      </c>
      <c r="AE11" s="736">
        <f t="shared" si="10"/>
        <v>0</v>
      </c>
      <c r="AF11" s="736">
        <f t="shared" si="10"/>
        <v>736</v>
      </c>
      <c r="AG11" s="737" t="s">
        <v>722</v>
      </c>
      <c r="AH11" s="735">
        <f>'[3]int.bevételek RM II'!AJ11</f>
        <v>2747</v>
      </c>
      <c r="AI11" s="735"/>
      <c r="AJ11" s="735">
        <f t="shared" si="8"/>
        <v>2747</v>
      </c>
      <c r="AK11" s="736">
        <f>'[3]int.bevételek RM II'!AM11</f>
        <v>190253</v>
      </c>
      <c r="AL11" s="736">
        <v>958</v>
      </c>
      <c r="AM11" s="736">
        <f t="shared" ref="AM11:AM27" si="11">SUM(AK11:AL11)</f>
        <v>191211</v>
      </c>
      <c r="AN11" s="736">
        <f t="shared" si="9"/>
        <v>193736</v>
      </c>
      <c r="AO11" s="736">
        <f t="shared" si="9"/>
        <v>958</v>
      </c>
      <c r="AP11" s="736">
        <f t="shared" si="9"/>
        <v>194694</v>
      </c>
    </row>
    <row r="12" spans="1:42" ht="48.75" customHeight="1" x14ac:dyDescent="0.7">
      <c r="A12" s="737" t="s">
        <v>723</v>
      </c>
      <c r="B12" s="735">
        <f>'[3]int.bevételek RM II'!D12</f>
        <v>1320</v>
      </c>
      <c r="C12" s="735"/>
      <c r="D12" s="735">
        <f t="shared" si="0"/>
        <v>1320</v>
      </c>
      <c r="E12" s="735">
        <f>'[3]int.bevételek RM II'!G12</f>
        <v>0</v>
      </c>
      <c r="F12" s="735"/>
      <c r="G12" s="735">
        <f t="shared" si="1"/>
        <v>0</v>
      </c>
      <c r="H12" s="735">
        <f>'[3]int.bevételek RM II'!J12</f>
        <v>0</v>
      </c>
      <c r="I12" s="735"/>
      <c r="J12" s="735">
        <f t="shared" si="2"/>
        <v>0</v>
      </c>
      <c r="K12" s="735">
        <f>'[3]int.bevételek RM II'!M12</f>
        <v>0</v>
      </c>
      <c r="L12" s="735"/>
      <c r="M12" s="735">
        <f t="shared" si="3"/>
        <v>0</v>
      </c>
      <c r="N12" s="736">
        <f t="shared" si="4"/>
        <v>1320</v>
      </c>
      <c r="O12" s="736">
        <f t="shared" si="4"/>
        <v>0</v>
      </c>
      <c r="P12" s="736">
        <f t="shared" si="4"/>
        <v>1320</v>
      </c>
      <c r="Q12" s="737" t="s">
        <v>723</v>
      </c>
      <c r="R12" s="735">
        <f>'[3]int.bevételek RM II'!T12</f>
        <v>0</v>
      </c>
      <c r="S12" s="735"/>
      <c r="T12" s="735">
        <f t="shared" si="5"/>
        <v>0</v>
      </c>
      <c r="U12" s="735">
        <f>'[3]int.bevételek RM II'!W12</f>
        <v>0</v>
      </c>
      <c r="V12" s="735"/>
      <c r="W12" s="735">
        <f t="shared" ref="W12:W23" si="12">SUM(U12:V12)</f>
        <v>0</v>
      </c>
      <c r="X12" s="735">
        <f>'[3]int.bevételek RM II'!Z12</f>
        <v>0</v>
      </c>
      <c r="Y12" s="735"/>
      <c r="Z12" s="735">
        <f t="shared" si="6"/>
        <v>0</v>
      </c>
      <c r="AA12" s="736">
        <f t="shared" si="7"/>
        <v>0</v>
      </c>
      <c r="AB12" s="736">
        <f t="shared" si="7"/>
        <v>0</v>
      </c>
      <c r="AC12" s="736">
        <f t="shared" si="7"/>
        <v>0</v>
      </c>
      <c r="AD12" s="736">
        <f t="shared" si="10"/>
        <v>1320</v>
      </c>
      <c r="AE12" s="736">
        <f t="shared" si="10"/>
        <v>0</v>
      </c>
      <c r="AF12" s="736">
        <f t="shared" si="10"/>
        <v>1320</v>
      </c>
      <c r="AG12" s="737" t="s">
        <v>723</v>
      </c>
      <c r="AH12" s="735">
        <f>'[3]int.bevételek RM II'!AJ12</f>
        <v>2786</v>
      </c>
      <c r="AI12" s="735"/>
      <c r="AJ12" s="735">
        <f t="shared" si="8"/>
        <v>2786</v>
      </c>
      <c r="AK12" s="736">
        <f>'[3]int.bevételek RM II'!AM12</f>
        <v>202384</v>
      </c>
      <c r="AL12" s="736">
        <v>958</v>
      </c>
      <c r="AM12" s="736">
        <f t="shared" si="11"/>
        <v>203342</v>
      </c>
      <c r="AN12" s="736">
        <f t="shared" si="9"/>
        <v>206490</v>
      </c>
      <c r="AO12" s="736">
        <f t="shared" si="9"/>
        <v>958</v>
      </c>
      <c r="AP12" s="736">
        <f t="shared" si="9"/>
        <v>207448</v>
      </c>
    </row>
    <row r="13" spans="1:42" ht="48.75" customHeight="1" x14ac:dyDescent="0.7">
      <c r="A13" s="737" t="s">
        <v>724</v>
      </c>
      <c r="B13" s="735">
        <f>'[3]int.bevételek RM II'!D13</f>
        <v>1224</v>
      </c>
      <c r="C13" s="735"/>
      <c r="D13" s="735">
        <f t="shared" si="0"/>
        <v>1224</v>
      </c>
      <c r="E13" s="735">
        <f>'[3]int.bevételek RM II'!G13</f>
        <v>0</v>
      </c>
      <c r="F13" s="735"/>
      <c r="G13" s="735">
        <f t="shared" si="1"/>
        <v>0</v>
      </c>
      <c r="H13" s="735">
        <f>'[3]int.bevételek RM II'!J13</f>
        <v>0</v>
      </c>
      <c r="I13" s="735"/>
      <c r="J13" s="735">
        <f t="shared" si="2"/>
        <v>0</v>
      </c>
      <c r="K13" s="735">
        <f>'[3]int.bevételek RM II'!M13</f>
        <v>0</v>
      </c>
      <c r="L13" s="735"/>
      <c r="M13" s="735">
        <f t="shared" si="3"/>
        <v>0</v>
      </c>
      <c r="N13" s="736">
        <f t="shared" si="4"/>
        <v>1224</v>
      </c>
      <c r="O13" s="736">
        <f t="shared" si="4"/>
        <v>0</v>
      </c>
      <c r="P13" s="736">
        <f t="shared" si="4"/>
        <v>1224</v>
      </c>
      <c r="Q13" s="737" t="s">
        <v>724</v>
      </c>
      <c r="R13" s="735">
        <f>'[3]int.bevételek RM II'!T13</f>
        <v>0</v>
      </c>
      <c r="S13" s="735"/>
      <c r="T13" s="735">
        <f t="shared" si="5"/>
        <v>0</v>
      </c>
      <c r="U13" s="735">
        <f>'[3]int.bevételek RM II'!W13</f>
        <v>0</v>
      </c>
      <c r="V13" s="735"/>
      <c r="W13" s="735">
        <f t="shared" si="12"/>
        <v>0</v>
      </c>
      <c r="X13" s="735">
        <f>'[3]int.bevételek RM II'!Z13</f>
        <v>0</v>
      </c>
      <c r="Y13" s="735"/>
      <c r="Z13" s="735">
        <f t="shared" si="6"/>
        <v>0</v>
      </c>
      <c r="AA13" s="736">
        <f t="shared" si="7"/>
        <v>0</v>
      </c>
      <c r="AB13" s="736">
        <f t="shared" si="7"/>
        <v>0</v>
      </c>
      <c r="AC13" s="736">
        <f t="shared" si="7"/>
        <v>0</v>
      </c>
      <c r="AD13" s="736">
        <f t="shared" si="10"/>
        <v>1224</v>
      </c>
      <c r="AE13" s="736">
        <f t="shared" si="10"/>
        <v>0</v>
      </c>
      <c r="AF13" s="736">
        <f t="shared" si="10"/>
        <v>1224</v>
      </c>
      <c r="AG13" s="737" t="s">
        <v>724</v>
      </c>
      <c r="AH13" s="735">
        <f>'[3]int.bevételek RM II'!AJ13</f>
        <v>2178</v>
      </c>
      <c r="AI13" s="735"/>
      <c r="AJ13" s="735">
        <f t="shared" si="8"/>
        <v>2178</v>
      </c>
      <c r="AK13" s="736">
        <f>'[3]int.bevételek RM II'!AM13</f>
        <v>241699</v>
      </c>
      <c r="AL13" s="736">
        <v>1693</v>
      </c>
      <c r="AM13" s="736">
        <f t="shared" si="11"/>
        <v>243392</v>
      </c>
      <c r="AN13" s="736">
        <f t="shared" si="9"/>
        <v>245101</v>
      </c>
      <c r="AO13" s="736">
        <f t="shared" si="9"/>
        <v>1693</v>
      </c>
      <c r="AP13" s="736">
        <f t="shared" si="9"/>
        <v>246794</v>
      </c>
    </row>
    <row r="14" spans="1:42" ht="48.75" customHeight="1" x14ac:dyDescent="0.7">
      <c r="A14" s="737" t="s">
        <v>725</v>
      </c>
      <c r="B14" s="735">
        <f>'[3]int.bevételek RM II'!D14</f>
        <v>1016</v>
      </c>
      <c r="C14" s="735"/>
      <c r="D14" s="735">
        <f t="shared" si="0"/>
        <v>1016</v>
      </c>
      <c r="E14" s="735">
        <f>'[3]int.bevételek RM II'!G14</f>
        <v>0</v>
      </c>
      <c r="F14" s="735"/>
      <c r="G14" s="735">
        <f t="shared" si="1"/>
        <v>0</v>
      </c>
      <c r="H14" s="735">
        <f>'[3]int.bevételek RM II'!J14</f>
        <v>0</v>
      </c>
      <c r="I14" s="735"/>
      <c r="J14" s="735">
        <f t="shared" si="2"/>
        <v>0</v>
      </c>
      <c r="K14" s="735">
        <f>'[3]int.bevételek RM II'!M14</f>
        <v>0</v>
      </c>
      <c r="L14" s="735"/>
      <c r="M14" s="735">
        <f t="shared" si="3"/>
        <v>0</v>
      </c>
      <c r="N14" s="736">
        <f t="shared" si="4"/>
        <v>1016</v>
      </c>
      <c r="O14" s="736">
        <f t="shared" si="4"/>
        <v>0</v>
      </c>
      <c r="P14" s="736">
        <f t="shared" si="4"/>
        <v>1016</v>
      </c>
      <c r="Q14" s="737" t="s">
        <v>725</v>
      </c>
      <c r="R14" s="735">
        <f>'[3]int.bevételek RM II'!T14</f>
        <v>0</v>
      </c>
      <c r="S14" s="735"/>
      <c r="T14" s="735">
        <f t="shared" si="5"/>
        <v>0</v>
      </c>
      <c r="U14" s="735">
        <f>'[3]int.bevételek RM II'!W14</f>
        <v>0</v>
      </c>
      <c r="V14" s="735"/>
      <c r="W14" s="735">
        <f t="shared" si="12"/>
        <v>0</v>
      </c>
      <c r="X14" s="735">
        <f>'[3]int.bevételek RM II'!Z14</f>
        <v>0</v>
      </c>
      <c r="Y14" s="735"/>
      <c r="Z14" s="735">
        <f t="shared" si="6"/>
        <v>0</v>
      </c>
      <c r="AA14" s="736">
        <f t="shared" si="7"/>
        <v>0</v>
      </c>
      <c r="AB14" s="736">
        <f t="shared" si="7"/>
        <v>0</v>
      </c>
      <c r="AC14" s="736">
        <f t="shared" si="7"/>
        <v>0</v>
      </c>
      <c r="AD14" s="736">
        <f t="shared" si="10"/>
        <v>1016</v>
      </c>
      <c r="AE14" s="736">
        <f t="shared" si="10"/>
        <v>0</v>
      </c>
      <c r="AF14" s="736">
        <f t="shared" si="10"/>
        <v>1016</v>
      </c>
      <c r="AG14" s="737" t="s">
        <v>725</v>
      </c>
      <c r="AH14" s="735">
        <f>'[3]int.bevételek RM II'!AJ14</f>
        <v>1134</v>
      </c>
      <c r="AI14" s="735"/>
      <c r="AJ14" s="735">
        <f t="shared" si="8"/>
        <v>1134</v>
      </c>
      <c r="AK14" s="736">
        <f>'[3]int.bevételek RM II'!AM14</f>
        <v>228968</v>
      </c>
      <c r="AL14" s="736">
        <v>1140</v>
      </c>
      <c r="AM14" s="736">
        <f t="shared" si="11"/>
        <v>230108</v>
      </c>
      <c r="AN14" s="736">
        <f t="shared" si="9"/>
        <v>231118</v>
      </c>
      <c r="AO14" s="736">
        <f t="shared" si="9"/>
        <v>1140</v>
      </c>
      <c r="AP14" s="736">
        <f t="shared" si="9"/>
        <v>232258</v>
      </c>
    </row>
    <row r="15" spans="1:42" ht="48.75" customHeight="1" x14ac:dyDescent="0.7">
      <c r="A15" s="737" t="s">
        <v>726</v>
      </c>
      <c r="B15" s="735">
        <f>'[3]int.bevételek RM II'!D15</f>
        <v>1304</v>
      </c>
      <c r="C15" s="735"/>
      <c r="D15" s="735">
        <f t="shared" si="0"/>
        <v>1304</v>
      </c>
      <c r="E15" s="735">
        <f>'[3]int.bevételek RM II'!G15</f>
        <v>0</v>
      </c>
      <c r="F15" s="735"/>
      <c r="G15" s="735">
        <f t="shared" si="1"/>
        <v>0</v>
      </c>
      <c r="H15" s="735">
        <f>'[3]int.bevételek RM II'!J15</f>
        <v>381</v>
      </c>
      <c r="I15" s="735">
        <v>203</v>
      </c>
      <c r="J15" s="735">
        <f t="shared" si="2"/>
        <v>584</v>
      </c>
      <c r="K15" s="735">
        <f>'[3]int.bevételek RM II'!M15</f>
        <v>0</v>
      </c>
      <c r="L15" s="735"/>
      <c r="M15" s="735">
        <f t="shared" si="3"/>
        <v>0</v>
      </c>
      <c r="N15" s="736">
        <f t="shared" si="4"/>
        <v>1685</v>
      </c>
      <c r="O15" s="736">
        <f t="shared" si="4"/>
        <v>203</v>
      </c>
      <c r="P15" s="736">
        <f t="shared" si="4"/>
        <v>1888</v>
      </c>
      <c r="Q15" s="737" t="s">
        <v>726</v>
      </c>
      <c r="R15" s="735">
        <f>'[3]int.bevételek RM II'!T15</f>
        <v>0</v>
      </c>
      <c r="S15" s="735"/>
      <c r="T15" s="735">
        <f t="shared" si="5"/>
        <v>0</v>
      </c>
      <c r="U15" s="735">
        <f>'[3]int.bevételek RM II'!W15</f>
        <v>0</v>
      </c>
      <c r="V15" s="735"/>
      <c r="W15" s="735">
        <f t="shared" si="12"/>
        <v>0</v>
      </c>
      <c r="X15" s="735">
        <f>'[3]int.bevételek RM II'!Z15</f>
        <v>0</v>
      </c>
      <c r="Y15" s="735"/>
      <c r="Z15" s="735">
        <f t="shared" si="6"/>
        <v>0</v>
      </c>
      <c r="AA15" s="736">
        <f t="shared" si="7"/>
        <v>0</v>
      </c>
      <c r="AB15" s="736">
        <f t="shared" si="7"/>
        <v>0</v>
      </c>
      <c r="AC15" s="736">
        <f t="shared" si="7"/>
        <v>0</v>
      </c>
      <c r="AD15" s="736">
        <f t="shared" si="10"/>
        <v>1685</v>
      </c>
      <c r="AE15" s="736">
        <f t="shared" si="10"/>
        <v>203</v>
      </c>
      <c r="AF15" s="736">
        <f t="shared" si="10"/>
        <v>1888</v>
      </c>
      <c r="AG15" s="737" t="s">
        <v>726</v>
      </c>
      <c r="AH15" s="735">
        <f>'[3]int.bevételek RM II'!AJ15</f>
        <v>2103</v>
      </c>
      <c r="AI15" s="735"/>
      <c r="AJ15" s="735">
        <f t="shared" si="8"/>
        <v>2103</v>
      </c>
      <c r="AK15" s="736">
        <f>'[3]int.bevételek RM II'!AM15</f>
        <v>209652</v>
      </c>
      <c r="AL15" s="736">
        <v>867</v>
      </c>
      <c r="AM15" s="736">
        <f t="shared" si="11"/>
        <v>210519</v>
      </c>
      <c r="AN15" s="736">
        <f t="shared" si="9"/>
        <v>213440</v>
      </c>
      <c r="AO15" s="736">
        <f t="shared" si="9"/>
        <v>1070</v>
      </c>
      <c r="AP15" s="736">
        <f t="shared" si="9"/>
        <v>214510</v>
      </c>
    </row>
    <row r="16" spans="1:42" ht="48.75" customHeight="1" x14ac:dyDescent="0.7">
      <c r="A16" s="737" t="s">
        <v>727</v>
      </c>
      <c r="B16" s="735">
        <f>'[3]int.bevételek RM II'!D16</f>
        <v>1560</v>
      </c>
      <c r="C16" s="735"/>
      <c r="D16" s="735">
        <f t="shared" si="0"/>
        <v>1560</v>
      </c>
      <c r="E16" s="735">
        <f>'[3]int.bevételek RM II'!G16</f>
        <v>0</v>
      </c>
      <c r="F16" s="735"/>
      <c r="G16" s="735">
        <f t="shared" si="1"/>
        <v>0</v>
      </c>
      <c r="H16" s="735">
        <f>'[3]int.bevételek RM II'!J16</f>
        <v>0</v>
      </c>
      <c r="I16" s="735"/>
      <c r="J16" s="735">
        <f t="shared" si="2"/>
        <v>0</v>
      </c>
      <c r="K16" s="735">
        <f>'[3]int.bevételek RM II'!M16</f>
        <v>0</v>
      </c>
      <c r="L16" s="735"/>
      <c r="M16" s="735">
        <f t="shared" si="3"/>
        <v>0</v>
      </c>
      <c r="N16" s="736">
        <f t="shared" si="4"/>
        <v>1560</v>
      </c>
      <c r="O16" s="736">
        <f t="shared" si="4"/>
        <v>0</v>
      </c>
      <c r="P16" s="736">
        <f t="shared" si="4"/>
        <v>1560</v>
      </c>
      <c r="Q16" s="737" t="s">
        <v>728</v>
      </c>
      <c r="R16" s="735">
        <f>'[3]int.bevételek RM II'!T16</f>
        <v>0</v>
      </c>
      <c r="S16" s="735"/>
      <c r="T16" s="735">
        <f t="shared" si="5"/>
        <v>0</v>
      </c>
      <c r="U16" s="735">
        <f>'[3]int.bevételek RM II'!W16</f>
        <v>0</v>
      </c>
      <c r="V16" s="735"/>
      <c r="W16" s="735">
        <f t="shared" si="12"/>
        <v>0</v>
      </c>
      <c r="X16" s="735">
        <f>'[3]int.bevételek RM II'!Z16</f>
        <v>0</v>
      </c>
      <c r="Y16" s="735"/>
      <c r="Z16" s="735">
        <f t="shared" si="6"/>
        <v>0</v>
      </c>
      <c r="AA16" s="736">
        <f t="shared" si="7"/>
        <v>0</v>
      </c>
      <c r="AB16" s="736">
        <f t="shared" si="7"/>
        <v>0</v>
      </c>
      <c r="AC16" s="736">
        <f t="shared" si="7"/>
        <v>0</v>
      </c>
      <c r="AD16" s="736">
        <f t="shared" si="10"/>
        <v>1560</v>
      </c>
      <c r="AE16" s="736">
        <f t="shared" si="10"/>
        <v>0</v>
      </c>
      <c r="AF16" s="736">
        <f t="shared" si="10"/>
        <v>1560</v>
      </c>
      <c r="AG16" s="737" t="s">
        <v>728</v>
      </c>
      <c r="AH16" s="735">
        <f>'[3]int.bevételek RM II'!AJ16</f>
        <v>1185</v>
      </c>
      <c r="AI16" s="735"/>
      <c r="AJ16" s="735">
        <f t="shared" si="8"/>
        <v>1185</v>
      </c>
      <c r="AK16" s="736">
        <f>'[3]int.bevételek RM II'!AM16</f>
        <v>157738</v>
      </c>
      <c r="AL16" s="736">
        <v>1049</v>
      </c>
      <c r="AM16" s="736">
        <f t="shared" si="11"/>
        <v>158787</v>
      </c>
      <c r="AN16" s="736">
        <f t="shared" si="9"/>
        <v>160483</v>
      </c>
      <c r="AO16" s="736">
        <f t="shared" si="9"/>
        <v>1049</v>
      </c>
      <c r="AP16" s="736">
        <f t="shared" si="9"/>
        <v>161532</v>
      </c>
    </row>
    <row r="17" spans="1:42" ht="48.75" customHeight="1" x14ac:dyDescent="0.7">
      <c r="A17" s="737" t="s">
        <v>729</v>
      </c>
      <c r="B17" s="735">
        <f>'[3]int.bevételek RM II'!D17</f>
        <v>1216</v>
      </c>
      <c r="C17" s="735"/>
      <c r="D17" s="735">
        <f t="shared" si="0"/>
        <v>1216</v>
      </c>
      <c r="E17" s="735">
        <f>'[3]int.bevételek RM II'!G17</f>
        <v>0</v>
      </c>
      <c r="F17" s="735"/>
      <c r="G17" s="735">
        <f t="shared" si="1"/>
        <v>0</v>
      </c>
      <c r="H17" s="735">
        <f>'[3]int.bevételek RM II'!J17</f>
        <v>0</v>
      </c>
      <c r="I17" s="735"/>
      <c r="J17" s="735">
        <f t="shared" si="2"/>
        <v>0</v>
      </c>
      <c r="K17" s="735">
        <f>'[3]int.bevételek RM II'!M17</f>
        <v>0</v>
      </c>
      <c r="L17" s="735"/>
      <c r="M17" s="735">
        <f t="shared" si="3"/>
        <v>0</v>
      </c>
      <c r="N17" s="736">
        <f t="shared" si="4"/>
        <v>1216</v>
      </c>
      <c r="O17" s="736">
        <f t="shared" si="4"/>
        <v>0</v>
      </c>
      <c r="P17" s="736">
        <f t="shared" si="4"/>
        <v>1216</v>
      </c>
      <c r="Q17" s="737" t="s">
        <v>729</v>
      </c>
      <c r="R17" s="735">
        <f>'[3]int.bevételek RM II'!T17</f>
        <v>0</v>
      </c>
      <c r="S17" s="735"/>
      <c r="T17" s="735">
        <f t="shared" si="5"/>
        <v>0</v>
      </c>
      <c r="U17" s="735">
        <f>'[3]int.bevételek RM II'!W17</f>
        <v>0</v>
      </c>
      <c r="V17" s="735"/>
      <c r="W17" s="735">
        <f t="shared" si="12"/>
        <v>0</v>
      </c>
      <c r="X17" s="735">
        <f>'[3]int.bevételek RM II'!Z17</f>
        <v>0</v>
      </c>
      <c r="Y17" s="735"/>
      <c r="Z17" s="735">
        <f t="shared" si="6"/>
        <v>0</v>
      </c>
      <c r="AA17" s="736">
        <f t="shared" si="7"/>
        <v>0</v>
      </c>
      <c r="AB17" s="736">
        <f t="shared" si="7"/>
        <v>0</v>
      </c>
      <c r="AC17" s="736">
        <f t="shared" si="7"/>
        <v>0</v>
      </c>
      <c r="AD17" s="736">
        <f t="shared" si="10"/>
        <v>1216</v>
      </c>
      <c r="AE17" s="736">
        <f t="shared" si="10"/>
        <v>0</v>
      </c>
      <c r="AF17" s="736">
        <f t="shared" si="10"/>
        <v>1216</v>
      </c>
      <c r="AG17" s="737" t="s">
        <v>729</v>
      </c>
      <c r="AH17" s="735">
        <f>'[3]int.bevételek RM II'!AJ17</f>
        <v>2977</v>
      </c>
      <c r="AI17" s="735"/>
      <c r="AJ17" s="735">
        <f t="shared" si="8"/>
        <v>2977</v>
      </c>
      <c r="AK17" s="736">
        <f>'[3]int.bevételek RM II'!AM17</f>
        <v>177106</v>
      </c>
      <c r="AL17" s="736">
        <v>867</v>
      </c>
      <c r="AM17" s="736">
        <f t="shared" si="11"/>
        <v>177973</v>
      </c>
      <c r="AN17" s="736">
        <f t="shared" si="9"/>
        <v>181299</v>
      </c>
      <c r="AO17" s="736">
        <f t="shared" si="9"/>
        <v>867</v>
      </c>
      <c r="AP17" s="736">
        <f t="shared" si="9"/>
        <v>182166</v>
      </c>
    </row>
    <row r="18" spans="1:42" ht="48.75" customHeight="1" x14ac:dyDescent="0.7">
      <c r="A18" s="737" t="s">
        <v>730</v>
      </c>
      <c r="B18" s="735">
        <f>'[3]int.bevételek RM II'!D18</f>
        <v>760</v>
      </c>
      <c r="C18" s="735">
        <v>10</v>
      </c>
      <c r="D18" s="735">
        <f t="shared" si="0"/>
        <v>770</v>
      </c>
      <c r="E18" s="735">
        <f>'[3]int.bevételek RM II'!G18</f>
        <v>0</v>
      </c>
      <c r="F18" s="735"/>
      <c r="G18" s="735">
        <f t="shared" si="1"/>
        <v>0</v>
      </c>
      <c r="H18" s="735">
        <f>'[3]int.bevételek RM II'!J18</f>
        <v>0</v>
      </c>
      <c r="I18" s="735">
        <v>500</v>
      </c>
      <c r="J18" s="735">
        <f t="shared" si="2"/>
        <v>500</v>
      </c>
      <c r="K18" s="735">
        <f>'[3]int.bevételek RM II'!M18</f>
        <v>0</v>
      </c>
      <c r="L18" s="735"/>
      <c r="M18" s="735">
        <f t="shared" si="3"/>
        <v>0</v>
      </c>
      <c r="N18" s="736">
        <f t="shared" si="4"/>
        <v>760</v>
      </c>
      <c r="O18" s="736">
        <f t="shared" si="4"/>
        <v>510</v>
      </c>
      <c r="P18" s="736">
        <f t="shared" si="4"/>
        <v>1270</v>
      </c>
      <c r="Q18" s="737" t="s">
        <v>730</v>
      </c>
      <c r="R18" s="735">
        <f>'[3]int.bevételek RM II'!T18</f>
        <v>0</v>
      </c>
      <c r="S18" s="735"/>
      <c r="T18" s="735">
        <f t="shared" si="5"/>
        <v>0</v>
      </c>
      <c r="U18" s="735">
        <f>'[3]int.bevételek RM II'!W18</f>
        <v>0</v>
      </c>
      <c r="V18" s="735"/>
      <c r="W18" s="735">
        <f t="shared" si="12"/>
        <v>0</v>
      </c>
      <c r="X18" s="735">
        <f>'[3]int.bevételek RM II'!Z18</f>
        <v>0</v>
      </c>
      <c r="Y18" s="735"/>
      <c r="Z18" s="735">
        <f t="shared" si="6"/>
        <v>0</v>
      </c>
      <c r="AA18" s="736">
        <f t="shared" si="7"/>
        <v>0</v>
      </c>
      <c r="AB18" s="736">
        <f t="shared" si="7"/>
        <v>0</v>
      </c>
      <c r="AC18" s="736">
        <f t="shared" si="7"/>
        <v>0</v>
      </c>
      <c r="AD18" s="736">
        <f t="shared" si="10"/>
        <v>760</v>
      </c>
      <c r="AE18" s="736">
        <f t="shared" si="10"/>
        <v>510</v>
      </c>
      <c r="AF18" s="736">
        <f t="shared" si="10"/>
        <v>1270</v>
      </c>
      <c r="AG18" s="737" t="s">
        <v>730</v>
      </c>
      <c r="AH18" s="735">
        <f>'[3]int.bevételek RM II'!AJ18</f>
        <v>2819</v>
      </c>
      <c r="AI18" s="735"/>
      <c r="AJ18" s="735">
        <f t="shared" si="8"/>
        <v>2819</v>
      </c>
      <c r="AK18" s="736">
        <f>'[3]int.bevételek RM II'!AM18</f>
        <v>237100</v>
      </c>
      <c r="AL18" s="736">
        <v>1412</v>
      </c>
      <c r="AM18" s="736">
        <f t="shared" si="11"/>
        <v>238512</v>
      </c>
      <c r="AN18" s="736">
        <f t="shared" si="9"/>
        <v>240679</v>
      </c>
      <c r="AO18" s="736">
        <f t="shared" si="9"/>
        <v>1922</v>
      </c>
      <c r="AP18" s="736">
        <f t="shared" si="9"/>
        <v>242601</v>
      </c>
    </row>
    <row r="19" spans="1:42" ht="48.75" customHeight="1" x14ac:dyDescent="0.7">
      <c r="A19" s="737" t="s">
        <v>731</v>
      </c>
      <c r="B19" s="735">
        <f>'[3]int.bevételek RM II'!D19</f>
        <v>2920</v>
      </c>
      <c r="C19" s="735">
        <v>433</v>
      </c>
      <c r="D19" s="735">
        <f t="shared" si="0"/>
        <v>3353</v>
      </c>
      <c r="E19" s="735">
        <f>'[3]int.bevételek RM II'!G19</f>
        <v>0</v>
      </c>
      <c r="F19" s="735"/>
      <c r="G19" s="735">
        <f t="shared" si="1"/>
        <v>0</v>
      </c>
      <c r="H19" s="735">
        <f>'[3]int.bevételek RM II'!J19</f>
        <v>0</v>
      </c>
      <c r="I19" s="735"/>
      <c r="J19" s="735">
        <f t="shared" si="2"/>
        <v>0</v>
      </c>
      <c r="K19" s="735">
        <f>'[3]int.bevételek RM II'!M19</f>
        <v>0</v>
      </c>
      <c r="L19" s="735"/>
      <c r="M19" s="735">
        <f t="shared" si="3"/>
        <v>0</v>
      </c>
      <c r="N19" s="736">
        <f t="shared" si="4"/>
        <v>2920</v>
      </c>
      <c r="O19" s="736">
        <f t="shared" si="4"/>
        <v>433</v>
      </c>
      <c r="P19" s="736">
        <f t="shared" si="4"/>
        <v>3353</v>
      </c>
      <c r="Q19" s="737" t="s">
        <v>731</v>
      </c>
      <c r="R19" s="735">
        <f>'[3]int.bevételek RM II'!T19</f>
        <v>0</v>
      </c>
      <c r="S19" s="735"/>
      <c r="T19" s="735">
        <f t="shared" si="5"/>
        <v>0</v>
      </c>
      <c r="U19" s="735">
        <f>'[3]int.bevételek RM II'!W19</f>
        <v>0</v>
      </c>
      <c r="V19" s="735"/>
      <c r="W19" s="735">
        <f t="shared" si="12"/>
        <v>0</v>
      </c>
      <c r="X19" s="735">
        <f>'[3]int.bevételek RM II'!Z19</f>
        <v>0</v>
      </c>
      <c r="Y19" s="735"/>
      <c r="Z19" s="735">
        <f t="shared" si="6"/>
        <v>0</v>
      </c>
      <c r="AA19" s="736">
        <f t="shared" si="7"/>
        <v>0</v>
      </c>
      <c r="AB19" s="736">
        <f t="shared" si="7"/>
        <v>0</v>
      </c>
      <c r="AC19" s="736">
        <f t="shared" si="7"/>
        <v>0</v>
      </c>
      <c r="AD19" s="736">
        <f t="shared" si="10"/>
        <v>2920</v>
      </c>
      <c r="AE19" s="736">
        <f t="shared" si="10"/>
        <v>433</v>
      </c>
      <c r="AF19" s="736">
        <f t="shared" si="10"/>
        <v>3353</v>
      </c>
      <c r="AG19" s="737" t="s">
        <v>731</v>
      </c>
      <c r="AH19" s="735">
        <f>'[3]int.bevételek RM II'!AJ19</f>
        <v>2377</v>
      </c>
      <c r="AI19" s="735"/>
      <c r="AJ19" s="735">
        <f t="shared" si="8"/>
        <v>2377</v>
      </c>
      <c r="AK19" s="736">
        <f>'[3]int.bevételek RM II'!AM19</f>
        <v>288825</v>
      </c>
      <c r="AL19" s="736">
        <v>1684</v>
      </c>
      <c r="AM19" s="736">
        <f t="shared" si="11"/>
        <v>290509</v>
      </c>
      <c r="AN19" s="736">
        <f t="shared" si="9"/>
        <v>294122</v>
      </c>
      <c r="AO19" s="736">
        <f t="shared" si="9"/>
        <v>2117</v>
      </c>
      <c r="AP19" s="736">
        <f t="shared" si="9"/>
        <v>296239</v>
      </c>
    </row>
    <row r="20" spans="1:42" ht="48.75" customHeight="1" x14ac:dyDescent="0.7">
      <c r="A20" s="737" t="s">
        <v>732</v>
      </c>
      <c r="B20" s="735">
        <f>'[3]int.bevételek RM II'!D20</f>
        <v>680</v>
      </c>
      <c r="C20" s="735"/>
      <c r="D20" s="735">
        <f t="shared" si="0"/>
        <v>680</v>
      </c>
      <c r="E20" s="735">
        <f>'[3]int.bevételek RM II'!G20</f>
        <v>0</v>
      </c>
      <c r="F20" s="735"/>
      <c r="G20" s="735">
        <f t="shared" si="1"/>
        <v>0</v>
      </c>
      <c r="H20" s="735">
        <f>'[3]int.bevételek RM II'!J20</f>
        <v>0</v>
      </c>
      <c r="I20" s="735"/>
      <c r="J20" s="735">
        <f t="shared" si="2"/>
        <v>0</v>
      </c>
      <c r="K20" s="735">
        <f>'[3]int.bevételek RM II'!M20</f>
        <v>0</v>
      </c>
      <c r="L20" s="735"/>
      <c r="M20" s="735">
        <f t="shared" si="3"/>
        <v>0</v>
      </c>
      <c r="N20" s="736">
        <f t="shared" si="4"/>
        <v>680</v>
      </c>
      <c r="O20" s="736">
        <f t="shared" si="4"/>
        <v>0</v>
      </c>
      <c r="P20" s="736">
        <f t="shared" si="4"/>
        <v>680</v>
      </c>
      <c r="Q20" s="737" t="s">
        <v>732</v>
      </c>
      <c r="R20" s="735">
        <f>'[3]int.bevételek RM II'!T20</f>
        <v>0</v>
      </c>
      <c r="S20" s="735"/>
      <c r="T20" s="735">
        <f t="shared" si="5"/>
        <v>0</v>
      </c>
      <c r="U20" s="735">
        <f>'[3]int.bevételek RM II'!W20</f>
        <v>0</v>
      </c>
      <c r="V20" s="735"/>
      <c r="W20" s="735">
        <f t="shared" si="12"/>
        <v>0</v>
      </c>
      <c r="X20" s="735">
        <f>'[3]int.bevételek RM II'!Z20</f>
        <v>0</v>
      </c>
      <c r="Y20" s="735"/>
      <c r="Z20" s="735">
        <f t="shared" si="6"/>
        <v>0</v>
      </c>
      <c r="AA20" s="736">
        <f t="shared" si="7"/>
        <v>0</v>
      </c>
      <c r="AB20" s="736">
        <f t="shared" si="7"/>
        <v>0</v>
      </c>
      <c r="AC20" s="736">
        <f t="shared" si="7"/>
        <v>0</v>
      </c>
      <c r="AD20" s="736">
        <f t="shared" si="10"/>
        <v>680</v>
      </c>
      <c r="AE20" s="736">
        <f t="shared" si="10"/>
        <v>0</v>
      </c>
      <c r="AF20" s="736">
        <f t="shared" si="10"/>
        <v>680</v>
      </c>
      <c r="AG20" s="737" t="s">
        <v>732</v>
      </c>
      <c r="AH20" s="735">
        <f>'[3]int.bevételek RM II'!AJ20</f>
        <v>846</v>
      </c>
      <c r="AI20" s="735"/>
      <c r="AJ20" s="735">
        <f t="shared" si="8"/>
        <v>846</v>
      </c>
      <c r="AK20" s="736">
        <f>'[3]int.bevételek RM II'!AM20</f>
        <v>136912</v>
      </c>
      <c r="AL20" s="736">
        <v>958</v>
      </c>
      <c r="AM20" s="736">
        <f t="shared" si="11"/>
        <v>137870</v>
      </c>
      <c r="AN20" s="736">
        <f t="shared" si="9"/>
        <v>138438</v>
      </c>
      <c r="AO20" s="736">
        <f t="shared" si="9"/>
        <v>958</v>
      </c>
      <c r="AP20" s="736">
        <f t="shared" si="9"/>
        <v>139396</v>
      </c>
    </row>
    <row r="21" spans="1:42" ht="48.75" customHeight="1" x14ac:dyDescent="0.7">
      <c r="A21" s="737" t="s">
        <v>733</v>
      </c>
      <c r="B21" s="735">
        <f>'[3]int.bevételek RM II'!D21</f>
        <v>1309</v>
      </c>
      <c r="C21" s="735">
        <v>340</v>
      </c>
      <c r="D21" s="735">
        <f t="shared" si="0"/>
        <v>1649</v>
      </c>
      <c r="E21" s="735">
        <f>'[3]int.bevételek RM II'!G21</f>
        <v>0</v>
      </c>
      <c r="F21" s="735"/>
      <c r="G21" s="735">
        <f t="shared" si="1"/>
        <v>0</v>
      </c>
      <c r="H21" s="735">
        <f>'[3]int.bevételek RM II'!J21</f>
        <v>0</v>
      </c>
      <c r="I21" s="735"/>
      <c r="J21" s="735">
        <f t="shared" si="2"/>
        <v>0</v>
      </c>
      <c r="K21" s="735">
        <f>'[3]int.bevételek RM II'!M21</f>
        <v>0</v>
      </c>
      <c r="L21" s="735"/>
      <c r="M21" s="735">
        <f t="shared" si="3"/>
        <v>0</v>
      </c>
      <c r="N21" s="736">
        <f t="shared" si="4"/>
        <v>1309</v>
      </c>
      <c r="O21" s="736">
        <f t="shared" si="4"/>
        <v>340</v>
      </c>
      <c r="P21" s="736">
        <f t="shared" si="4"/>
        <v>1649</v>
      </c>
      <c r="Q21" s="737" t="s">
        <v>733</v>
      </c>
      <c r="R21" s="735">
        <f>'[3]int.bevételek RM II'!T21</f>
        <v>0</v>
      </c>
      <c r="S21" s="735"/>
      <c r="T21" s="735">
        <f t="shared" si="5"/>
        <v>0</v>
      </c>
      <c r="U21" s="735">
        <f>'[3]int.bevételek RM II'!W21</f>
        <v>0</v>
      </c>
      <c r="V21" s="735"/>
      <c r="W21" s="735">
        <f t="shared" si="12"/>
        <v>0</v>
      </c>
      <c r="X21" s="735">
        <f>'[3]int.bevételek RM II'!Z21</f>
        <v>0</v>
      </c>
      <c r="Y21" s="735"/>
      <c r="Z21" s="735">
        <f t="shared" si="6"/>
        <v>0</v>
      </c>
      <c r="AA21" s="736">
        <f t="shared" si="7"/>
        <v>0</v>
      </c>
      <c r="AB21" s="736">
        <f t="shared" si="7"/>
        <v>0</v>
      </c>
      <c r="AC21" s="736">
        <f t="shared" si="7"/>
        <v>0</v>
      </c>
      <c r="AD21" s="736">
        <f t="shared" si="10"/>
        <v>1309</v>
      </c>
      <c r="AE21" s="736">
        <f t="shared" si="10"/>
        <v>340</v>
      </c>
      <c r="AF21" s="736">
        <f t="shared" si="10"/>
        <v>1649</v>
      </c>
      <c r="AG21" s="737" t="s">
        <v>733</v>
      </c>
      <c r="AH21" s="735">
        <f>'[3]int.bevételek RM II'!AJ21</f>
        <v>1420</v>
      </c>
      <c r="AI21" s="735"/>
      <c r="AJ21" s="735">
        <f t="shared" si="8"/>
        <v>1420</v>
      </c>
      <c r="AK21" s="736">
        <f>'[3]int.bevételek RM II'!AM21</f>
        <v>135332</v>
      </c>
      <c r="AL21" s="736">
        <v>686</v>
      </c>
      <c r="AM21" s="736">
        <f t="shared" si="11"/>
        <v>136018</v>
      </c>
      <c r="AN21" s="736">
        <f t="shared" si="9"/>
        <v>138061</v>
      </c>
      <c r="AO21" s="736">
        <f t="shared" si="9"/>
        <v>1026</v>
      </c>
      <c r="AP21" s="736">
        <f t="shared" si="9"/>
        <v>139087</v>
      </c>
    </row>
    <row r="22" spans="1:42" ht="48.75" customHeight="1" x14ac:dyDescent="0.7">
      <c r="A22" s="737" t="s">
        <v>734</v>
      </c>
      <c r="B22" s="735">
        <f>'[3]int.bevételek RM II'!D22</f>
        <v>1176</v>
      </c>
      <c r="C22" s="735">
        <v>601</v>
      </c>
      <c r="D22" s="735">
        <f t="shared" si="0"/>
        <v>1777</v>
      </c>
      <c r="E22" s="735">
        <f>'[3]int.bevételek RM II'!G22</f>
        <v>0</v>
      </c>
      <c r="F22" s="735"/>
      <c r="G22" s="735">
        <f t="shared" si="1"/>
        <v>0</v>
      </c>
      <c r="H22" s="735">
        <f>'[3]int.bevételek RM II'!J22</f>
        <v>0</v>
      </c>
      <c r="I22" s="735"/>
      <c r="J22" s="735">
        <f t="shared" si="2"/>
        <v>0</v>
      </c>
      <c r="K22" s="735">
        <f>'[3]int.bevételek RM II'!M22</f>
        <v>0</v>
      </c>
      <c r="L22" s="735"/>
      <c r="M22" s="735">
        <f t="shared" si="3"/>
        <v>0</v>
      </c>
      <c r="N22" s="736">
        <f t="shared" si="4"/>
        <v>1176</v>
      </c>
      <c r="O22" s="736">
        <f t="shared" si="4"/>
        <v>601</v>
      </c>
      <c r="P22" s="736">
        <f t="shared" si="4"/>
        <v>1777</v>
      </c>
      <c r="Q22" s="737" t="s">
        <v>734</v>
      </c>
      <c r="R22" s="735">
        <f>'[3]int.bevételek RM II'!T22</f>
        <v>0</v>
      </c>
      <c r="S22" s="735"/>
      <c r="T22" s="735">
        <f t="shared" si="5"/>
        <v>0</v>
      </c>
      <c r="U22" s="735">
        <f>'[3]int.bevételek RM II'!W22</f>
        <v>0</v>
      </c>
      <c r="V22" s="735"/>
      <c r="W22" s="735">
        <f t="shared" si="12"/>
        <v>0</v>
      </c>
      <c r="X22" s="735">
        <f>'[3]int.bevételek RM II'!Z22</f>
        <v>0</v>
      </c>
      <c r="Y22" s="735"/>
      <c r="Z22" s="735">
        <f t="shared" si="6"/>
        <v>0</v>
      </c>
      <c r="AA22" s="736">
        <f t="shared" si="7"/>
        <v>0</v>
      </c>
      <c r="AB22" s="736">
        <f t="shared" si="7"/>
        <v>0</v>
      </c>
      <c r="AC22" s="736">
        <f t="shared" si="7"/>
        <v>0</v>
      </c>
      <c r="AD22" s="736">
        <f t="shared" si="10"/>
        <v>1176</v>
      </c>
      <c r="AE22" s="736">
        <f t="shared" si="10"/>
        <v>601</v>
      </c>
      <c r="AF22" s="736">
        <f t="shared" si="10"/>
        <v>1777</v>
      </c>
      <c r="AG22" s="737" t="s">
        <v>734</v>
      </c>
      <c r="AH22" s="735">
        <f>'[3]int.bevételek RM II'!AJ22</f>
        <v>1567</v>
      </c>
      <c r="AI22" s="735"/>
      <c r="AJ22" s="735">
        <f t="shared" si="8"/>
        <v>1567</v>
      </c>
      <c r="AK22" s="736">
        <f>'[3]int.bevételek RM II'!AM22</f>
        <v>162913</v>
      </c>
      <c r="AL22" s="736">
        <v>4557</v>
      </c>
      <c r="AM22" s="736">
        <f t="shared" si="11"/>
        <v>167470</v>
      </c>
      <c r="AN22" s="736">
        <f t="shared" si="9"/>
        <v>165656</v>
      </c>
      <c r="AO22" s="736">
        <f t="shared" si="9"/>
        <v>5158</v>
      </c>
      <c r="AP22" s="736">
        <f t="shared" si="9"/>
        <v>170814</v>
      </c>
    </row>
    <row r="23" spans="1:42" ht="48.75" customHeight="1" x14ac:dyDescent="0.7">
      <c r="A23" s="737" t="s">
        <v>735</v>
      </c>
      <c r="B23" s="735">
        <f>'[3]int.bevételek RM II'!D23</f>
        <v>472</v>
      </c>
      <c r="C23" s="735">
        <v>32</v>
      </c>
      <c r="D23" s="735">
        <f t="shared" si="0"/>
        <v>504</v>
      </c>
      <c r="E23" s="735">
        <f>'[3]int.bevételek RM II'!G23</f>
        <v>0</v>
      </c>
      <c r="F23" s="735"/>
      <c r="G23" s="735">
        <f t="shared" si="1"/>
        <v>0</v>
      </c>
      <c r="H23" s="735">
        <f>'[3]int.bevételek RM II'!J23</f>
        <v>0</v>
      </c>
      <c r="I23" s="735"/>
      <c r="J23" s="735">
        <f t="shared" si="2"/>
        <v>0</v>
      </c>
      <c r="K23" s="735">
        <f>'[3]int.bevételek RM II'!M23</f>
        <v>0</v>
      </c>
      <c r="L23" s="735"/>
      <c r="M23" s="735">
        <f t="shared" si="3"/>
        <v>0</v>
      </c>
      <c r="N23" s="736">
        <f t="shared" si="4"/>
        <v>472</v>
      </c>
      <c r="O23" s="736">
        <f t="shared" si="4"/>
        <v>32</v>
      </c>
      <c r="P23" s="736">
        <f t="shared" si="4"/>
        <v>504</v>
      </c>
      <c r="Q23" s="737" t="s">
        <v>735</v>
      </c>
      <c r="R23" s="735">
        <f>'[3]int.bevételek RM II'!T23</f>
        <v>0</v>
      </c>
      <c r="S23" s="735"/>
      <c r="T23" s="735">
        <f t="shared" si="5"/>
        <v>0</v>
      </c>
      <c r="U23" s="735">
        <f>'[3]int.bevételek RM II'!W23</f>
        <v>0</v>
      </c>
      <c r="V23" s="735"/>
      <c r="W23" s="735">
        <f t="shared" si="12"/>
        <v>0</v>
      </c>
      <c r="X23" s="735">
        <f>'[3]int.bevételek RM II'!Z23</f>
        <v>0</v>
      </c>
      <c r="Y23" s="735"/>
      <c r="Z23" s="735">
        <f t="shared" si="6"/>
        <v>0</v>
      </c>
      <c r="AA23" s="736">
        <f t="shared" si="7"/>
        <v>0</v>
      </c>
      <c r="AB23" s="736">
        <f t="shared" si="7"/>
        <v>0</v>
      </c>
      <c r="AC23" s="736">
        <f t="shared" si="7"/>
        <v>0</v>
      </c>
      <c r="AD23" s="736">
        <f t="shared" si="10"/>
        <v>472</v>
      </c>
      <c r="AE23" s="736">
        <f t="shared" si="10"/>
        <v>32</v>
      </c>
      <c r="AF23" s="736">
        <f t="shared" si="10"/>
        <v>504</v>
      </c>
      <c r="AG23" s="737" t="s">
        <v>735</v>
      </c>
      <c r="AH23" s="735">
        <f>'[3]int.bevételek RM II'!AJ23</f>
        <v>2253</v>
      </c>
      <c r="AI23" s="735"/>
      <c r="AJ23" s="735">
        <f t="shared" si="8"/>
        <v>2253</v>
      </c>
      <c r="AK23" s="736">
        <f>'[3]int.bevételek RM II'!AM23</f>
        <v>195312</v>
      </c>
      <c r="AL23" s="736">
        <v>731</v>
      </c>
      <c r="AM23" s="736">
        <f t="shared" si="11"/>
        <v>196043</v>
      </c>
      <c r="AN23" s="736">
        <f t="shared" si="9"/>
        <v>198037</v>
      </c>
      <c r="AO23" s="736">
        <f t="shared" si="9"/>
        <v>763</v>
      </c>
      <c r="AP23" s="736">
        <f t="shared" si="9"/>
        <v>198800</v>
      </c>
    </row>
    <row r="24" spans="1:42" ht="48.75" customHeight="1" x14ac:dyDescent="0.7">
      <c r="A24" s="737" t="s">
        <v>736</v>
      </c>
      <c r="B24" s="735">
        <f>'[3]int.bevételek RM II'!D24</f>
        <v>1448</v>
      </c>
      <c r="C24" s="735">
        <v>44</v>
      </c>
      <c r="D24" s="735">
        <f t="shared" si="0"/>
        <v>1492</v>
      </c>
      <c r="E24" s="735">
        <f>'[3]int.bevételek RM II'!G24</f>
        <v>0</v>
      </c>
      <c r="F24" s="735"/>
      <c r="G24" s="735">
        <f t="shared" si="1"/>
        <v>0</v>
      </c>
      <c r="H24" s="735">
        <f>'[3]int.bevételek RM II'!J24</f>
        <v>0</v>
      </c>
      <c r="I24" s="735">
        <v>191</v>
      </c>
      <c r="J24" s="735">
        <f t="shared" si="2"/>
        <v>191</v>
      </c>
      <c r="K24" s="735">
        <f>'[3]int.bevételek RM II'!M24</f>
        <v>0</v>
      </c>
      <c r="L24" s="735"/>
      <c r="M24" s="735">
        <f t="shared" si="3"/>
        <v>0</v>
      </c>
      <c r="N24" s="736">
        <f t="shared" si="4"/>
        <v>1448</v>
      </c>
      <c r="O24" s="736">
        <f t="shared" si="4"/>
        <v>235</v>
      </c>
      <c r="P24" s="736">
        <f t="shared" si="4"/>
        <v>1683</v>
      </c>
      <c r="Q24" s="737" t="s">
        <v>736</v>
      </c>
      <c r="R24" s="735">
        <f>'[3]int.bevételek RM II'!T24</f>
        <v>0</v>
      </c>
      <c r="S24" s="735"/>
      <c r="T24" s="735">
        <f t="shared" si="5"/>
        <v>0</v>
      </c>
      <c r="U24" s="735">
        <f>'[3]int.bevételek RM II'!W24</f>
        <v>0</v>
      </c>
      <c r="V24" s="735"/>
      <c r="W24" s="735">
        <f>SUM(U24:V24)</f>
        <v>0</v>
      </c>
      <c r="X24" s="735">
        <f>'[3]int.bevételek RM II'!Z24</f>
        <v>0</v>
      </c>
      <c r="Y24" s="735"/>
      <c r="Z24" s="735">
        <f t="shared" si="6"/>
        <v>0</v>
      </c>
      <c r="AA24" s="736">
        <f t="shared" si="7"/>
        <v>0</v>
      </c>
      <c r="AB24" s="736">
        <f t="shared" si="7"/>
        <v>0</v>
      </c>
      <c r="AC24" s="736">
        <f t="shared" si="7"/>
        <v>0</v>
      </c>
      <c r="AD24" s="736">
        <f t="shared" si="10"/>
        <v>1448</v>
      </c>
      <c r="AE24" s="736">
        <f t="shared" si="10"/>
        <v>235</v>
      </c>
      <c r="AF24" s="736">
        <f t="shared" si="10"/>
        <v>1683</v>
      </c>
      <c r="AG24" s="737" t="s">
        <v>736</v>
      </c>
      <c r="AH24" s="735">
        <f>'[3]int.bevételek RM II'!AJ24</f>
        <v>2458</v>
      </c>
      <c r="AI24" s="735"/>
      <c r="AJ24" s="735">
        <f t="shared" si="8"/>
        <v>2458</v>
      </c>
      <c r="AK24" s="736">
        <f>'[3]int.bevételek RM II'!AM24</f>
        <v>275039</v>
      </c>
      <c r="AL24" s="736">
        <v>1049</v>
      </c>
      <c r="AM24" s="736">
        <f t="shared" si="11"/>
        <v>276088</v>
      </c>
      <c r="AN24" s="736">
        <f t="shared" si="9"/>
        <v>278945</v>
      </c>
      <c r="AO24" s="736">
        <f t="shared" si="9"/>
        <v>1284</v>
      </c>
      <c r="AP24" s="736">
        <f t="shared" si="9"/>
        <v>280229</v>
      </c>
    </row>
    <row r="25" spans="1:42" ht="48.75" customHeight="1" x14ac:dyDescent="0.7">
      <c r="A25" s="737" t="s">
        <v>737</v>
      </c>
      <c r="B25" s="735">
        <f>'[3]int.bevételek RM II'!D25</f>
        <v>360</v>
      </c>
      <c r="C25" s="735"/>
      <c r="D25" s="735">
        <f t="shared" si="0"/>
        <v>360</v>
      </c>
      <c r="E25" s="735">
        <f>'[3]int.bevételek RM II'!G25</f>
        <v>0</v>
      </c>
      <c r="F25" s="735"/>
      <c r="G25" s="735">
        <f t="shared" si="1"/>
        <v>0</v>
      </c>
      <c r="H25" s="735">
        <f>'[3]int.bevételek RM II'!J25</f>
        <v>0</v>
      </c>
      <c r="I25" s="735"/>
      <c r="J25" s="735">
        <f t="shared" si="2"/>
        <v>0</v>
      </c>
      <c r="K25" s="735">
        <f>'[3]int.bevételek RM II'!M25</f>
        <v>0</v>
      </c>
      <c r="L25" s="735"/>
      <c r="M25" s="735">
        <f t="shared" si="3"/>
        <v>0</v>
      </c>
      <c r="N25" s="736">
        <f t="shared" si="4"/>
        <v>360</v>
      </c>
      <c r="O25" s="736">
        <f t="shared" si="4"/>
        <v>0</v>
      </c>
      <c r="P25" s="736">
        <f t="shared" si="4"/>
        <v>360</v>
      </c>
      <c r="Q25" s="737" t="s">
        <v>737</v>
      </c>
      <c r="R25" s="735">
        <f>'[3]int.bevételek RM II'!T25</f>
        <v>0</v>
      </c>
      <c r="S25" s="735"/>
      <c r="T25" s="735">
        <f t="shared" si="5"/>
        <v>0</v>
      </c>
      <c r="U25" s="735">
        <f>'[3]int.bevételek RM II'!W25</f>
        <v>0</v>
      </c>
      <c r="V25" s="735"/>
      <c r="W25" s="735">
        <f>SUM(U25:V25)</f>
        <v>0</v>
      </c>
      <c r="X25" s="735">
        <f>'[3]int.bevételek RM II'!Z25</f>
        <v>0</v>
      </c>
      <c r="Y25" s="735"/>
      <c r="Z25" s="735">
        <f t="shared" si="6"/>
        <v>0</v>
      </c>
      <c r="AA25" s="736">
        <f t="shared" si="7"/>
        <v>0</v>
      </c>
      <c r="AB25" s="736">
        <f t="shared" si="7"/>
        <v>0</v>
      </c>
      <c r="AC25" s="736">
        <f t="shared" si="7"/>
        <v>0</v>
      </c>
      <c r="AD25" s="736">
        <f t="shared" si="10"/>
        <v>360</v>
      </c>
      <c r="AE25" s="736">
        <f t="shared" si="10"/>
        <v>0</v>
      </c>
      <c r="AF25" s="736">
        <f t="shared" si="10"/>
        <v>360</v>
      </c>
      <c r="AG25" s="737" t="s">
        <v>737</v>
      </c>
      <c r="AH25" s="735">
        <f>'[3]int.bevételek RM II'!AJ25</f>
        <v>2255</v>
      </c>
      <c r="AI25" s="735"/>
      <c r="AJ25" s="735">
        <f t="shared" si="8"/>
        <v>2255</v>
      </c>
      <c r="AK25" s="736">
        <f>'[3]int.bevételek RM II'!AM25</f>
        <v>203623</v>
      </c>
      <c r="AL25" s="736">
        <v>777</v>
      </c>
      <c r="AM25" s="736">
        <f t="shared" si="11"/>
        <v>204400</v>
      </c>
      <c r="AN25" s="736">
        <f t="shared" si="9"/>
        <v>206238</v>
      </c>
      <c r="AO25" s="736">
        <f t="shared" si="9"/>
        <v>777</v>
      </c>
      <c r="AP25" s="736">
        <f t="shared" si="9"/>
        <v>207015</v>
      </c>
    </row>
    <row r="26" spans="1:42" ht="48.75" customHeight="1" x14ac:dyDescent="0.7">
      <c r="A26" s="734" t="s">
        <v>738</v>
      </c>
      <c r="B26" s="735">
        <f>'[3]int.bevételek RM II'!D26</f>
        <v>1163</v>
      </c>
      <c r="C26" s="735">
        <v>157</v>
      </c>
      <c r="D26" s="735">
        <f t="shared" si="0"/>
        <v>1320</v>
      </c>
      <c r="E26" s="735">
        <f>'[3]int.bevételek RM II'!G26</f>
        <v>0</v>
      </c>
      <c r="F26" s="735"/>
      <c r="G26" s="735">
        <f t="shared" si="1"/>
        <v>0</v>
      </c>
      <c r="H26" s="735">
        <f>'[3]int.bevételek RM II'!J26</f>
        <v>0</v>
      </c>
      <c r="I26" s="735">
        <v>250</v>
      </c>
      <c r="J26" s="735">
        <f t="shared" si="2"/>
        <v>250</v>
      </c>
      <c r="K26" s="735">
        <f>'[3]int.bevételek RM II'!M26</f>
        <v>0</v>
      </c>
      <c r="L26" s="735"/>
      <c r="M26" s="735">
        <f t="shared" si="3"/>
        <v>0</v>
      </c>
      <c r="N26" s="736">
        <f t="shared" si="4"/>
        <v>1163</v>
      </c>
      <c r="O26" s="736">
        <f t="shared" si="4"/>
        <v>407</v>
      </c>
      <c r="P26" s="736">
        <f t="shared" si="4"/>
        <v>1570</v>
      </c>
      <c r="Q26" s="734" t="s">
        <v>738</v>
      </c>
      <c r="R26" s="735">
        <f>'[3]int.bevételek RM II'!T26</f>
        <v>0</v>
      </c>
      <c r="S26" s="735"/>
      <c r="T26" s="735">
        <f t="shared" si="5"/>
        <v>0</v>
      </c>
      <c r="U26" s="735">
        <f>'[3]int.bevételek RM II'!W26</f>
        <v>0</v>
      </c>
      <c r="V26" s="735"/>
      <c r="W26" s="735">
        <f>SUM(U26:V26)</f>
        <v>0</v>
      </c>
      <c r="X26" s="735">
        <f>'[3]int.bevételek RM II'!Z26</f>
        <v>0</v>
      </c>
      <c r="Y26" s="735"/>
      <c r="Z26" s="735">
        <f t="shared" si="6"/>
        <v>0</v>
      </c>
      <c r="AA26" s="736">
        <f t="shared" si="7"/>
        <v>0</v>
      </c>
      <c r="AB26" s="736">
        <f t="shared" si="7"/>
        <v>0</v>
      </c>
      <c r="AC26" s="736">
        <f t="shared" si="7"/>
        <v>0</v>
      </c>
      <c r="AD26" s="736">
        <f t="shared" si="10"/>
        <v>1163</v>
      </c>
      <c r="AE26" s="736">
        <f t="shared" si="10"/>
        <v>407</v>
      </c>
      <c r="AF26" s="736">
        <f t="shared" si="10"/>
        <v>1570</v>
      </c>
      <c r="AG26" s="734" t="s">
        <v>738</v>
      </c>
      <c r="AH26" s="735">
        <f>'[3]int.bevételek RM II'!AJ26</f>
        <v>1419</v>
      </c>
      <c r="AI26" s="735"/>
      <c r="AJ26" s="735">
        <f t="shared" si="8"/>
        <v>1419</v>
      </c>
      <c r="AK26" s="736">
        <f>'[3]int.bevételek RM II'!AM26</f>
        <v>153127</v>
      </c>
      <c r="AL26" s="736">
        <v>867</v>
      </c>
      <c r="AM26" s="736">
        <f t="shared" si="11"/>
        <v>153994</v>
      </c>
      <c r="AN26" s="736">
        <f t="shared" si="9"/>
        <v>155709</v>
      </c>
      <c r="AO26" s="736">
        <f t="shared" si="9"/>
        <v>1274</v>
      </c>
      <c r="AP26" s="736">
        <f t="shared" si="9"/>
        <v>156983</v>
      </c>
    </row>
    <row r="27" spans="1:42" ht="48.75" customHeight="1" thickBot="1" x14ac:dyDescent="0.75">
      <c r="A27" s="738" t="s">
        <v>739</v>
      </c>
      <c r="B27" s="735">
        <f>'[3]int.bevételek RM II'!D27</f>
        <v>840</v>
      </c>
      <c r="C27" s="739"/>
      <c r="D27" s="739">
        <f t="shared" si="0"/>
        <v>840</v>
      </c>
      <c r="E27" s="735">
        <f>'[3]int.bevételek RM II'!G27</f>
        <v>0</v>
      </c>
      <c r="F27" s="739"/>
      <c r="G27" s="739">
        <f t="shared" si="1"/>
        <v>0</v>
      </c>
      <c r="H27" s="739">
        <f>'[3]int.bevételek RM II'!J27</f>
        <v>0</v>
      </c>
      <c r="I27" s="739"/>
      <c r="J27" s="739">
        <f t="shared" si="2"/>
        <v>0</v>
      </c>
      <c r="K27" s="739">
        <f>'[3]int.bevételek RM II'!M27</f>
        <v>0</v>
      </c>
      <c r="L27" s="739"/>
      <c r="M27" s="735">
        <f t="shared" si="3"/>
        <v>0</v>
      </c>
      <c r="N27" s="736">
        <f t="shared" si="4"/>
        <v>840</v>
      </c>
      <c r="O27" s="736">
        <f t="shared" si="4"/>
        <v>0</v>
      </c>
      <c r="P27" s="736">
        <f t="shared" si="4"/>
        <v>840</v>
      </c>
      <c r="Q27" s="738" t="s">
        <v>739</v>
      </c>
      <c r="R27" s="739">
        <f>'[3]int.bevételek RM II'!T27</f>
        <v>0</v>
      </c>
      <c r="S27" s="739"/>
      <c r="T27" s="739">
        <f t="shared" si="5"/>
        <v>0</v>
      </c>
      <c r="U27" s="739">
        <f>'[3]int.bevételek RM II'!W27</f>
        <v>0</v>
      </c>
      <c r="V27" s="739"/>
      <c r="W27" s="735">
        <f>SUM(U27:V27)</f>
        <v>0</v>
      </c>
      <c r="X27" s="739">
        <f>'[3]int.bevételek RM II'!Z27</f>
        <v>0</v>
      </c>
      <c r="Y27" s="739"/>
      <c r="Z27" s="739">
        <f t="shared" si="6"/>
        <v>0</v>
      </c>
      <c r="AA27" s="736">
        <f t="shared" si="7"/>
        <v>0</v>
      </c>
      <c r="AB27" s="736">
        <f t="shared" si="7"/>
        <v>0</v>
      </c>
      <c r="AC27" s="736">
        <f t="shared" si="7"/>
        <v>0</v>
      </c>
      <c r="AD27" s="740">
        <f t="shared" si="10"/>
        <v>840</v>
      </c>
      <c r="AE27" s="740">
        <f t="shared" si="10"/>
        <v>0</v>
      </c>
      <c r="AF27" s="740">
        <f t="shared" si="10"/>
        <v>840</v>
      </c>
      <c r="AG27" s="738" t="s">
        <v>739</v>
      </c>
      <c r="AH27" s="739">
        <f>'[3]int.bevételek RM II'!AJ27</f>
        <v>1808</v>
      </c>
      <c r="AI27" s="739"/>
      <c r="AJ27" s="739">
        <f t="shared" si="8"/>
        <v>1808</v>
      </c>
      <c r="AK27" s="736">
        <f>'[3]int.bevételek RM II'!AM27</f>
        <v>121062</v>
      </c>
      <c r="AL27" s="736">
        <v>573</v>
      </c>
      <c r="AM27" s="736">
        <f t="shared" si="11"/>
        <v>121635</v>
      </c>
      <c r="AN27" s="736">
        <f t="shared" si="9"/>
        <v>123710</v>
      </c>
      <c r="AO27" s="736">
        <f t="shared" si="9"/>
        <v>573</v>
      </c>
      <c r="AP27" s="736">
        <f t="shared" si="9"/>
        <v>124283</v>
      </c>
    </row>
    <row r="28" spans="1:42" ht="57.75" customHeight="1" thickBot="1" x14ac:dyDescent="0.75">
      <c r="A28" s="741" t="s">
        <v>740</v>
      </c>
      <c r="B28" s="742">
        <f t="shared" ref="B28:P28" si="13">SUM(B10:B27)</f>
        <v>21668</v>
      </c>
      <c r="C28" s="742">
        <f t="shared" si="13"/>
        <v>1996</v>
      </c>
      <c r="D28" s="742">
        <f t="shared" si="13"/>
        <v>23664</v>
      </c>
      <c r="E28" s="742">
        <f t="shared" si="13"/>
        <v>0</v>
      </c>
      <c r="F28" s="742">
        <f t="shared" si="13"/>
        <v>0</v>
      </c>
      <c r="G28" s="742">
        <f t="shared" si="13"/>
        <v>0</v>
      </c>
      <c r="H28" s="742">
        <f t="shared" si="13"/>
        <v>381</v>
      </c>
      <c r="I28" s="742">
        <f t="shared" si="13"/>
        <v>1144</v>
      </c>
      <c r="J28" s="742">
        <f t="shared" si="13"/>
        <v>1525</v>
      </c>
      <c r="K28" s="742">
        <f t="shared" si="13"/>
        <v>0</v>
      </c>
      <c r="L28" s="742">
        <f t="shared" si="13"/>
        <v>0</v>
      </c>
      <c r="M28" s="742">
        <f t="shared" si="13"/>
        <v>0</v>
      </c>
      <c r="N28" s="742">
        <f t="shared" si="13"/>
        <v>22049</v>
      </c>
      <c r="O28" s="742">
        <f t="shared" si="13"/>
        <v>3140</v>
      </c>
      <c r="P28" s="742">
        <f t="shared" si="13"/>
        <v>25189</v>
      </c>
      <c r="Q28" s="741" t="s">
        <v>740</v>
      </c>
      <c r="R28" s="742">
        <f t="shared" ref="R28:AC28" si="14">SUM(R10:R27)</f>
        <v>0</v>
      </c>
      <c r="S28" s="742">
        <f t="shared" si="14"/>
        <v>0</v>
      </c>
      <c r="T28" s="742">
        <f t="shared" si="14"/>
        <v>0</v>
      </c>
      <c r="U28" s="742">
        <f t="shared" si="14"/>
        <v>0</v>
      </c>
      <c r="V28" s="742">
        <f t="shared" si="14"/>
        <v>0</v>
      </c>
      <c r="W28" s="742">
        <f t="shared" si="14"/>
        <v>0</v>
      </c>
      <c r="X28" s="742">
        <f t="shared" si="14"/>
        <v>0</v>
      </c>
      <c r="Y28" s="742">
        <f t="shared" si="14"/>
        <v>0</v>
      </c>
      <c r="Z28" s="742">
        <f t="shared" si="14"/>
        <v>0</v>
      </c>
      <c r="AA28" s="742">
        <f t="shared" si="14"/>
        <v>0</v>
      </c>
      <c r="AB28" s="742">
        <f t="shared" si="14"/>
        <v>0</v>
      </c>
      <c r="AC28" s="742">
        <f t="shared" si="14"/>
        <v>0</v>
      </c>
      <c r="AD28" s="743">
        <f t="shared" si="10"/>
        <v>22049</v>
      </c>
      <c r="AE28" s="743">
        <f t="shared" si="10"/>
        <v>3140</v>
      </c>
      <c r="AF28" s="742">
        <f t="shared" si="10"/>
        <v>25189</v>
      </c>
      <c r="AG28" s="741" t="s">
        <v>740</v>
      </c>
      <c r="AH28" s="742">
        <f>SUM(AH10:AH27)</f>
        <v>36644</v>
      </c>
      <c r="AI28" s="742">
        <f>SUM(AI10:AI27)</f>
        <v>0</v>
      </c>
      <c r="AJ28" s="742">
        <f>SUM(AJ10:AJ27)</f>
        <v>36644</v>
      </c>
      <c r="AK28" s="742">
        <f t="shared" ref="AK28:AP28" si="15">SUM(AK10:AK27)</f>
        <v>3594834</v>
      </c>
      <c r="AL28" s="742">
        <f t="shared" si="15"/>
        <v>22510</v>
      </c>
      <c r="AM28" s="742">
        <f t="shared" si="15"/>
        <v>3617344</v>
      </c>
      <c r="AN28" s="742">
        <f t="shared" si="15"/>
        <v>3653527</v>
      </c>
      <c r="AO28" s="742">
        <f t="shared" si="15"/>
        <v>25650</v>
      </c>
      <c r="AP28" s="742">
        <f t="shared" si="15"/>
        <v>3679177</v>
      </c>
    </row>
    <row r="29" spans="1:42" ht="63.75" customHeight="1" thickBot="1" x14ac:dyDescent="0.75">
      <c r="A29" s="744" t="s">
        <v>741</v>
      </c>
      <c r="B29" s="735">
        <f>'[3]int.bevételek RM II'!D29</f>
        <v>658521</v>
      </c>
      <c r="C29" s="745"/>
      <c r="D29" s="745">
        <f>SUM(B29:C29)</f>
        <v>658521</v>
      </c>
      <c r="E29" s="735">
        <f>'[3]int.bevételek RM II'!G29</f>
        <v>1048</v>
      </c>
      <c r="F29" s="745">
        <v>1244</v>
      </c>
      <c r="G29" s="745">
        <f>SUM(E29:F29)</f>
        <v>2292</v>
      </c>
      <c r="H29" s="745">
        <f>'[3]int.bevételek RM II'!J29</f>
        <v>0</v>
      </c>
      <c r="I29" s="745"/>
      <c r="J29" s="745">
        <f>SUM(H29:I29)</f>
        <v>0</v>
      </c>
      <c r="K29" s="745">
        <f>'[3]int.bevételek RM II'!M29</f>
        <v>0</v>
      </c>
      <c r="L29" s="745"/>
      <c r="M29" s="745">
        <f>SUM(K29:L29)</f>
        <v>0</v>
      </c>
      <c r="N29" s="736">
        <f>B29+E29+H29+K29</f>
        <v>659569</v>
      </c>
      <c r="O29" s="736">
        <f>C29+F29+I29+L29</f>
        <v>1244</v>
      </c>
      <c r="P29" s="736">
        <f>D29+G29+J29+M29</f>
        <v>660813</v>
      </c>
      <c r="Q29" s="744" t="s">
        <v>741</v>
      </c>
      <c r="R29" s="745">
        <f>'[3]int.bevételek RM II'!T29</f>
        <v>35</v>
      </c>
      <c r="S29" s="745"/>
      <c r="T29" s="745">
        <f>SUM(R29:S29)</f>
        <v>35</v>
      </c>
      <c r="U29" s="745">
        <f>'[3]int.bevételek RM II'!W29</f>
        <v>0</v>
      </c>
      <c r="V29" s="745"/>
      <c r="W29" s="745">
        <f>SUM(U29:V29)</f>
        <v>0</v>
      </c>
      <c r="X29" s="745">
        <f>'[3]int.bevételek RM II'!Z29</f>
        <v>0</v>
      </c>
      <c r="Y29" s="745"/>
      <c r="Z29" s="745">
        <f>SUM(X29:Y29)</f>
        <v>0</v>
      </c>
      <c r="AA29" s="736">
        <f>R29+U29+X29</f>
        <v>35</v>
      </c>
      <c r="AB29" s="736">
        <f>S29+V29+Y29</f>
        <v>0</v>
      </c>
      <c r="AC29" s="736">
        <f>T29+W29+Z29</f>
        <v>35</v>
      </c>
      <c r="AD29" s="746">
        <f t="shared" si="10"/>
        <v>659604</v>
      </c>
      <c r="AE29" s="746">
        <f t="shared" si="10"/>
        <v>1244</v>
      </c>
      <c r="AF29" s="742">
        <f t="shared" si="10"/>
        <v>660848</v>
      </c>
      <c r="AG29" s="744" t="s">
        <v>741</v>
      </c>
      <c r="AH29" s="745">
        <f>'[3]int.bevételek RM II'!AJ29</f>
        <v>16061</v>
      </c>
      <c r="AI29" s="745"/>
      <c r="AJ29" s="745">
        <f>SUM(AH29:AI29)</f>
        <v>16061</v>
      </c>
      <c r="AK29" s="736">
        <f>'[3]int.bevételek RM II'!AM29</f>
        <v>1925724</v>
      </c>
      <c r="AL29" s="736">
        <v>1020</v>
      </c>
      <c r="AM29" s="736">
        <f>SUM(AK29:AL29)</f>
        <v>1926744</v>
      </c>
      <c r="AN29" s="736">
        <f>N29+AA29+AH29+AK29</f>
        <v>2601389</v>
      </c>
      <c r="AO29" s="736">
        <f>O29+AB29+AI29+AL29</f>
        <v>2264</v>
      </c>
      <c r="AP29" s="736">
        <f>P29+AC29+AJ29+AM29</f>
        <v>2603653</v>
      </c>
    </row>
    <row r="30" spans="1:42" ht="67.5" customHeight="1" thickBot="1" x14ac:dyDescent="0.75">
      <c r="A30" s="747" t="s">
        <v>742</v>
      </c>
      <c r="B30" s="742">
        <f t="shared" ref="B30:P30" si="16">B28+B29</f>
        <v>680189</v>
      </c>
      <c r="C30" s="742">
        <f t="shared" si="16"/>
        <v>1996</v>
      </c>
      <c r="D30" s="742">
        <f t="shared" si="16"/>
        <v>682185</v>
      </c>
      <c r="E30" s="742">
        <f t="shared" si="16"/>
        <v>1048</v>
      </c>
      <c r="F30" s="742">
        <f t="shared" si="16"/>
        <v>1244</v>
      </c>
      <c r="G30" s="742">
        <f t="shared" si="16"/>
        <v>2292</v>
      </c>
      <c r="H30" s="742">
        <f t="shared" si="16"/>
        <v>381</v>
      </c>
      <c r="I30" s="742">
        <f t="shared" si="16"/>
        <v>1144</v>
      </c>
      <c r="J30" s="742">
        <f t="shared" si="16"/>
        <v>1525</v>
      </c>
      <c r="K30" s="742">
        <f t="shared" si="16"/>
        <v>0</v>
      </c>
      <c r="L30" s="742">
        <f t="shared" si="16"/>
        <v>0</v>
      </c>
      <c r="M30" s="742">
        <f t="shared" si="16"/>
        <v>0</v>
      </c>
      <c r="N30" s="742">
        <f t="shared" si="16"/>
        <v>681618</v>
      </c>
      <c r="O30" s="742">
        <f t="shared" si="16"/>
        <v>4384</v>
      </c>
      <c r="P30" s="742">
        <f t="shared" si="16"/>
        <v>686002</v>
      </c>
      <c r="Q30" s="747" t="s">
        <v>742</v>
      </c>
      <c r="R30" s="742">
        <f t="shared" ref="R30:AC30" si="17">R28+R29</f>
        <v>35</v>
      </c>
      <c r="S30" s="742">
        <f t="shared" si="17"/>
        <v>0</v>
      </c>
      <c r="T30" s="742">
        <f t="shared" si="17"/>
        <v>35</v>
      </c>
      <c r="U30" s="742">
        <f t="shared" si="17"/>
        <v>0</v>
      </c>
      <c r="V30" s="742">
        <f t="shared" si="17"/>
        <v>0</v>
      </c>
      <c r="W30" s="742">
        <f t="shared" si="17"/>
        <v>0</v>
      </c>
      <c r="X30" s="742">
        <f t="shared" si="17"/>
        <v>0</v>
      </c>
      <c r="Y30" s="742">
        <f t="shared" si="17"/>
        <v>0</v>
      </c>
      <c r="Z30" s="742">
        <f t="shared" si="17"/>
        <v>0</v>
      </c>
      <c r="AA30" s="742">
        <f t="shared" si="17"/>
        <v>35</v>
      </c>
      <c r="AB30" s="742">
        <f t="shared" si="17"/>
        <v>0</v>
      </c>
      <c r="AC30" s="742">
        <f t="shared" si="17"/>
        <v>35</v>
      </c>
      <c r="AD30" s="743">
        <f t="shared" si="10"/>
        <v>681653</v>
      </c>
      <c r="AE30" s="743">
        <f t="shared" si="10"/>
        <v>4384</v>
      </c>
      <c r="AF30" s="742">
        <f t="shared" si="10"/>
        <v>686037</v>
      </c>
      <c r="AG30" s="747" t="s">
        <v>742</v>
      </c>
      <c r="AH30" s="742">
        <f>AH28+AH29</f>
        <v>52705</v>
      </c>
      <c r="AI30" s="742">
        <f>AI28+AI29</f>
        <v>0</v>
      </c>
      <c r="AJ30" s="742">
        <f>AJ28+AJ29</f>
        <v>52705</v>
      </c>
      <c r="AK30" s="742">
        <f t="shared" ref="AK30:AP30" si="18">AK28+AK29</f>
        <v>5520558</v>
      </c>
      <c r="AL30" s="742">
        <f t="shared" si="18"/>
        <v>23530</v>
      </c>
      <c r="AM30" s="742">
        <f t="shared" si="18"/>
        <v>5544088</v>
      </c>
      <c r="AN30" s="742">
        <f t="shared" si="18"/>
        <v>6254916</v>
      </c>
      <c r="AO30" s="742">
        <f t="shared" si="18"/>
        <v>27914</v>
      </c>
      <c r="AP30" s="742">
        <f t="shared" si="18"/>
        <v>6282830</v>
      </c>
    </row>
    <row r="31" spans="1:42" ht="48.75" customHeight="1" x14ac:dyDescent="0.7">
      <c r="A31" s="731" t="s">
        <v>743</v>
      </c>
      <c r="B31" s="748"/>
      <c r="C31" s="732"/>
      <c r="D31" s="732"/>
      <c r="E31" s="732"/>
      <c r="F31" s="732"/>
      <c r="G31" s="732"/>
      <c r="H31" s="748"/>
      <c r="I31" s="748"/>
      <c r="J31" s="732"/>
      <c r="K31" s="748"/>
      <c r="L31" s="748"/>
      <c r="M31" s="732"/>
      <c r="N31" s="732"/>
      <c r="O31" s="732"/>
      <c r="P31" s="748"/>
      <c r="Q31" s="731" t="s">
        <v>743</v>
      </c>
      <c r="R31" s="748"/>
      <c r="S31" s="732"/>
      <c r="T31" s="732"/>
      <c r="U31" s="732"/>
      <c r="V31" s="732"/>
      <c r="W31" s="748"/>
      <c r="X31" s="748"/>
      <c r="Y31" s="732"/>
      <c r="Z31" s="732"/>
      <c r="AA31" s="748"/>
      <c r="AB31" s="732"/>
      <c r="AC31" s="748"/>
      <c r="AD31" s="748"/>
      <c r="AE31" s="748"/>
      <c r="AF31" s="748"/>
      <c r="AG31" s="749" t="s">
        <v>743</v>
      </c>
      <c r="AH31" s="732"/>
      <c r="AI31" s="748"/>
      <c r="AJ31" s="732"/>
      <c r="AK31" s="748"/>
      <c r="AL31" s="748"/>
      <c r="AM31" s="748"/>
      <c r="AN31" s="732"/>
      <c r="AO31" s="732"/>
      <c r="AP31" s="748"/>
    </row>
    <row r="32" spans="1:42" ht="48.75" customHeight="1" x14ac:dyDescent="0.7">
      <c r="A32" s="750" t="s">
        <v>744</v>
      </c>
      <c r="B32" s="748"/>
      <c r="C32" s="748"/>
      <c r="D32" s="751"/>
      <c r="E32" s="748"/>
      <c r="F32" s="748"/>
      <c r="G32" s="748"/>
      <c r="H32" s="748"/>
      <c r="I32" s="748"/>
      <c r="J32" s="748"/>
      <c r="K32" s="748"/>
      <c r="L32" s="748"/>
      <c r="M32" s="748"/>
      <c r="N32" s="748"/>
      <c r="O32" s="748"/>
      <c r="P32" s="748"/>
      <c r="Q32" s="752" t="s">
        <v>744</v>
      </c>
      <c r="R32" s="748"/>
      <c r="S32" s="748"/>
      <c r="T32" s="748"/>
      <c r="U32" s="748"/>
      <c r="V32" s="748"/>
      <c r="W32" s="748"/>
      <c r="X32" s="748"/>
      <c r="Y32" s="748"/>
      <c r="Z32" s="748"/>
      <c r="AA32" s="748"/>
      <c r="AB32" s="748"/>
      <c r="AC32" s="748"/>
      <c r="AD32" s="748"/>
      <c r="AE32" s="748"/>
      <c r="AF32" s="748"/>
      <c r="AG32" s="752" t="s">
        <v>744</v>
      </c>
      <c r="AH32" s="748"/>
      <c r="AI32" s="748"/>
      <c r="AJ32" s="748"/>
      <c r="AK32" s="748"/>
      <c r="AL32" s="748"/>
      <c r="AM32" s="748"/>
      <c r="AN32" s="748"/>
      <c r="AO32" s="748"/>
      <c r="AP32" s="748"/>
    </row>
    <row r="33" spans="1:140" ht="48.75" customHeight="1" x14ac:dyDescent="0.7">
      <c r="A33" s="753" t="s">
        <v>98</v>
      </c>
      <c r="B33" s="735">
        <f>'[3]int.bevételek RM II'!D33</f>
        <v>28471</v>
      </c>
      <c r="C33" s="735"/>
      <c r="D33" s="735">
        <f>SUM(B33:C33)</f>
        <v>28471</v>
      </c>
      <c r="E33" s="735">
        <f>'[3]int.bevételek RM II'!G33</f>
        <v>0</v>
      </c>
      <c r="F33" s="735">
        <v>67805</v>
      </c>
      <c r="G33" s="735">
        <f>SUM(E33:F33)</f>
        <v>67805</v>
      </c>
      <c r="H33" s="735">
        <f>'[3]int.bevételek RM II'!J33</f>
        <v>0</v>
      </c>
      <c r="I33" s="735"/>
      <c r="J33" s="735">
        <f>SUM(H33:I33)</f>
        <v>0</v>
      </c>
      <c r="K33" s="739">
        <f>'[3]int.bevételek RM II'!M33</f>
        <v>0</v>
      </c>
      <c r="L33" s="739"/>
      <c r="M33" s="735">
        <f>SUM(K33:L33)</f>
        <v>0</v>
      </c>
      <c r="N33" s="736">
        <f t="shared" ref="N33:O36" si="19">B33+E33+H33+K33</f>
        <v>28471</v>
      </c>
      <c r="O33" s="736">
        <f t="shared" si="19"/>
        <v>67805</v>
      </c>
      <c r="P33" s="736">
        <f>D33+G33+J33+M33</f>
        <v>96276</v>
      </c>
      <c r="Q33" s="753" t="s">
        <v>98</v>
      </c>
      <c r="R33" s="735">
        <f>'[3]int.bevételek RM II'!T33</f>
        <v>0</v>
      </c>
      <c r="S33" s="735"/>
      <c r="T33" s="735">
        <f>SUM(R33:S33)</f>
        <v>0</v>
      </c>
      <c r="U33" s="735">
        <f>'[3]int.bevételek RM II'!W33</f>
        <v>0</v>
      </c>
      <c r="V33" s="735"/>
      <c r="W33" s="735">
        <f>SUM(U33:V33)</f>
        <v>0</v>
      </c>
      <c r="X33" s="735">
        <f>'[3]int.bevételek RM II'!Z33</f>
        <v>0</v>
      </c>
      <c r="Y33" s="735"/>
      <c r="Z33" s="735">
        <f>SUM(X33:Y33)</f>
        <v>0</v>
      </c>
      <c r="AA33" s="736">
        <f t="shared" ref="AA33:AC36" si="20">R33+U33+X33</f>
        <v>0</v>
      </c>
      <c r="AB33" s="736">
        <f t="shared" si="20"/>
        <v>0</v>
      </c>
      <c r="AC33" s="736">
        <f t="shared" si="20"/>
        <v>0</v>
      </c>
      <c r="AD33" s="736">
        <f t="shared" si="10"/>
        <v>28471</v>
      </c>
      <c r="AE33" s="736">
        <f t="shared" si="10"/>
        <v>67805</v>
      </c>
      <c r="AF33" s="736">
        <f t="shared" si="10"/>
        <v>96276</v>
      </c>
      <c r="AG33" s="753" t="s">
        <v>98</v>
      </c>
      <c r="AH33" s="735">
        <f>'[3]int.bevételek RM II'!AJ33</f>
        <v>38505</v>
      </c>
      <c r="AI33" s="735"/>
      <c r="AJ33" s="735">
        <f>SUM(AH33:AI33)</f>
        <v>38505</v>
      </c>
      <c r="AK33" s="736">
        <f>'[3]int.bevételek RM II'!AM33</f>
        <v>197812</v>
      </c>
      <c r="AL33" s="736">
        <v>-67805</v>
      </c>
      <c r="AM33" s="736">
        <f>SUM(AK33:AL33)</f>
        <v>130007</v>
      </c>
      <c r="AN33" s="736">
        <f t="shared" ref="AN33:AP36" si="21">N33+AA33+AH33+AK33</f>
        <v>264788</v>
      </c>
      <c r="AO33" s="736">
        <f t="shared" si="21"/>
        <v>0</v>
      </c>
      <c r="AP33" s="736">
        <f t="shared" si="21"/>
        <v>264788</v>
      </c>
    </row>
    <row r="34" spans="1:140" ht="48.75" customHeight="1" x14ac:dyDescent="0.7">
      <c r="A34" s="737" t="s">
        <v>745</v>
      </c>
      <c r="B34" s="735">
        <f>'[3]int.bevételek RM II'!D34</f>
        <v>113344</v>
      </c>
      <c r="C34" s="755"/>
      <c r="D34" s="755">
        <f>SUM(B34:C34)</f>
        <v>113344</v>
      </c>
      <c r="E34" s="735">
        <f>'[3]int.bevételek RM II'!G34</f>
        <v>0</v>
      </c>
      <c r="F34" s="755">
        <v>212952</v>
      </c>
      <c r="G34" s="755">
        <f>SUM(E34:F34)</f>
        <v>212952</v>
      </c>
      <c r="H34" s="755">
        <f>'[3]int.bevételek RM II'!J34</f>
        <v>0</v>
      </c>
      <c r="I34" s="755"/>
      <c r="J34" s="755">
        <f>SUM(H34:I34)</f>
        <v>0</v>
      </c>
      <c r="K34" s="755">
        <f>'[3]int.bevételek RM II'!M34</f>
        <v>0</v>
      </c>
      <c r="L34" s="755"/>
      <c r="M34" s="735">
        <f>SUM(K34:L34)</f>
        <v>0</v>
      </c>
      <c r="N34" s="736">
        <f t="shared" si="19"/>
        <v>113344</v>
      </c>
      <c r="O34" s="736">
        <f t="shared" si="19"/>
        <v>212952</v>
      </c>
      <c r="P34" s="736">
        <f>D34+G34+J34+M34</f>
        <v>326296</v>
      </c>
      <c r="Q34" s="737" t="s">
        <v>745</v>
      </c>
      <c r="R34" s="755">
        <f>'[3]int.bevételek RM II'!T34</f>
        <v>0</v>
      </c>
      <c r="S34" s="755"/>
      <c r="T34" s="755">
        <f>SUM(R34:S34)</f>
        <v>0</v>
      </c>
      <c r="U34" s="755">
        <f>'[3]int.bevételek RM II'!W34</f>
        <v>0</v>
      </c>
      <c r="V34" s="755">
        <v>7200</v>
      </c>
      <c r="W34" s="755">
        <f>SUM(U34:V34)</f>
        <v>7200</v>
      </c>
      <c r="X34" s="755">
        <f>'[3]int.bevételek RM II'!Z34</f>
        <v>0</v>
      </c>
      <c r="Y34" s="755"/>
      <c r="Z34" s="755">
        <f>SUM(X34:Y34)</f>
        <v>0</v>
      </c>
      <c r="AA34" s="736">
        <f t="shared" si="20"/>
        <v>0</v>
      </c>
      <c r="AB34" s="736">
        <f t="shared" si="20"/>
        <v>7200</v>
      </c>
      <c r="AC34" s="736">
        <f t="shared" si="20"/>
        <v>7200</v>
      </c>
      <c r="AD34" s="736">
        <f t="shared" si="10"/>
        <v>113344</v>
      </c>
      <c r="AE34" s="736">
        <f t="shared" si="10"/>
        <v>220152</v>
      </c>
      <c r="AF34" s="736">
        <f t="shared" si="10"/>
        <v>333496</v>
      </c>
      <c r="AG34" s="737" t="s">
        <v>745</v>
      </c>
      <c r="AH34" s="735">
        <f>'[3]int.bevételek RM II'!AJ34</f>
        <v>211042</v>
      </c>
      <c r="AI34" s="735"/>
      <c r="AJ34" s="735">
        <f>SUM(AH34:AI34)</f>
        <v>211042</v>
      </c>
      <c r="AK34" s="736">
        <f>'[3]int.bevételek RM II'!AM34</f>
        <v>578042</v>
      </c>
      <c r="AL34" s="736"/>
      <c r="AM34" s="736">
        <f>SUM(AK34:AL34)</f>
        <v>578042</v>
      </c>
      <c r="AN34" s="736">
        <f t="shared" si="21"/>
        <v>902428</v>
      </c>
      <c r="AO34" s="736">
        <f t="shared" si="21"/>
        <v>220152</v>
      </c>
      <c r="AP34" s="736">
        <f t="shared" si="21"/>
        <v>1122580</v>
      </c>
    </row>
    <row r="35" spans="1:140" ht="48.75" customHeight="1" x14ac:dyDescent="0.7">
      <c r="A35" s="737" t="s">
        <v>746</v>
      </c>
      <c r="B35" s="735">
        <f>'[3]int.bevételek RM II'!D35</f>
        <v>32900</v>
      </c>
      <c r="C35" s="755"/>
      <c r="D35" s="755">
        <f>SUM(B35:C35)</f>
        <v>32900</v>
      </c>
      <c r="E35" s="735">
        <f>'[3]int.bevételek RM II'!G35</f>
        <v>0</v>
      </c>
      <c r="F35" s="755">
        <v>5000</v>
      </c>
      <c r="G35" s="755">
        <f>SUM(E35:F35)</f>
        <v>5000</v>
      </c>
      <c r="H35" s="755">
        <f>'[3]int.bevételek RM II'!J35</f>
        <v>0</v>
      </c>
      <c r="I35" s="755"/>
      <c r="J35" s="755">
        <f>SUM(H35:I35)</f>
        <v>0</v>
      </c>
      <c r="K35" s="755">
        <f>'[3]int.bevételek RM II'!M35</f>
        <v>0</v>
      </c>
      <c r="L35" s="755"/>
      <c r="M35" s="735">
        <f>SUM(K35:L35)</f>
        <v>0</v>
      </c>
      <c r="N35" s="736">
        <f t="shared" si="19"/>
        <v>32900</v>
      </c>
      <c r="O35" s="736">
        <f t="shared" si="19"/>
        <v>5000</v>
      </c>
      <c r="P35" s="736">
        <f>D35+G35+J35+M35</f>
        <v>37900</v>
      </c>
      <c r="Q35" s="737" t="s">
        <v>746</v>
      </c>
      <c r="R35" s="755">
        <f>'[3]int.bevételek RM II'!T35</f>
        <v>0</v>
      </c>
      <c r="S35" s="755"/>
      <c r="T35" s="755">
        <f>SUM(R35:S35)</f>
        <v>0</v>
      </c>
      <c r="U35" s="755">
        <f>'[3]int.bevételek RM II'!W35</f>
        <v>0</v>
      </c>
      <c r="V35" s="755"/>
      <c r="W35" s="755">
        <f>SUM(U35:V35)</f>
        <v>0</v>
      </c>
      <c r="X35" s="755">
        <f>'[3]int.bevételek RM II'!Z35</f>
        <v>0</v>
      </c>
      <c r="Y35" s="755"/>
      <c r="Z35" s="755">
        <f>SUM(X35:Y35)</f>
        <v>0</v>
      </c>
      <c r="AA35" s="736">
        <f t="shared" si="20"/>
        <v>0</v>
      </c>
      <c r="AB35" s="736">
        <f t="shared" si="20"/>
        <v>0</v>
      </c>
      <c r="AC35" s="736">
        <f t="shared" si="20"/>
        <v>0</v>
      </c>
      <c r="AD35" s="736">
        <f t="shared" si="10"/>
        <v>32900</v>
      </c>
      <c r="AE35" s="736">
        <f t="shared" si="10"/>
        <v>5000</v>
      </c>
      <c r="AF35" s="736">
        <f t="shared" si="10"/>
        <v>37900</v>
      </c>
      <c r="AG35" s="737" t="s">
        <v>746</v>
      </c>
      <c r="AH35" s="755">
        <f>'[3]int.bevételek RM II'!AJ35</f>
        <v>23795</v>
      </c>
      <c r="AI35" s="755"/>
      <c r="AJ35" s="755">
        <f>SUM(AH35:AI35)</f>
        <v>23795</v>
      </c>
      <c r="AK35" s="736">
        <f>'[3]int.bevételek RM II'!AM35</f>
        <v>477538</v>
      </c>
      <c r="AL35" s="736"/>
      <c r="AM35" s="736">
        <f>SUM(AK35:AL35)</f>
        <v>477538</v>
      </c>
      <c r="AN35" s="736">
        <f t="shared" si="21"/>
        <v>534233</v>
      </c>
      <c r="AO35" s="736">
        <f t="shared" si="21"/>
        <v>5000</v>
      </c>
      <c r="AP35" s="736">
        <f t="shared" si="21"/>
        <v>539233</v>
      </c>
    </row>
    <row r="36" spans="1:140" ht="48.75" customHeight="1" thickBot="1" x14ac:dyDescent="0.75">
      <c r="A36" s="756" t="s">
        <v>450</v>
      </c>
      <c r="B36" s="735">
        <f>'[3]int.bevételek RM II'!D36</f>
        <v>154078</v>
      </c>
      <c r="C36" s="755"/>
      <c r="D36" s="755">
        <f>SUM(B36:C36)</f>
        <v>154078</v>
      </c>
      <c r="E36" s="735">
        <f>'[3]int.bevételek RM II'!G36</f>
        <v>13406</v>
      </c>
      <c r="F36" s="755">
        <v>12079</v>
      </c>
      <c r="G36" s="755">
        <f>SUM(E36:F36)</f>
        <v>25485</v>
      </c>
      <c r="H36" s="755">
        <f>'[3]int.bevételek RM II'!J36</f>
        <v>0</v>
      </c>
      <c r="I36" s="755"/>
      <c r="J36" s="755">
        <f>SUM(H36:I36)</f>
        <v>0</v>
      </c>
      <c r="K36" s="757">
        <f>'[3]int.bevételek RM II'!M36</f>
        <v>0</v>
      </c>
      <c r="L36" s="757"/>
      <c r="M36" s="735">
        <f>SUM(K36:L36)</f>
        <v>0</v>
      </c>
      <c r="N36" s="736">
        <f t="shared" si="19"/>
        <v>167484</v>
      </c>
      <c r="O36" s="736">
        <f t="shared" si="19"/>
        <v>12079</v>
      </c>
      <c r="P36" s="736">
        <f>D36+G36+J36+M36</f>
        <v>179563</v>
      </c>
      <c r="Q36" s="756" t="s">
        <v>450</v>
      </c>
      <c r="R36" s="755">
        <f>'[3]int.bevételek RM II'!T36</f>
        <v>0</v>
      </c>
      <c r="S36" s="755"/>
      <c r="T36" s="755">
        <f>SUM(R36:S36)</f>
        <v>0</v>
      </c>
      <c r="U36" s="755">
        <f>'[3]int.bevételek RM II'!W36</f>
        <v>0</v>
      </c>
      <c r="V36" s="755"/>
      <c r="W36" s="755">
        <f>SUM(U36:V36)</f>
        <v>0</v>
      </c>
      <c r="X36" s="755">
        <f>'[3]int.bevételek RM II'!Z36</f>
        <v>0</v>
      </c>
      <c r="Y36" s="755"/>
      <c r="Z36" s="755">
        <f>SUM(X36:Y36)</f>
        <v>0</v>
      </c>
      <c r="AA36" s="736">
        <f t="shared" si="20"/>
        <v>0</v>
      </c>
      <c r="AB36" s="736">
        <f t="shared" si="20"/>
        <v>0</v>
      </c>
      <c r="AC36" s="736">
        <f t="shared" si="20"/>
        <v>0</v>
      </c>
      <c r="AD36" s="748">
        <f t="shared" si="10"/>
        <v>167484</v>
      </c>
      <c r="AE36" s="748">
        <f t="shared" si="10"/>
        <v>12079</v>
      </c>
      <c r="AF36" s="748">
        <f t="shared" si="10"/>
        <v>179563</v>
      </c>
      <c r="AG36" s="756" t="s">
        <v>450</v>
      </c>
      <c r="AH36" s="755">
        <f>'[3]int.bevételek RM II'!AJ36</f>
        <v>107927</v>
      </c>
      <c r="AI36" s="755"/>
      <c r="AJ36" s="755">
        <f>SUM(AH36:AI36)</f>
        <v>107927</v>
      </c>
      <c r="AK36" s="736">
        <f>'[3]int.bevételek RM II'!AM36</f>
        <v>704443</v>
      </c>
      <c r="AL36" s="736"/>
      <c r="AM36" s="736">
        <f>SUM(AK36:AL36)</f>
        <v>704443</v>
      </c>
      <c r="AN36" s="736">
        <f t="shared" si="21"/>
        <v>979854</v>
      </c>
      <c r="AO36" s="736">
        <f t="shared" si="21"/>
        <v>12079</v>
      </c>
      <c r="AP36" s="736">
        <f t="shared" si="21"/>
        <v>991933</v>
      </c>
    </row>
    <row r="37" spans="1:140" ht="61.5" customHeight="1" thickBot="1" x14ac:dyDescent="0.75">
      <c r="A37" s="758" t="s">
        <v>747</v>
      </c>
      <c r="B37" s="742">
        <f t="shared" ref="B37:P37" si="22">SUM(B33:B36)</f>
        <v>328793</v>
      </c>
      <c r="C37" s="742">
        <f t="shared" si="22"/>
        <v>0</v>
      </c>
      <c r="D37" s="742">
        <f t="shared" si="22"/>
        <v>328793</v>
      </c>
      <c r="E37" s="742">
        <f t="shared" si="22"/>
        <v>13406</v>
      </c>
      <c r="F37" s="742">
        <f t="shared" si="22"/>
        <v>297836</v>
      </c>
      <c r="G37" s="742">
        <f t="shared" si="22"/>
        <v>311242</v>
      </c>
      <c r="H37" s="742">
        <f t="shared" si="22"/>
        <v>0</v>
      </c>
      <c r="I37" s="742">
        <f t="shared" si="22"/>
        <v>0</v>
      </c>
      <c r="J37" s="742">
        <f t="shared" si="22"/>
        <v>0</v>
      </c>
      <c r="K37" s="742">
        <f t="shared" si="22"/>
        <v>0</v>
      </c>
      <c r="L37" s="742">
        <f t="shared" si="22"/>
        <v>0</v>
      </c>
      <c r="M37" s="742">
        <f t="shared" si="22"/>
        <v>0</v>
      </c>
      <c r="N37" s="742">
        <f t="shared" si="22"/>
        <v>342199</v>
      </c>
      <c r="O37" s="742">
        <f t="shared" si="22"/>
        <v>297836</v>
      </c>
      <c r="P37" s="742">
        <f t="shared" si="22"/>
        <v>640035</v>
      </c>
      <c r="Q37" s="758" t="s">
        <v>747</v>
      </c>
      <c r="R37" s="742">
        <f t="shared" ref="R37:AC37" si="23">SUM(R33:R36)</f>
        <v>0</v>
      </c>
      <c r="S37" s="742">
        <f t="shared" si="23"/>
        <v>0</v>
      </c>
      <c r="T37" s="742">
        <f t="shared" si="23"/>
        <v>0</v>
      </c>
      <c r="U37" s="742">
        <f t="shared" si="23"/>
        <v>0</v>
      </c>
      <c r="V37" s="742">
        <f t="shared" si="23"/>
        <v>7200</v>
      </c>
      <c r="W37" s="742">
        <f t="shared" si="23"/>
        <v>7200</v>
      </c>
      <c r="X37" s="742">
        <f t="shared" si="23"/>
        <v>0</v>
      </c>
      <c r="Y37" s="742">
        <f t="shared" si="23"/>
        <v>0</v>
      </c>
      <c r="Z37" s="742">
        <f t="shared" si="23"/>
        <v>0</v>
      </c>
      <c r="AA37" s="742">
        <f t="shared" si="23"/>
        <v>0</v>
      </c>
      <c r="AB37" s="742">
        <f t="shared" si="23"/>
        <v>7200</v>
      </c>
      <c r="AC37" s="742">
        <f t="shared" si="23"/>
        <v>7200</v>
      </c>
      <c r="AD37" s="742">
        <f t="shared" si="10"/>
        <v>342199</v>
      </c>
      <c r="AE37" s="742">
        <f t="shared" si="10"/>
        <v>305036</v>
      </c>
      <c r="AF37" s="742">
        <f t="shared" si="10"/>
        <v>647235</v>
      </c>
      <c r="AG37" s="758" t="s">
        <v>747</v>
      </c>
      <c r="AH37" s="742">
        <f t="shared" ref="AH37:AP37" si="24">SUM(AH33:AH36)</f>
        <v>381269</v>
      </c>
      <c r="AI37" s="742">
        <f t="shared" si="24"/>
        <v>0</v>
      </c>
      <c r="AJ37" s="742">
        <f t="shared" si="24"/>
        <v>381269</v>
      </c>
      <c r="AK37" s="742">
        <f t="shared" si="24"/>
        <v>1957835</v>
      </c>
      <c r="AL37" s="742">
        <f t="shared" si="24"/>
        <v>-67805</v>
      </c>
      <c r="AM37" s="742">
        <f t="shared" si="24"/>
        <v>1890030</v>
      </c>
      <c r="AN37" s="742">
        <f t="shared" si="24"/>
        <v>2681303</v>
      </c>
      <c r="AO37" s="742">
        <f t="shared" si="24"/>
        <v>237231</v>
      </c>
      <c r="AP37" s="742">
        <f t="shared" si="24"/>
        <v>2918534</v>
      </c>
    </row>
    <row r="38" spans="1:140" ht="48" customHeight="1" x14ac:dyDescent="0.7">
      <c r="A38" s="759" t="s">
        <v>748</v>
      </c>
      <c r="B38" s="732"/>
      <c r="C38" s="732"/>
      <c r="D38" s="732"/>
      <c r="E38" s="732"/>
      <c r="F38" s="732"/>
      <c r="G38" s="732"/>
      <c r="H38" s="732"/>
      <c r="I38" s="732"/>
      <c r="J38" s="732"/>
      <c r="K38" s="732"/>
      <c r="L38" s="732"/>
      <c r="M38" s="732"/>
      <c r="N38" s="732"/>
      <c r="O38" s="732"/>
      <c r="P38" s="732"/>
      <c r="Q38" s="759" t="s">
        <v>748</v>
      </c>
      <c r="R38" s="732"/>
      <c r="S38" s="732"/>
      <c r="T38" s="732"/>
      <c r="U38" s="732"/>
      <c r="V38" s="732"/>
      <c r="W38" s="732"/>
      <c r="X38" s="732"/>
      <c r="Y38" s="732"/>
      <c r="Z38" s="732"/>
      <c r="AA38" s="732"/>
      <c r="AB38" s="732"/>
      <c r="AC38" s="732"/>
      <c r="AD38" s="732"/>
      <c r="AE38" s="732"/>
      <c r="AF38" s="732"/>
      <c r="AG38" s="759" t="s">
        <v>748</v>
      </c>
      <c r="AH38" s="732"/>
      <c r="AI38" s="732"/>
      <c r="AJ38" s="732"/>
      <c r="AK38" s="732"/>
      <c r="AL38" s="732"/>
      <c r="AM38" s="732"/>
      <c r="AN38" s="732"/>
      <c r="AO38" s="732"/>
      <c r="AP38" s="732"/>
    </row>
    <row r="39" spans="1:140" ht="93.75" thickBot="1" x14ac:dyDescent="0.75">
      <c r="A39" s="753" t="s">
        <v>465</v>
      </c>
      <c r="B39" s="735">
        <f>'[3]int.bevételek RM II'!D39</f>
        <v>197479</v>
      </c>
      <c r="C39" s="735">
        <v>47788</v>
      </c>
      <c r="D39" s="735">
        <f>SUM(B39:C39)</f>
        <v>245267</v>
      </c>
      <c r="E39" s="735">
        <f>'[3]int.bevételek RM II'!G39</f>
        <v>0</v>
      </c>
      <c r="F39" s="735">
        <v>5393</v>
      </c>
      <c r="G39" s="735">
        <f>SUM(E39:F39)</f>
        <v>5393</v>
      </c>
      <c r="H39" s="735">
        <f>'[3]int.bevételek RM II'!J39</f>
        <v>0</v>
      </c>
      <c r="I39" s="735">
        <v>580</v>
      </c>
      <c r="J39" s="735">
        <f>SUM(H39:I39)</f>
        <v>580</v>
      </c>
      <c r="K39" s="739">
        <f>'[3]int.bevételek RM II'!M39</f>
        <v>0</v>
      </c>
      <c r="L39" s="739"/>
      <c r="M39" s="739">
        <f>SUM(K39:L39)</f>
        <v>0</v>
      </c>
      <c r="N39" s="736">
        <f>B39+E39+H39+K39</f>
        <v>197479</v>
      </c>
      <c r="O39" s="736">
        <f>C39+F39+I39+L39</f>
        <v>53761</v>
      </c>
      <c r="P39" s="736">
        <f>D39+G39+J39+M39</f>
        <v>251240</v>
      </c>
      <c r="Q39" s="753" t="s">
        <v>465</v>
      </c>
      <c r="R39" s="735">
        <f>'[3]int.bevételek RM II'!T39</f>
        <v>0</v>
      </c>
      <c r="S39" s="735"/>
      <c r="T39" s="735">
        <f>SUM(R39:S39)</f>
        <v>0</v>
      </c>
      <c r="U39" s="735">
        <f>'[3]int.bevételek RM II'!W39</f>
        <v>0</v>
      </c>
      <c r="V39" s="735"/>
      <c r="W39" s="735">
        <f>SUM(U39:V39)</f>
        <v>0</v>
      </c>
      <c r="X39" s="735">
        <f>'[3]int.bevételek RM II'!Z39</f>
        <v>0</v>
      </c>
      <c r="Y39" s="735"/>
      <c r="Z39" s="735">
        <f>SUM(X39:Y39)</f>
        <v>0</v>
      </c>
      <c r="AA39" s="736">
        <f>R39+U39+X39</f>
        <v>0</v>
      </c>
      <c r="AB39" s="736">
        <f>S39+V39+Y39</f>
        <v>0</v>
      </c>
      <c r="AC39" s="736">
        <f>T39+W39+Z39</f>
        <v>0</v>
      </c>
      <c r="AD39" s="748">
        <f>N39+AA39</f>
        <v>197479</v>
      </c>
      <c r="AE39" s="748">
        <f>O39+AB39</f>
        <v>53761</v>
      </c>
      <c r="AF39" s="748">
        <f>P39+AC39</f>
        <v>251240</v>
      </c>
      <c r="AG39" s="753" t="s">
        <v>465</v>
      </c>
      <c r="AH39" s="760">
        <f>'[3]int.bevételek RM II'!AJ39</f>
        <v>1947</v>
      </c>
      <c r="AI39" s="760"/>
      <c r="AJ39" s="760">
        <f>SUM(AH39:AI39)</f>
        <v>1947</v>
      </c>
      <c r="AK39" s="736">
        <f>'[3]int.bevételek RM II'!AM39</f>
        <v>1667378</v>
      </c>
      <c r="AL39" s="736">
        <v>76874</v>
      </c>
      <c r="AM39" s="736">
        <f>SUM(AK39:AL39)</f>
        <v>1744252</v>
      </c>
      <c r="AN39" s="736">
        <f>N39+AA39+AH39+AK39</f>
        <v>1866804</v>
      </c>
      <c r="AO39" s="736">
        <f>O39+AB39+AI39+AL39</f>
        <v>130635</v>
      </c>
      <c r="AP39" s="736">
        <f>P39+AC39+AJ39+AM39</f>
        <v>1997439</v>
      </c>
    </row>
    <row r="40" spans="1:140" ht="61.5" customHeight="1" x14ac:dyDescent="0.7">
      <c r="A40" s="759" t="s">
        <v>749</v>
      </c>
      <c r="B40" s="732"/>
      <c r="C40" s="732"/>
      <c r="D40" s="761"/>
      <c r="E40" s="732"/>
      <c r="F40" s="762"/>
      <c r="G40" s="732"/>
      <c r="H40" s="732"/>
      <c r="I40" s="732"/>
      <c r="J40" s="732"/>
      <c r="K40" s="732"/>
      <c r="L40" s="732"/>
      <c r="M40" s="732"/>
      <c r="N40" s="732"/>
      <c r="O40" s="732"/>
      <c r="P40" s="732"/>
      <c r="Q40" s="759" t="s">
        <v>749</v>
      </c>
      <c r="R40" s="732"/>
      <c r="S40" s="732"/>
      <c r="T40" s="732"/>
      <c r="U40" s="732"/>
      <c r="V40" s="732"/>
      <c r="W40" s="732"/>
      <c r="X40" s="732"/>
      <c r="Y40" s="732"/>
      <c r="Z40" s="732"/>
      <c r="AA40" s="732"/>
      <c r="AB40" s="732"/>
      <c r="AC40" s="732"/>
      <c r="AD40" s="732"/>
      <c r="AE40" s="732"/>
      <c r="AF40" s="732"/>
      <c r="AG40" s="759" t="s">
        <v>749</v>
      </c>
      <c r="AH40" s="732"/>
      <c r="AI40" s="732"/>
      <c r="AJ40" s="732"/>
      <c r="AK40" s="732"/>
      <c r="AL40" s="732"/>
      <c r="AM40" s="732"/>
      <c r="AN40" s="732"/>
      <c r="AO40" s="732"/>
      <c r="AP40" s="732"/>
    </row>
    <row r="41" spans="1:140" ht="48.75" customHeight="1" thickBot="1" x14ac:dyDescent="0.75">
      <c r="A41" s="763" t="s">
        <v>750</v>
      </c>
      <c r="B41" s="760">
        <f>'[3]int.bevételek RM II'!D41</f>
        <v>39495</v>
      </c>
      <c r="C41" s="760"/>
      <c r="D41" s="764">
        <f>SUM(B41:C41)</f>
        <v>39495</v>
      </c>
      <c r="E41" s="760">
        <f>'[3]int.bevételek RM II'!G41</f>
        <v>449270</v>
      </c>
      <c r="F41" s="765">
        <v>14565</v>
      </c>
      <c r="G41" s="760">
        <f>SUM(E41:F41)</f>
        <v>463835</v>
      </c>
      <c r="H41" s="760">
        <f>'[3]int.bevételek RM II'!J41</f>
        <v>0</v>
      </c>
      <c r="I41" s="760"/>
      <c r="J41" s="760">
        <f>SUM(H41:I41)</f>
        <v>0</v>
      </c>
      <c r="K41" s="760">
        <f>'[3]int.bevételek RM II'!M41</f>
        <v>0</v>
      </c>
      <c r="L41" s="760"/>
      <c r="M41" s="760">
        <f>SUM(K41:L41)</f>
        <v>0</v>
      </c>
      <c r="N41" s="754">
        <f>B41+E41+H41+K41</f>
        <v>488765</v>
      </c>
      <c r="O41" s="754">
        <f>C41+F41+I41+L41</f>
        <v>14565</v>
      </c>
      <c r="P41" s="754">
        <f>D41+G41+J41+M41</f>
        <v>503330</v>
      </c>
      <c r="Q41" s="766" t="s">
        <v>750</v>
      </c>
      <c r="R41" s="760">
        <f>'[3]int.bevételek RM II'!T41</f>
        <v>0</v>
      </c>
      <c r="S41" s="760"/>
      <c r="T41" s="760">
        <f>SUM(R41:S41)</f>
        <v>0</v>
      </c>
      <c r="U41" s="760">
        <f>'[3]int.bevételek RM II'!W41</f>
        <v>0</v>
      </c>
      <c r="V41" s="760"/>
      <c r="W41" s="760">
        <f>SUM(U41:V41)</f>
        <v>0</v>
      </c>
      <c r="X41" s="760">
        <f>'[3]int.bevételek RM II'!Z41</f>
        <v>0</v>
      </c>
      <c r="Y41" s="760"/>
      <c r="Z41" s="760"/>
      <c r="AA41" s="754">
        <f>R41+U41+X41</f>
        <v>0</v>
      </c>
      <c r="AB41" s="754">
        <f>S41+V41+Y41</f>
        <v>0</v>
      </c>
      <c r="AC41" s="754">
        <f>T41+W41+Z41</f>
        <v>0</v>
      </c>
      <c r="AD41" s="754">
        <f>N41+AA41</f>
        <v>488765</v>
      </c>
      <c r="AE41" s="754">
        <f>O41+AB41</f>
        <v>14565</v>
      </c>
      <c r="AF41" s="754">
        <f>P41+AC41</f>
        <v>503330</v>
      </c>
      <c r="AG41" s="766" t="s">
        <v>750</v>
      </c>
      <c r="AH41" s="760">
        <f>'[3]int.bevételek RM II'!AJ41</f>
        <v>215298</v>
      </c>
      <c r="AI41" s="760"/>
      <c r="AJ41" s="760">
        <f>SUM(AH41:AI41)</f>
        <v>215298</v>
      </c>
      <c r="AK41" s="754">
        <f>'[3]int.bevételek RM II'!AM41</f>
        <v>339672</v>
      </c>
      <c r="AL41" s="754"/>
      <c r="AM41" s="754">
        <f>SUM(AK41:AL41)</f>
        <v>339672</v>
      </c>
      <c r="AN41" s="754">
        <f>N41+AA41+AH41+AK41</f>
        <v>1043735</v>
      </c>
      <c r="AO41" s="754">
        <f>O41+AB41+AI41+AL41</f>
        <v>14565</v>
      </c>
      <c r="AP41" s="754">
        <f>P41+AC41+AJ41+AM41</f>
        <v>1058300</v>
      </c>
    </row>
    <row r="42" spans="1:140" ht="48" customHeight="1" x14ac:dyDescent="0.7">
      <c r="A42" s="759" t="s">
        <v>751</v>
      </c>
      <c r="B42" s="748"/>
      <c r="C42" s="748"/>
      <c r="D42" s="767"/>
      <c r="E42" s="748"/>
      <c r="F42" s="751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52" t="s">
        <v>751</v>
      </c>
      <c r="R42" s="748"/>
      <c r="S42" s="748"/>
      <c r="T42" s="748"/>
      <c r="U42" s="748"/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52" t="s">
        <v>751</v>
      </c>
      <c r="AH42" s="748"/>
      <c r="AI42" s="748"/>
      <c r="AJ42" s="748"/>
      <c r="AK42" s="748"/>
      <c r="AL42" s="748"/>
      <c r="AM42" s="748"/>
      <c r="AN42" s="748"/>
      <c r="AO42" s="748"/>
      <c r="AP42" s="748"/>
    </row>
    <row r="43" spans="1:140" ht="48.75" customHeight="1" thickBot="1" x14ac:dyDescent="0.75">
      <c r="A43" s="768" t="s">
        <v>510</v>
      </c>
      <c r="B43" s="735">
        <f>'[3]int.bevételek RM II'!D43</f>
        <v>97148</v>
      </c>
      <c r="C43" s="739"/>
      <c r="D43" s="739">
        <f>SUM(B43:C43)</f>
        <v>97148</v>
      </c>
      <c r="E43" s="735">
        <f>'[3]int.bevételek RM II'!G43</f>
        <v>13519</v>
      </c>
      <c r="F43" s="739">
        <v>7633</v>
      </c>
      <c r="G43" s="739">
        <f>SUM(E43:F43)</f>
        <v>21152</v>
      </c>
      <c r="H43" s="739">
        <f>'[3]int.bevételek RM II'!J43</f>
        <v>0</v>
      </c>
      <c r="I43" s="739"/>
      <c r="J43" s="735">
        <f>SUM(H43:I43)</f>
        <v>0</v>
      </c>
      <c r="K43" s="769">
        <f>'[3]int.bevételek RM II'!M43</f>
        <v>0</v>
      </c>
      <c r="L43" s="735"/>
      <c r="M43" s="735">
        <f>SUM(K43:L43)</f>
        <v>0</v>
      </c>
      <c r="N43" s="736">
        <f>B43+E43+H43+K43</f>
        <v>110667</v>
      </c>
      <c r="O43" s="736">
        <f>C43+F43+I43+L43</f>
        <v>7633</v>
      </c>
      <c r="P43" s="736">
        <f>D43+G43+J43+M43</f>
        <v>118300</v>
      </c>
      <c r="Q43" s="768" t="s">
        <v>510</v>
      </c>
      <c r="R43" s="739">
        <f>'[3]int.bevételek RM II'!T43</f>
        <v>0</v>
      </c>
      <c r="S43" s="739"/>
      <c r="T43" s="739">
        <f>SUM(R43:S43)</f>
        <v>0</v>
      </c>
      <c r="U43" s="739">
        <f>'[3]int.bevételek RM II'!W43</f>
        <v>0</v>
      </c>
      <c r="V43" s="739"/>
      <c r="W43" s="739">
        <f>SUM(U43:V43)</f>
        <v>0</v>
      </c>
      <c r="X43" s="739">
        <f>'[3]int.bevételek RM II'!Z43</f>
        <v>0</v>
      </c>
      <c r="Y43" s="739"/>
      <c r="Z43" s="760">
        <f>SUM(X43:Y43)</f>
        <v>0</v>
      </c>
      <c r="AA43" s="736">
        <f>R43+U43+X43</f>
        <v>0</v>
      </c>
      <c r="AB43" s="736">
        <f>S43+V43+Y43</f>
        <v>0</v>
      </c>
      <c r="AC43" s="736">
        <f>T43+W43+Z43</f>
        <v>0</v>
      </c>
      <c r="AD43" s="736">
        <f>N43+AA43</f>
        <v>110667</v>
      </c>
      <c r="AE43" s="736">
        <f>O43+AB43</f>
        <v>7633</v>
      </c>
      <c r="AF43" s="736">
        <f>P43+AC43</f>
        <v>118300</v>
      </c>
      <c r="AG43" s="768" t="s">
        <v>510</v>
      </c>
      <c r="AH43" s="739">
        <f>'[3]int.bevételek RM II'!AJ43</f>
        <v>3170</v>
      </c>
      <c r="AI43" s="739"/>
      <c r="AJ43" s="739">
        <f>SUM(AH43:AI43)</f>
        <v>3170</v>
      </c>
      <c r="AK43" s="736">
        <f>'[3]int.bevételek RM II'!AM43</f>
        <v>1916971</v>
      </c>
      <c r="AL43" s="736">
        <v>14882</v>
      </c>
      <c r="AM43" s="736">
        <f>SUM(AK43:AL43)</f>
        <v>1931853</v>
      </c>
      <c r="AN43" s="736">
        <f>N43+AA43+AH43+AK43</f>
        <v>2030808</v>
      </c>
      <c r="AO43" s="736">
        <f>O43+AB43+AI43+AL43</f>
        <v>22515</v>
      </c>
      <c r="AP43" s="736">
        <f>P43+AC43+AJ43+AM43</f>
        <v>2053323</v>
      </c>
    </row>
    <row r="44" spans="1:140" ht="48.75" customHeight="1" x14ac:dyDescent="0.7">
      <c r="A44" s="759" t="s">
        <v>752</v>
      </c>
      <c r="B44" s="732"/>
      <c r="C44" s="732"/>
      <c r="D44" s="732"/>
      <c r="E44" s="732"/>
      <c r="F44" s="732"/>
      <c r="G44" s="732"/>
      <c r="H44" s="732"/>
      <c r="I44" s="732"/>
      <c r="J44" s="732"/>
      <c r="K44" s="732"/>
      <c r="L44" s="732"/>
      <c r="M44" s="732"/>
      <c r="N44" s="732"/>
      <c r="O44" s="732"/>
      <c r="P44" s="732"/>
      <c r="Q44" s="759" t="s">
        <v>752</v>
      </c>
      <c r="R44" s="732"/>
      <c r="S44" s="732"/>
      <c r="T44" s="732"/>
      <c r="U44" s="732"/>
      <c r="V44" s="732"/>
      <c r="W44" s="732"/>
      <c r="X44" s="732"/>
      <c r="Y44" s="732"/>
      <c r="Z44" s="748"/>
      <c r="AA44" s="732"/>
      <c r="AB44" s="732"/>
      <c r="AC44" s="732"/>
      <c r="AD44" s="732"/>
      <c r="AE44" s="732"/>
      <c r="AF44" s="732"/>
      <c r="AG44" s="759" t="s">
        <v>752</v>
      </c>
      <c r="AH44" s="732"/>
      <c r="AI44" s="732"/>
      <c r="AJ44" s="732"/>
      <c r="AK44" s="732"/>
      <c r="AL44" s="732"/>
      <c r="AM44" s="732"/>
      <c r="AN44" s="732"/>
      <c r="AO44" s="732"/>
      <c r="AP44" s="732"/>
    </row>
    <row r="45" spans="1:140" ht="48.75" customHeight="1" x14ac:dyDescent="0.7">
      <c r="A45" s="734" t="s">
        <v>467</v>
      </c>
      <c r="B45" s="735">
        <f>'[3]int.bevételek RM II'!D45</f>
        <v>188823</v>
      </c>
      <c r="C45" s="735"/>
      <c r="D45" s="735">
        <f>SUM(B45:C45)</f>
        <v>188823</v>
      </c>
      <c r="E45" s="735">
        <f>'[3]int.bevételek RM II'!G45</f>
        <v>0</v>
      </c>
      <c r="F45" s="735"/>
      <c r="G45" s="735">
        <f>SUM(E45:F45)</f>
        <v>0</v>
      </c>
      <c r="H45" s="735">
        <f>'[3]int.bevételek RM II'!J45</f>
        <v>0</v>
      </c>
      <c r="I45" s="735"/>
      <c r="J45" s="735">
        <f>SUM(H45:I45)</f>
        <v>0</v>
      </c>
      <c r="K45" s="735">
        <f>'[3]int.bevételek RM II'!M45</f>
        <v>0</v>
      </c>
      <c r="L45" s="735"/>
      <c r="M45" s="735">
        <f>SUM(K45:L45)</f>
        <v>0</v>
      </c>
      <c r="N45" s="736">
        <f t="shared" ref="N45:P46" si="25">B45+E45+H45+K45</f>
        <v>188823</v>
      </c>
      <c r="O45" s="736">
        <f t="shared" si="25"/>
        <v>0</v>
      </c>
      <c r="P45" s="736">
        <f t="shared" si="25"/>
        <v>188823</v>
      </c>
      <c r="Q45" s="734" t="s">
        <v>467</v>
      </c>
      <c r="R45" s="735">
        <f>'[3]int.bevételek RM II'!T45</f>
        <v>0</v>
      </c>
      <c r="S45" s="735"/>
      <c r="T45" s="735">
        <f>SUM(R45:S45)</f>
        <v>0</v>
      </c>
      <c r="U45" s="735">
        <f>'[3]int.bevételek RM II'!W45</f>
        <v>0</v>
      </c>
      <c r="V45" s="735"/>
      <c r="W45" s="735">
        <f>SUM(U45:V45)</f>
        <v>0</v>
      </c>
      <c r="X45" s="735">
        <f>'[3]int.bevételek RM II'!Z45</f>
        <v>0</v>
      </c>
      <c r="Y45" s="735"/>
      <c r="Z45" s="739">
        <f>SUM(X45:Y45)</f>
        <v>0</v>
      </c>
      <c r="AA45" s="736">
        <f t="shared" ref="AA45:AC46" si="26">R45+U45+X45</f>
        <v>0</v>
      </c>
      <c r="AB45" s="736">
        <f t="shared" si="26"/>
        <v>0</v>
      </c>
      <c r="AC45" s="736">
        <f t="shared" si="26"/>
        <v>0</v>
      </c>
      <c r="AD45" s="736">
        <f t="shared" ref="AD45:AF47" si="27">N45+AA45</f>
        <v>188823</v>
      </c>
      <c r="AE45" s="736">
        <f t="shared" si="27"/>
        <v>0</v>
      </c>
      <c r="AF45" s="736">
        <f t="shared" si="27"/>
        <v>188823</v>
      </c>
      <c r="AG45" s="734" t="s">
        <v>467</v>
      </c>
      <c r="AH45" s="735">
        <f>'[3]int.bevételek RM II'!AJ45</f>
        <v>24519</v>
      </c>
      <c r="AI45" s="735"/>
      <c r="AJ45" s="735">
        <f>SUM(AH45:AI45)</f>
        <v>24519</v>
      </c>
      <c r="AK45" s="736">
        <f>'[3]int.bevételek RM II'!AM45</f>
        <v>23123</v>
      </c>
      <c r="AL45" s="736"/>
      <c r="AM45" s="736">
        <f>SUM(AK45:AL45)</f>
        <v>23123</v>
      </c>
      <c r="AN45" s="736">
        <f t="shared" ref="AN45:AP46" si="28">N45+AA45+AH45+AK45</f>
        <v>236465</v>
      </c>
      <c r="AO45" s="736">
        <f t="shared" si="28"/>
        <v>0</v>
      </c>
      <c r="AP45" s="736">
        <f t="shared" si="28"/>
        <v>236465</v>
      </c>
      <c r="AQ45" s="927"/>
    </row>
    <row r="46" spans="1:140" s="774" customFormat="1" ht="49.5" customHeight="1" thickBot="1" x14ac:dyDescent="0.75">
      <c r="A46" s="770" t="s">
        <v>4</v>
      </c>
      <c r="B46" s="771">
        <f>'[3]int.bevételek RM II'!D46</f>
        <v>17150</v>
      </c>
      <c r="C46" s="771">
        <v>2459</v>
      </c>
      <c r="D46" s="771">
        <f>SUM(B46:C46)</f>
        <v>19609</v>
      </c>
      <c r="E46" s="771">
        <f>'[3]int.bevételek RM II'!G46</f>
        <v>810</v>
      </c>
      <c r="F46" s="771">
        <v>3179</v>
      </c>
      <c r="G46" s="772">
        <f>SUM(E46:F46)</f>
        <v>3989</v>
      </c>
      <c r="H46" s="771">
        <f>'[3]int.bevételek RM II'!J46</f>
        <v>0</v>
      </c>
      <c r="I46" s="772"/>
      <c r="J46" s="771">
        <f>SUM(H46:I46)</f>
        <v>0</v>
      </c>
      <c r="K46" s="772">
        <f>'[3]int.bevételek RM II'!M46</f>
        <v>1850</v>
      </c>
      <c r="L46" s="771"/>
      <c r="M46" s="772">
        <f>SUM(K46:L46)</f>
        <v>1850</v>
      </c>
      <c r="N46" s="740">
        <f t="shared" si="25"/>
        <v>19810</v>
      </c>
      <c r="O46" s="773">
        <f t="shared" si="25"/>
        <v>5638</v>
      </c>
      <c r="P46" s="740">
        <f t="shared" si="25"/>
        <v>25448</v>
      </c>
      <c r="Q46" s="770" t="s">
        <v>4</v>
      </c>
      <c r="R46" s="771">
        <f>'[3]int.bevételek RM II'!T46</f>
        <v>0</v>
      </c>
      <c r="S46" s="772">
        <v>380</v>
      </c>
      <c r="T46" s="771">
        <f>SUM(R46:S46)</f>
        <v>380</v>
      </c>
      <c r="U46" s="772">
        <f>'[3]int.bevételek RM II'!W46</f>
        <v>0</v>
      </c>
      <c r="V46" s="771"/>
      <c r="W46" s="772">
        <f>SUM(U46:V46)</f>
        <v>0</v>
      </c>
      <c r="X46" s="771">
        <f>'[3]int.bevételek RM II'!Z46</f>
        <v>0</v>
      </c>
      <c r="Y46" s="772"/>
      <c r="Z46" s="771">
        <f>SUM(X46:Y46)</f>
        <v>0</v>
      </c>
      <c r="AA46" s="773">
        <f t="shared" si="26"/>
        <v>0</v>
      </c>
      <c r="AB46" s="754">
        <f t="shared" si="26"/>
        <v>380</v>
      </c>
      <c r="AC46" s="740">
        <f t="shared" si="26"/>
        <v>380</v>
      </c>
      <c r="AD46" s="740">
        <f>N46+AA46</f>
        <v>19810</v>
      </c>
      <c r="AE46" s="740">
        <f>O46+AB46</f>
        <v>6018</v>
      </c>
      <c r="AF46" s="740">
        <f>P46+AC46</f>
        <v>25828</v>
      </c>
      <c r="AG46" s="770" t="s">
        <v>4</v>
      </c>
      <c r="AH46" s="772">
        <f>'[3]int.bevételek RM II'!AJ46</f>
        <v>11268</v>
      </c>
      <c r="AI46" s="771"/>
      <c r="AJ46" s="760">
        <f>SUM(AH46:AI46)</f>
        <v>11268</v>
      </c>
      <c r="AK46" s="773">
        <f>'[3]int.bevételek RM II'!AM46</f>
        <v>3412374</v>
      </c>
      <c r="AL46" s="740"/>
      <c r="AM46" s="773">
        <f>SUM(AK46:AL46)</f>
        <v>3412374</v>
      </c>
      <c r="AN46" s="740">
        <f t="shared" si="28"/>
        <v>3443452</v>
      </c>
      <c r="AO46" s="773">
        <f t="shared" si="28"/>
        <v>6018</v>
      </c>
      <c r="AP46" s="740">
        <f t="shared" si="28"/>
        <v>3449470</v>
      </c>
      <c r="AQ46" s="928"/>
      <c r="AR46" s="719"/>
      <c r="AS46" s="719"/>
      <c r="AT46" s="719"/>
      <c r="AU46" s="719"/>
      <c r="AV46" s="719"/>
      <c r="AW46" s="719"/>
      <c r="AX46" s="719"/>
      <c r="AY46" s="719"/>
      <c r="AZ46" s="719"/>
      <c r="BA46" s="719"/>
      <c r="BB46" s="719"/>
      <c r="BC46" s="719"/>
      <c r="BD46" s="719"/>
      <c r="BE46" s="719"/>
      <c r="BF46" s="719"/>
      <c r="BG46" s="719"/>
      <c r="BH46" s="719"/>
      <c r="BI46" s="719"/>
      <c r="BJ46" s="719"/>
      <c r="BK46" s="719"/>
      <c r="BL46" s="719"/>
      <c r="BM46" s="719"/>
      <c r="BN46" s="719"/>
      <c r="BO46" s="719"/>
      <c r="BP46" s="719"/>
      <c r="BQ46" s="719"/>
      <c r="BR46" s="719"/>
      <c r="BS46" s="719"/>
      <c r="BT46" s="719"/>
      <c r="BU46" s="719"/>
      <c r="BV46" s="719"/>
      <c r="BW46" s="719"/>
      <c r="BX46" s="719"/>
      <c r="BY46" s="719"/>
      <c r="BZ46" s="719"/>
      <c r="CA46" s="719"/>
      <c r="CB46" s="719"/>
      <c r="CC46" s="719"/>
      <c r="CD46" s="719"/>
      <c r="CE46" s="719"/>
      <c r="CF46" s="719"/>
      <c r="CG46" s="719"/>
      <c r="CH46" s="719"/>
      <c r="CI46" s="719"/>
      <c r="CJ46" s="719"/>
      <c r="CK46" s="719"/>
      <c r="CL46" s="719"/>
      <c r="CM46" s="719"/>
      <c r="CN46" s="719"/>
      <c r="CO46" s="719"/>
      <c r="CP46" s="719"/>
      <c r="CQ46" s="719"/>
      <c r="CR46" s="719"/>
      <c r="CS46" s="719"/>
      <c r="CT46" s="719"/>
      <c r="CU46" s="719"/>
      <c r="CV46" s="719"/>
      <c r="CW46" s="719"/>
      <c r="CX46" s="719"/>
      <c r="CY46" s="719"/>
      <c r="CZ46" s="719"/>
      <c r="DA46" s="719"/>
      <c r="DB46" s="719"/>
      <c r="DC46" s="719"/>
      <c r="DD46" s="719"/>
      <c r="DE46" s="719"/>
      <c r="DF46" s="719"/>
      <c r="DG46" s="719"/>
      <c r="DH46" s="719"/>
      <c r="DI46" s="719"/>
      <c r="DJ46" s="719"/>
      <c r="DK46" s="719"/>
      <c r="DL46" s="719"/>
      <c r="DM46" s="719"/>
      <c r="DN46" s="719"/>
      <c r="DO46" s="719"/>
      <c r="DP46" s="719"/>
      <c r="DQ46" s="719"/>
      <c r="DR46" s="719"/>
      <c r="DS46" s="719"/>
      <c r="DT46" s="719"/>
      <c r="DU46" s="719"/>
      <c r="DV46" s="719"/>
      <c r="DW46" s="719"/>
      <c r="DX46" s="719"/>
      <c r="DY46" s="719"/>
      <c r="DZ46" s="719"/>
      <c r="EA46" s="719"/>
      <c r="EB46" s="719"/>
      <c r="EC46" s="719"/>
      <c r="ED46" s="719"/>
      <c r="EE46" s="719"/>
      <c r="EF46" s="719"/>
      <c r="EG46" s="719"/>
      <c r="EH46" s="719"/>
      <c r="EI46" s="719"/>
      <c r="EJ46" s="719"/>
    </row>
    <row r="47" spans="1:140" ht="61.5" customHeight="1" thickBot="1" x14ac:dyDescent="0.75">
      <c r="A47" s="775" t="s">
        <v>753</v>
      </c>
      <c r="B47" s="748">
        <f t="shared" ref="B47:P47" si="29">SUM(B45:B46)</f>
        <v>205973</v>
      </c>
      <c r="C47" s="748">
        <f t="shared" si="29"/>
        <v>2459</v>
      </c>
      <c r="D47" s="748">
        <f t="shared" si="29"/>
        <v>208432</v>
      </c>
      <c r="E47" s="748">
        <f t="shared" si="29"/>
        <v>810</v>
      </c>
      <c r="F47" s="748">
        <f t="shared" si="29"/>
        <v>3179</v>
      </c>
      <c r="G47" s="748">
        <f t="shared" si="29"/>
        <v>3989</v>
      </c>
      <c r="H47" s="748">
        <f t="shared" si="29"/>
        <v>0</v>
      </c>
      <c r="I47" s="748">
        <f t="shared" si="29"/>
        <v>0</v>
      </c>
      <c r="J47" s="748">
        <f t="shared" si="29"/>
        <v>0</v>
      </c>
      <c r="K47" s="748">
        <f t="shared" si="29"/>
        <v>1850</v>
      </c>
      <c r="L47" s="748">
        <f t="shared" si="29"/>
        <v>0</v>
      </c>
      <c r="M47" s="748">
        <f t="shared" si="29"/>
        <v>1850</v>
      </c>
      <c r="N47" s="748">
        <f t="shared" si="29"/>
        <v>208633</v>
      </c>
      <c r="O47" s="748">
        <f t="shared" si="29"/>
        <v>5638</v>
      </c>
      <c r="P47" s="748">
        <f t="shared" si="29"/>
        <v>214271</v>
      </c>
      <c r="Q47" s="775" t="s">
        <v>753</v>
      </c>
      <c r="R47" s="748">
        <f t="shared" ref="R47:AC47" si="30">SUM(R45:R46)</f>
        <v>0</v>
      </c>
      <c r="S47" s="748">
        <f t="shared" si="30"/>
        <v>380</v>
      </c>
      <c r="T47" s="748">
        <f t="shared" si="30"/>
        <v>380</v>
      </c>
      <c r="U47" s="748">
        <f t="shared" si="30"/>
        <v>0</v>
      </c>
      <c r="V47" s="748">
        <f t="shared" si="30"/>
        <v>0</v>
      </c>
      <c r="W47" s="748">
        <f t="shared" si="30"/>
        <v>0</v>
      </c>
      <c r="X47" s="748">
        <f t="shared" si="30"/>
        <v>0</v>
      </c>
      <c r="Y47" s="748">
        <f t="shared" si="30"/>
        <v>0</v>
      </c>
      <c r="Z47" s="748">
        <f t="shared" si="30"/>
        <v>0</v>
      </c>
      <c r="AA47" s="748">
        <f t="shared" si="30"/>
        <v>0</v>
      </c>
      <c r="AB47" s="748">
        <f t="shared" si="30"/>
        <v>380</v>
      </c>
      <c r="AC47" s="748">
        <f t="shared" si="30"/>
        <v>380</v>
      </c>
      <c r="AD47" s="748">
        <f t="shared" si="27"/>
        <v>208633</v>
      </c>
      <c r="AE47" s="748">
        <f t="shared" si="27"/>
        <v>6018</v>
      </c>
      <c r="AF47" s="748">
        <f t="shared" si="27"/>
        <v>214651</v>
      </c>
      <c r="AG47" s="775" t="s">
        <v>753</v>
      </c>
      <c r="AH47" s="748">
        <f t="shared" ref="AH47:AP47" si="31">SUM(AH45:AH46)</f>
        <v>35787</v>
      </c>
      <c r="AI47" s="748">
        <f t="shared" si="31"/>
        <v>0</v>
      </c>
      <c r="AJ47" s="748">
        <f t="shared" si="31"/>
        <v>35787</v>
      </c>
      <c r="AK47" s="748">
        <f t="shared" si="31"/>
        <v>3435497</v>
      </c>
      <c r="AL47" s="748">
        <f t="shared" si="31"/>
        <v>0</v>
      </c>
      <c r="AM47" s="748">
        <f t="shared" si="31"/>
        <v>3435497</v>
      </c>
      <c r="AN47" s="748">
        <f t="shared" si="31"/>
        <v>3679917</v>
      </c>
      <c r="AO47" s="748">
        <f t="shared" si="31"/>
        <v>6018</v>
      </c>
      <c r="AP47" s="748">
        <f t="shared" si="31"/>
        <v>3685935</v>
      </c>
    </row>
    <row r="48" spans="1:140" ht="61.5" customHeight="1" thickBot="1" x14ac:dyDescent="0.75">
      <c r="A48" s="776" t="s">
        <v>754</v>
      </c>
      <c r="B48" s="742">
        <f t="shared" ref="B48:P48" si="32">B37+B39+B41+B43+B47</f>
        <v>868888</v>
      </c>
      <c r="C48" s="742">
        <f t="shared" si="32"/>
        <v>50247</v>
      </c>
      <c r="D48" s="742">
        <f t="shared" si="32"/>
        <v>919135</v>
      </c>
      <c r="E48" s="742">
        <f t="shared" si="32"/>
        <v>477005</v>
      </c>
      <c r="F48" s="742">
        <f t="shared" si="32"/>
        <v>328606</v>
      </c>
      <c r="G48" s="742">
        <f t="shared" si="32"/>
        <v>805611</v>
      </c>
      <c r="H48" s="742">
        <f t="shared" si="32"/>
        <v>0</v>
      </c>
      <c r="I48" s="742">
        <f t="shared" si="32"/>
        <v>580</v>
      </c>
      <c r="J48" s="742">
        <f t="shared" si="32"/>
        <v>580</v>
      </c>
      <c r="K48" s="742">
        <f t="shared" si="32"/>
        <v>1850</v>
      </c>
      <c r="L48" s="742">
        <f t="shared" si="32"/>
        <v>0</v>
      </c>
      <c r="M48" s="742">
        <f t="shared" si="32"/>
        <v>1850</v>
      </c>
      <c r="N48" s="742">
        <f t="shared" si="32"/>
        <v>1347743</v>
      </c>
      <c r="O48" s="742">
        <f t="shared" si="32"/>
        <v>379433</v>
      </c>
      <c r="P48" s="742">
        <f t="shared" si="32"/>
        <v>1727176</v>
      </c>
      <c r="Q48" s="776" t="s">
        <v>754</v>
      </c>
      <c r="R48" s="742">
        <f t="shared" ref="R48:AF48" si="33">R37+R39+R41+R43+R47</f>
        <v>0</v>
      </c>
      <c r="S48" s="742">
        <f t="shared" si="33"/>
        <v>380</v>
      </c>
      <c r="T48" s="742">
        <f t="shared" si="33"/>
        <v>380</v>
      </c>
      <c r="U48" s="742">
        <f t="shared" si="33"/>
        <v>0</v>
      </c>
      <c r="V48" s="742">
        <f t="shared" si="33"/>
        <v>7200</v>
      </c>
      <c r="W48" s="742">
        <f t="shared" si="33"/>
        <v>7200</v>
      </c>
      <c r="X48" s="742">
        <f t="shared" si="33"/>
        <v>0</v>
      </c>
      <c r="Y48" s="742">
        <f t="shared" si="33"/>
        <v>0</v>
      </c>
      <c r="Z48" s="742">
        <f t="shared" si="33"/>
        <v>0</v>
      </c>
      <c r="AA48" s="742">
        <f t="shared" si="33"/>
        <v>0</v>
      </c>
      <c r="AB48" s="742">
        <f t="shared" si="33"/>
        <v>7580</v>
      </c>
      <c r="AC48" s="742">
        <f t="shared" si="33"/>
        <v>7580</v>
      </c>
      <c r="AD48" s="742">
        <f t="shared" si="33"/>
        <v>1347743</v>
      </c>
      <c r="AE48" s="742">
        <f t="shared" si="33"/>
        <v>387013</v>
      </c>
      <c r="AF48" s="742">
        <f t="shared" si="33"/>
        <v>1734756</v>
      </c>
      <c r="AG48" s="776" t="s">
        <v>754</v>
      </c>
      <c r="AH48" s="742">
        <f t="shared" ref="AH48:AP48" si="34">AH37+AH39+AH41+AH43+AH47</f>
        <v>637471</v>
      </c>
      <c r="AI48" s="742">
        <f t="shared" si="34"/>
        <v>0</v>
      </c>
      <c r="AJ48" s="742">
        <f t="shared" si="34"/>
        <v>637471</v>
      </c>
      <c r="AK48" s="742">
        <f t="shared" si="34"/>
        <v>9317353</v>
      </c>
      <c r="AL48" s="742">
        <f t="shared" si="34"/>
        <v>23951</v>
      </c>
      <c r="AM48" s="742">
        <f t="shared" si="34"/>
        <v>9341304</v>
      </c>
      <c r="AN48" s="742">
        <f t="shared" si="34"/>
        <v>11302567</v>
      </c>
      <c r="AO48" s="742">
        <f t="shared" si="34"/>
        <v>410964</v>
      </c>
      <c r="AP48" s="742">
        <f t="shared" si="34"/>
        <v>11713531</v>
      </c>
    </row>
    <row r="49" spans="1:42" ht="61.5" customHeight="1" thickBot="1" x14ac:dyDescent="0.75">
      <c r="A49" s="777" t="s">
        <v>755</v>
      </c>
      <c r="B49" s="754">
        <f t="shared" ref="B49:P49" si="35">B30+B48</f>
        <v>1549077</v>
      </c>
      <c r="C49" s="754">
        <f t="shared" si="35"/>
        <v>52243</v>
      </c>
      <c r="D49" s="754">
        <f t="shared" si="35"/>
        <v>1601320</v>
      </c>
      <c r="E49" s="754">
        <f t="shared" si="35"/>
        <v>478053</v>
      </c>
      <c r="F49" s="754">
        <f t="shared" si="35"/>
        <v>329850</v>
      </c>
      <c r="G49" s="754">
        <f t="shared" si="35"/>
        <v>807903</v>
      </c>
      <c r="H49" s="754">
        <f t="shared" si="35"/>
        <v>381</v>
      </c>
      <c r="I49" s="754">
        <f t="shared" si="35"/>
        <v>1724</v>
      </c>
      <c r="J49" s="754">
        <f t="shared" si="35"/>
        <v>2105</v>
      </c>
      <c r="K49" s="754">
        <f t="shared" si="35"/>
        <v>1850</v>
      </c>
      <c r="L49" s="754">
        <f t="shared" si="35"/>
        <v>0</v>
      </c>
      <c r="M49" s="754">
        <f t="shared" si="35"/>
        <v>1850</v>
      </c>
      <c r="N49" s="754">
        <f t="shared" si="35"/>
        <v>2029361</v>
      </c>
      <c r="O49" s="754">
        <f t="shared" si="35"/>
        <v>383817</v>
      </c>
      <c r="P49" s="754">
        <f t="shared" si="35"/>
        <v>2413178</v>
      </c>
      <c r="Q49" s="777" t="s">
        <v>755</v>
      </c>
      <c r="R49" s="778">
        <f t="shared" ref="R49:AF49" si="36">R30+R48</f>
        <v>35</v>
      </c>
      <c r="S49" s="754">
        <f t="shared" si="36"/>
        <v>380</v>
      </c>
      <c r="T49" s="778">
        <f t="shared" si="36"/>
        <v>415</v>
      </c>
      <c r="U49" s="754">
        <f t="shared" si="36"/>
        <v>0</v>
      </c>
      <c r="V49" s="778">
        <f t="shared" si="36"/>
        <v>7200</v>
      </c>
      <c r="W49" s="754">
        <f t="shared" si="36"/>
        <v>7200</v>
      </c>
      <c r="X49" s="778">
        <f t="shared" si="36"/>
        <v>0</v>
      </c>
      <c r="Y49" s="754">
        <f t="shared" si="36"/>
        <v>0</v>
      </c>
      <c r="Z49" s="778">
        <f t="shared" si="36"/>
        <v>0</v>
      </c>
      <c r="AA49" s="754">
        <f t="shared" si="36"/>
        <v>35</v>
      </c>
      <c r="AB49" s="778">
        <f t="shared" si="36"/>
        <v>7580</v>
      </c>
      <c r="AC49" s="754">
        <f t="shared" si="36"/>
        <v>7615</v>
      </c>
      <c r="AD49" s="754">
        <f t="shared" si="36"/>
        <v>2029396</v>
      </c>
      <c r="AE49" s="778">
        <f t="shared" si="36"/>
        <v>391397</v>
      </c>
      <c r="AF49" s="754">
        <f t="shared" si="36"/>
        <v>2420793</v>
      </c>
      <c r="AG49" s="777" t="s">
        <v>755</v>
      </c>
      <c r="AH49" s="754">
        <f t="shared" ref="AH49:AP49" si="37">AH30+AH48</f>
        <v>690176</v>
      </c>
      <c r="AI49" s="778">
        <f t="shared" si="37"/>
        <v>0</v>
      </c>
      <c r="AJ49" s="754">
        <f t="shared" si="37"/>
        <v>690176</v>
      </c>
      <c r="AK49" s="754">
        <f t="shared" si="37"/>
        <v>14837911</v>
      </c>
      <c r="AL49" s="778">
        <f t="shared" si="37"/>
        <v>47481</v>
      </c>
      <c r="AM49" s="754">
        <f t="shared" si="37"/>
        <v>14885392</v>
      </c>
      <c r="AN49" s="778">
        <f t="shared" si="37"/>
        <v>17557483</v>
      </c>
      <c r="AO49" s="754">
        <f t="shared" si="37"/>
        <v>438878</v>
      </c>
      <c r="AP49" s="754">
        <f t="shared" si="37"/>
        <v>17996361</v>
      </c>
    </row>
    <row r="50" spans="1:42" s="779" customFormat="1" ht="26.45" customHeight="1" x14ac:dyDescent="0.5">
      <c r="B50" s="780"/>
      <c r="C50" s="780"/>
      <c r="D50" s="781"/>
      <c r="E50" s="781"/>
      <c r="F50" s="780"/>
      <c r="G50" s="780"/>
      <c r="H50" s="780"/>
      <c r="I50" s="780"/>
      <c r="J50" s="780"/>
      <c r="K50" s="780"/>
      <c r="L50" s="780"/>
      <c r="M50" s="780"/>
      <c r="N50" s="780"/>
      <c r="O50" s="780"/>
      <c r="P50" s="780"/>
      <c r="R50" s="780"/>
      <c r="S50" s="780"/>
      <c r="T50" s="780"/>
      <c r="U50" s="780"/>
      <c r="V50" s="780"/>
      <c r="W50" s="780"/>
      <c r="X50" s="780"/>
      <c r="Y50" s="780"/>
      <c r="Z50" s="780"/>
      <c r="AA50" s="780"/>
      <c r="AB50" s="780"/>
      <c r="AC50" s="780"/>
      <c r="AD50" s="780"/>
      <c r="AE50" s="780"/>
      <c r="AF50" s="780"/>
      <c r="AM50" s="782"/>
      <c r="AN50" s="782"/>
      <c r="AO50" s="782"/>
      <c r="AP50" s="780"/>
    </row>
    <row r="51" spans="1:42" s="779" customFormat="1" ht="26.45" customHeight="1" x14ac:dyDescent="0.5">
      <c r="B51" s="780"/>
      <c r="C51" s="780"/>
      <c r="D51" s="780"/>
      <c r="E51" s="781"/>
      <c r="F51" s="780"/>
      <c r="G51" s="780"/>
      <c r="H51" s="780"/>
      <c r="I51" s="780"/>
      <c r="J51" s="780"/>
      <c r="K51" s="780"/>
      <c r="L51" s="780"/>
      <c r="M51" s="780"/>
      <c r="N51" s="780"/>
      <c r="O51" s="780"/>
      <c r="P51" s="780"/>
      <c r="R51" s="780"/>
      <c r="S51" s="780"/>
      <c r="T51" s="780"/>
      <c r="U51" s="780"/>
      <c r="V51" s="780"/>
      <c r="W51" s="780"/>
      <c r="X51" s="780"/>
      <c r="Y51" s="780"/>
      <c r="Z51" s="780"/>
      <c r="AA51" s="780"/>
      <c r="AB51" s="780"/>
      <c r="AC51" s="780"/>
      <c r="AD51" s="780"/>
      <c r="AE51" s="780"/>
      <c r="AF51" s="780"/>
      <c r="AM51" s="782"/>
      <c r="AN51" s="782"/>
      <c r="AO51" s="782"/>
      <c r="AP51" s="780"/>
    </row>
    <row r="52" spans="1:42" s="779" customFormat="1" ht="26.45" customHeight="1" x14ac:dyDescent="0.5">
      <c r="B52" s="780"/>
      <c r="C52" s="780"/>
      <c r="D52" s="780"/>
      <c r="E52" s="780"/>
      <c r="F52" s="780"/>
      <c r="G52" s="780"/>
      <c r="H52" s="780"/>
      <c r="I52" s="780"/>
      <c r="J52" s="780"/>
      <c r="K52" s="780"/>
      <c r="L52" s="780"/>
      <c r="M52" s="780"/>
      <c r="N52" s="780"/>
      <c r="O52" s="780"/>
      <c r="P52" s="780"/>
      <c r="R52" s="780"/>
      <c r="S52" s="780"/>
      <c r="T52" s="780"/>
      <c r="U52" s="780"/>
      <c r="V52" s="780"/>
      <c r="W52" s="780"/>
      <c r="X52" s="780"/>
      <c r="Y52" s="780"/>
      <c r="Z52" s="780"/>
      <c r="AA52" s="780"/>
      <c r="AB52" s="780"/>
      <c r="AC52" s="780"/>
      <c r="AD52" s="780"/>
      <c r="AE52" s="780"/>
      <c r="AF52" s="780"/>
      <c r="AM52" s="782"/>
      <c r="AN52" s="782"/>
      <c r="AO52" s="782"/>
      <c r="AP52" s="780"/>
    </row>
    <row r="53" spans="1:42" s="779" customFormat="1" ht="26.45" customHeight="1" x14ac:dyDescent="0.5">
      <c r="B53" s="780"/>
      <c r="C53" s="780"/>
      <c r="D53" s="780"/>
      <c r="E53" s="780"/>
      <c r="F53" s="780"/>
      <c r="G53" s="780"/>
      <c r="H53" s="780"/>
      <c r="I53" s="780"/>
      <c r="J53" s="780"/>
      <c r="K53" s="780"/>
      <c r="L53" s="780"/>
      <c r="M53" s="780"/>
      <c r="N53" s="780"/>
      <c r="O53" s="780"/>
      <c r="P53" s="780"/>
      <c r="R53" s="780"/>
      <c r="S53" s="780"/>
      <c r="T53" s="780"/>
      <c r="U53" s="780"/>
      <c r="V53" s="780"/>
      <c r="W53" s="780"/>
      <c r="X53" s="780"/>
      <c r="Y53" s="780"/>
      <c r="Z53" s="780"/>
      <c r="AA53" s="780"/>
      <c r="AB53" s="780"/>
      <c r="AC53" s="780"/>
      <c r="AD53" s="780"/>
      <c r="AE53" s="780"/>
      <c r="AF53" s="780"/>
      <c r="AM53" s="782"/>
      <c r="AN53" s="782"/>
      <c r="AO53" s="782"/>
      <c r="AP53" s="780"/>
    </row>
  </sheetData>
  <mergeCells count="27">
    <mergeCell ref="AN6:AP6"/>
    <mergeCell ref="B7:D7"/>
    <mergeCell ref="N7:P7"/>
    <mergeCell ref="R7:T7"/>
    <mergeCell ref="X7:Z7"/>
    <mergeCell ref="AA7:AC7"/>
    <mergeCell ref="AD7:AF7"/>
    <mergeCell ref="AK7:AM7"/>
    <mergeCell ref="AN7:AP7"/>
    <mergeCell ref="U6:W6"/>
    <mergeCell ref="X6:Z6"/>
    <mergeCell ref="AA6:AC6"/>
    <mergeCell ref="AD6:AF6"/>
    <mergeCell ref="AH6:AJ6"/>
    <mergeCell ref="AK6:AM6"/>
    <mergeCell ref="B6:D6"/>
    <mergeCell ref="E6:G6"/>
    <mergeCell ref="H6:J6"/>
    <mergeCell ref="K6:M6"/>
    <mergeCell ref="N6:P6"/>
    <mergeCell ref="R6:T6"/>
    <mergeCell ref="B3:P3"/>
    <mergeCell ref="R3:AF3"/>
    <mergeCell ref="AH3:AP3"/>
    <mergeCell ref="B4:P4"/>
    <mergeCell ref="R4:AF4"/>
    <mergeCell ref="AH4:AP4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&amp;L&amp;14
&amp;F &amp;A&amp;R&amp;"-,Félkövér"&amp;36
4. melléklet a  20/2025.(IX.30.) önkormányzati rendelethez
"4. melléklet a 4/2025.(II.28.) önkormányzati rendelethez"</oddHeader>
    <oddFooter xml:space="preserve">&amp;C &amp;R
&amp;36 &amp;10
</oddFooter>
  </headerFooter>
  <colBreaks count="2" manualBreakCount="2">
    <brk id="16" max="48" man="1"/>
    <brk id="32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7"/>
  <sheetViews>
    <sheetView zoomScale="80" zoomScaleNormal="80" zoomScaleSheetLayoutView="44" workbookViewId="0">
      <selection activeCell="N63" sqref="N63"/>
    </sheetView>
  </sheetViews>
  <sheetFormatPr defaultColWidth="10.33203125" defaultRowHeight="72" customHeight="1" x14ac:dyDescent="0.45"/>
  <cols>
    <col min="1" max="1" width="162.6640625" style="838" bestFit="1" customWidth="1"/>
    <col min="2" max="3" width="38.6640625" style="838" customWidth="1"/>
    <col min="4" max="4" width="37.33203125" style="838" customWidth="1"/>
    <col min="5" max="7" width="39.33203125" style="839" bestFit="1" customWidth="1"/>
    <col min="8" max="16384" width="10.33203125" style="837"/>
  </cols>
  <sheetData>
    <row r="1" spans="1:7" s="836" customFormat="1" ht="43.5" customHeight="1" x14ac:dyDescent="0.45">
      <c r="A1" s="1035" t="s">
        <v>787</v>
      </c>
      <c r="B1" s="1035"/>
      <c r="C1" s="1035"/>
      <c r="D1" s="1035"/>
      <c r="E1" s="1035"/>
      <c r="F1" s="1035"/>
      <c r="G1" s="1035"/>
    </row>
    <row r="2" spans="1:7" ht="33" customHeight="1" x14ac:dyDescent="0.45">
      <c r="A2" s="1036" t="s">
        <v>788</v>
      </c>
      <c r="B2" s="1036"/>
      <c r="C2" s="1036"/>
      <c r="D2" s="1036"/>
      <c r="E2" s="1036"/>
      <c r="F2" s="1036"/>
      <c r="G2" s="1036"/>
    </row>
    <row r="3" spans="1:7" ht="42" customHeight="1" thickBot="1" x14ac:dyDescent="0.5">
      <c r="G3" s="840" t="s">
        <v>203</v>
      </c>
    </row>
    <row r="4" spans="1:7" s="836" customFormat="1" ht="123.75" customHeight="1" x14ac:dyDescent="0.45">
      <c r="A4" s="841" t="s">
        <v>789</v>
      </c>
      <c r="B4" s="842" t="s">
        <v>790</v>
      </c>
      <c r="C4" s="843" t="s">
        <v>791</v>
      </c>
      <c r="D4" s="843" t="s">
        <v>792</v>
      </c>
      <c r="E4" s="843" t="s">
        <v>793</v>
      </c>
      <c r="F4" s="843" t="s">
        <v>718</v>
      </c>
      <c r="G4" s="844" t="s">
        <v>794</v>
      </c>
    </row>
    <row r="5" spans="1:7" ht="77.25" customHeight="1" x14ac:dyDescent="0.45">
      <c r="A5" s="845" t="s">
        <v>795</v>
      </c>
      <c r="B5" s="846"/>
      <c r="C5" s="846"/>
      <c r="D5" s="846"/>
      <c r="E5" s="846"/>
      <c r="F5" s="846"/>
      <c r="G5" s="847"/>
    </row>
    <row r="6" spans="1:7" ht="51" customHeight="1" x14ac:dyDescent="0.45">
      <c r="A6" s="848" t="s">
        <v>796</v>
      </c>
      <c r="B6" s="849">
        <v>1066402</v>
      </c>
      <c r="C6" s="849">
        <v>1066402</v>
      </c>
      <c r="D6" s="849">
        <v>1118971</v>
      </c>
      <c r="E6" s="849">
        <v>1118971</v>
      </c>
      <c r="F6" s="849"/>
      <c r="G6" s="850">
        <f>SUM(E6:F6)</f>
        <v>1118971</v>
      </c>
    </row>
    <row r="7" spans="1:7" ht="54.75" customHeight="1" x14ac:dyDescent="0.45">
      <c r="A7" s="851" t="s">
        <v>797</v>
      </c>
      <c r="B7" s="852">
        <v>83140</v>
      </c>
      <c r="C7" s="852">
        <v>83153</v>
      </c>
      <c r="D7" s="852">
        <v>83153</v>
      </c>
      <c r="E7" s="852">
        <v>83153</v>
      </c>
      <c r="F7" s="852"/>
      <c r="G7" s="853">
        <f t="shared" ref="G7:G13" si="0">SUM(E7:F7)</f>
        <v>83153</v>
      </c>
    </row>
    <row r="8" spans="1:7" ht="54.75" customHeight="1" x14ac:dyDescent="0.45">
      <c r="A8" s="851" t="s">
        <v>798</v>
      </c>
      <c r="B8" s="852">
        <v>218067</v>
      </c>
      <c r="C8" s="852">
        <v>218067</v>
      </c>
      <c r="D8" s="852">
        <v>218067</v>
      </c>
      <c r="E8" s="852">
        <v>218067</v>
      </c>
      <c r="F8" s="852"/>
      <c r="G8" s="853">
        <f t="shared" si="0"/>
        <v>218067</v>
      </c>
    </row>
    <row r="9" spans="1:7" ht="77.25" customHeight="1" x14ac:dyDescent="0.45">
      <c r="A9" s="851" t="s">
        <v>799</v>
      </c>
      <c r="B9" s="854">
        <v>30744</v>
      </c>
      <c r="C9" s="854">
        <v>100</v>
      </c>
      <c r="D9" s="854">
        <v>100</v>
      </c>
      <c r="E9" s="854">
        <v>100</v>
      </c>
      <c r="F9" s="854"/>
      <c r="G9" s="855">
        <f t="shared" si="0"/>
        <v>100</v>
      </c>
    </row>
    <row r="10" spans="1:7" ht="77.25" customHeight="1" x14ac:dyDescent="0.45">
      <c r="A10" s="851" t="s">
        <v>800</v>
      </c>
      <c r="B10" s="852">
        <v>130601</v>
      </c>
      <c r="C10" s="852">
        <v>131036</v>
      </c>
      <c r="D10" s="852">
        <v>131036</v>
      </c>
      <c r="E10" s="852">
        <v>131036</v>
      </c>
      <c r="F10" s="852"/>
      <c r="G10" s="853">
        <f t="shared" si="0"/>
        <v>131036</v>
      </c>
    </row>
    <row r="11" spans="1:7" ht="77.25" customHeight="1" x14ac:dyDescent="0.45">
      <c r="A11" s="851" t="s">
        <v>801</v>
      </c>
      <c r="B11" s="852">
        <v>208944</v>
      </c>
      <c r="C11" s="852">
        <v>207617</v>
      </c>
      <c r="D11" s="852">
        <v>207617</v>
      </c>
      <c r="E11" s="852">
        <v>207617</v>
      </c>
      <c r="F11" s="852"/>
      <c r="G11" s="853">
        <f t="shared" si="0"/>
        <v>207617</v>
      </c>
    </row>
    <row r="12" spans="1:7" ht="77.25" customHeight="1" x14ac:dyDescent="0.45">
      <c r="A12" s="851" t="s">
        <v>802</v>
      </c>
      <c r="B12" s="852">
        <v>186</v>
      </c>
      <c r="C12" s="852">
        <v>224</v>
      </c>
      <c r="D12" s="852">
        <v>224</v>
      </c>
      <c r="E12" s="852">
        <v>224</v>
      </c>
      <c r="F12" s="852"/>
      <c r="G12" s="853">
        <f t="shared" si="0"/>
        <v>224</v>
      </c>
    </row>
    <row r="13" spans="1:7" ht="77.25" customHeight="1" thickBot="1" x14ac:dyDescent="0.5">
      <c r="A13" s="856" t="s">
        <v>803</v>
      </c>
      <c r="B13" s="849"/>
      <c r="C13" s="852"/>
      <c r="D13" s="852">
        <v>0</v>
      </c>
      <c r="E13" s="852">
        <v>0</v>
      </c>
      <c r="F13" s="852">
        <v>225</v>
      </c>
      <c r="G13" s="853">
        <f t="shared" si="0"/>
        <v>225</v>
      </c>
    </row>
    <row r="14" spans="1:7" s="860" customFormat="1" ht="77.25" customHeight="1" thickTop="1" thickBot="1" x14ac:dyDescent="0.5">
      <c r="A14" s="857" t="s">
        <v>804</v>
      </c>
      <c r="B14" s="858">
        <f t="shared" ref="B14:D14" si="1">SUM(B5:B13)</f>
        <v>1738084</v>
      </c>
      <c r="C14" s="858">
        <f t="shared" si="1"/>
        <v>1706599</v>
      </c>
      <c r="D14" s="858">
        <f t="shared" si="1"/>
        <v>1759168</v>
      </c>
      <c r="E14" s="858">
        <f>SUM(E5:E13)</f>
        <v>1759168</v>
      </c>
      <c r="F14" s="858">
        <f>SUM(F5:F13)</f>
        <v>225</v>
      </c>
      <c r="G14" s="859">
        <f>SUM(G5:G13)</f>
        <v>1759393</v>
      </c>
    </row>
    <row r="15" spans="1:7" s="860" customFormat="1" ht="77.25" customHeight="1" thickTop="1" x14ac:dyDescent="0.45">
      <c r="A15" s="861" t="s">
        <v>805</v>
      </c>
      <c r="B15" s="862"/>
      <c r="C15" s="862"/>
      <c r="D15" s="862"/>
      <c r="E15" s="862"/>
      <c r="F15" s="862"/>
      <c r="G15" s="863"/>
    </row>
    <row r="16" spans="1:7" ht="77.25" customHeight="1" x14ac:dyDescent="0.45">
      <c r="A16" s="864" t="s">
        <v>806</v>
      </c>
      <c r="B16" s="865"/>
      <c r="C16" s="865"/>
      <c r="D16" s="865"/>
      <c r="E16" s="865"/>
      <c r="F16" s="865"/>
      <c r="G16" s="866"/>
    </row>
    <row r="17" spans="1:7" ht="77.25" customHeight="1" x14ac:dyDescent="0.45">
      <c r="A17" s="867" t="s">
        <v>807</v>
      </c>
      <c r="B17" s="849">
        <v>374620</v>
      </c>
      <c r="C17" s="849">
        <v>373655</v>
      </c>
      <c r="D17" s="849">
        <v>373655</v>
      </c>
      <c r="E17" s="849">
        <v>373655</v>
      </c>
      <c r="F17" s="849">
        <v>620</v>
      </c>
      <c r="G17" s="850">
        <f t="shared" ref="G17:G61" si="2">SUM(E17:F17)</f>
        <v>374275</v>
      </c>
    </row>
    <row r="18" spans="1:7" ht="77.25" customHeight="1" x14ac:dyDescent="0.45">
      <c r="A18" s="861" t="s">
        <v>808</v>
      </c>
      <c r="B18" s="846"/>
      <c r="C18" s="846"/>
      <c r="D18" s="846"/>
      <c r="E18" s="846"/>
      <c r="F18" s="846"/>
      <c r="G18" s="847"/>
    </row>
    <row r="19" spans="1:7" ht="77.25" customHeight="1" x14ac:dyDescent="0.45">
      <c r="A19" s="868" t="s">
        <v>809</v>
      </c>
      <c r="B19" s="849">
        <f>1688632-22276</f>
        <v>1666356</v>
      </c>
      <c r="C19" s="849">
        <v>2033459</v>
      </c>
      <c r="D19" s="849">
        <v>2033459</v>
      </c>
      <c r="E19" s="849">
        <v>2033459</v>
      </c>
      <c r="F19" s="849">
        <v>24178</v>
      </c>
      <c r="G19" s="850">
        <f t="shared" si="2"/>
        <v>2057637</v>
      </c>
    </row>
    <row r="20" spans="1:7" ht="96" customHeight="1" x14ac:dyDescent="0.45">
      <c r="A20" s="869" t="s">
        <v>810</v>
      </c>
      <c r="B20" s="846"/>
      <c r="C20" s="865"/>
      <c r="D20" s="865"/>
      <c r="E20" s="865"/>
      <c r="F20" s="865"/>
      <c r="G20" s="866"/>
    </row>
    <row r="21" spans="1:7" ht="57" x14ac:dyDescent="0.45">
      <c r="A21" s="870" t="s">
        <v>811</v>
      </c>
      <c r="B21" s="865"/>
      <c r="C21" s="865"/>
      <c r="D21" s="865"/>
      <c r="E21" s="865"/>
      <c r="F21" s="865"/>
      <c r="G21" s="866"/>
    </row>
    <row r="22" spans="1:7" ht="28.5" x14ac:dyDescent="0.45">
      <c r="A22" s="864" t="s">
        <v>812</v>
      </c>
      <c r="B22" s="865"/>
      <c r="C22" s="865"/>
      <c r="D22" s="865"/>
      <c r="E22" s="865"/>
      <c r="F22" s="865"/>
      <c r="G22" s="866"/>
    </row>
    <row r="23" spans="1:7" ht="96" customHeight="1" x14ac:dyDescent="0.45">
      <c r="A23" s="871" t="s">
        <v>813</v>
      </c>
      <c r="B23" s="849">
        <v>44753</v>
      </c>
      <c r="C23" s="849">
        <v>49793</v>
      </c>
      <c r="D23" s="849">
        <v>49793</v>
      </c>
      <c r="E23" s="849">
        <v>49793</v>
      </c>
      <c r="F23" s="849">
        <v>-608</v>
      </c>
      <c r="G23" s="850">
        <f t="shared" si="2"/>
        <v>49185</v>
      </c>
    </row>
    <row r="24" spans="1:7" ht="47.25" customHeight="1" x14ac:dyDescent="0.45">
      <c r="A24" s="851" t="s">
        <v>814</v>
      </c>
      <c r="B24" s="865"/>
      <c r="C24" s="849">
        <v>48055</v>
      </c>
      <c r="D24" s="849">
        <v>48055</v>
      </c>
      <c r="E24" s="849">
        <v>48055</v>
      </c>
      <c r="F24" s="849">
        <v>-608</v>
      </c>
      <c r="G24" s="850">
        <f t="shared" si="2"/>
        <v>47447</v>
      </c>
    </row>
    <row r="25" spans="1:7" ht="47.25" customHeight="1" x14ac:dyDescent="0.45">
      <c r="A25" s="848" t="s">
        <v>815</v>
      </c>
      <c r="B25" s="849"/>
      <c r="C25" s="849">
        <v>1738</v>
      </c>
      <c r="D25" s="849">
        <v>1738</v>
      </c>
      <c r="E25" s="849">
        <v>1738</v>
      </c>
      <c r="F25" s="849"/>
      <c r="G25" s="850">
        <f t="shared" si="2"/>
        <v>1738</v>
      </c>
    </row>
    <row r="26" spans="1:7" ht="77.25" customHeight="1" x14ac:dyDescent="0.45">
      <c r="A26" s="848" t="s">
        <v>816</v>
      </c>
      <c r="B26" s="849">
        <v>45235</v>
      </c>
      <c r="C26" s="852">
        <v>51208</v>
      </c>
      <c r="D26" s="852">
        <v>51208</v>
      </c>
      <c r="E26" s="852">
        <v>51208</v>
      </c>
      <c r="F26" s="852">
        <v>-648</v>
      </c>
      <c r="G26" s="853">
        <f t="shared" si="2"/>
        <v>50560</v>
      </c>
    </row>
    <row r="27" spans="1:7" ht="77.25" customHeight="1" x14ac:dyDescent="0.45">
      <c r="A27" s="869" t="s">
        <v>817</v>
      </c>
      <c r="B27" s="865"/>
      <c r="C27" s="846"/>
      <c r="D27" s="846"/>
      <c r="E27" s="846"/>
      <c r="F27" s="846"/>
      <c r="G27" s="847"/>
    </row>
    <row r="28" spans="1:7" ht="90.75" customHeight="1" x14ac:dyDescent="0.45">
      <c r="A28" s="872" t="s">
        <v>818</v>
      </c>
      <c r="B28" s="849">
        <v>1679</v>
      </c>
      <c r="C28" s="849">
        <v>3141</v>
      </c>
      <c r="D28" s="849">
        <v>3141</v>
      </c>
      <c r="E28" s="849">
        <v>3141</v>
      </c>
      <c r="F28" s="849"/>
      <c r="G28" s="850">
        <f t="shared" si="2"/>
        <v>3141</v>
      </c>
    </row>
    <row r="29" spans="1:7" ht="51.75" customHeight="1" x14ac:dyDescent="0.45">
      <c r="A29" s="848" t="s">
        <v>814</v>
      </c>
      <c r="B29" s="849"/>
      <c r="C29" s="849">
        <v>1047</v>
      </c>
      <c r="D29" s="849">
        <v>1047</v>
      </c>
      <c r="E29" s="849">
        <v>1047</v>
      </c>
      <c r="F29" s="849"/>
      <c r="G29" s="850">
        <f t="shared" si="2"/>
        <v>1047</v>
      </c>
    </row>
    <row r="30" spans="1:7" ht="58.5" customHeight="1" x14ac:dyDescent="0.45">
      <c r="A30" s="848" t="s">
        <v>815</v>
      </c>
      <c r="B30" s="849"/>
      <c r="C30" s="849">
        <v>2094</v>
      </c>
      <c r="D30" s="849">
        <v>2094</v>
      </c>
      <c r="E30" s="849">
        <v>2094</v>
      </c>
      <c r="F30" s="849"/>
      <c r="G30" s="850">
        <f t="shared" si="2"/>
        <v>2094</v>
      </c>
    </row>
    <row r="31" spans="1:7" ht="77.25" customHeight="1" x14ac:dyDescent="0.45">
      <c r="A31" s="848" t="s">
        <v>819</v>
      </c>
      <c r="B31" s="849">
        <v>2922</v>
      </c>
      <c r="C31" s="852">
        <v>3660</v>
      </c>
      <c r="D31" s="852">
        <v>3660</v>
      </c>
      <c r="E31" s="852">
        <v>3660</v>
      </c>
      <c r="F31" s="852"/>
      <c r="G31" s="853">
        <f t="shared" si="2"/>
        <v>3660</v>
      </c>
    </row>
    <row r="32" spans="1:7" ht="77.25" customHeight="1" x14ac:dyDescent="0.45">
      <c r="A32" s="873" t="s">
        <v>820</v>
      </c>
      <c r="B32" s="846"/>
      <c r="C32" s="846"/>
      <c r="D32" s="846"/>
      <c r="E32" s="846"/>
      <c r="F32" s="846"/>
      <c r="G32" s="847"/>
    </row>
    <row r="33" spans="1:7" ht="77.25" customHeight="1" x14ac:dyDescent="0.45">
      <c r="A33" s="870" t="s">
        <v>821</v>
      </c>
      <c r="B33" s="865"/>
      <c r="C33" s="865"/>
      <c r="D33" s="865"/>
      <c r="E33" s="865"/>
      <c r="F33" s="865"/>
      <c r="G33" s="866"/>
    </row>
    <row r="34" spans="1:7" ht="87.75" customHeight="1" x14ac:dyDescent="0.45">
      <c r="A34" s="874" t="s">
        <v>822</v>
      </c>
      <c r="B34" s="849">
        <v>11227</v>
      </c>
      <c r="C34" s="849">
        <v>13904</v>
      </c>
      <c r="D34" s="849">
        <v>13904</v>
      </c>
      <c r="E34" s="849">
        <v>13904</v>
      </c>
      <c r="F34" s="849"/>
      <c r="G34" s="850">
        <f t="shared" si="2"/>
        <v>13904</v>
      </c>
    </row>
    <row r="35" spans="1:7" ht="99.75" customHeight="1" x14ac:dyDescent="0.45">
      <c r="A35" s="864" t="s">
        <v>823</v>
      </c>
      <c r="B35" s="865"/>
      <c r="C35" s="865"/>
      <c r="D35" s="865"/>
      <c r="E35" s="865"/>
      <c r="F35" s="865"/>
      <c r="G35" s="866"/>
    </row>
    <row r="36" spans="1:7" ht="77.25" customHeight="1" x14ac:dyDescent="0.45">
      <c r="A36" s="870" t="s">
        <v>824</v>
      </c>
      <c r="B36" s="865"/>
      <c r="C36" s="865"/>
      <c r="D36" s="865"/>
      <c r="E36" s="865"/>
      <c r="F36" s="865"/>
      <c r="G36" s="866"/>
    </row>
    <row r="37" spans="1:7" ht="77.25" customHeight="1" x14ac:dyDescent="0.45">
      <c r="A37" s="848" t="s">
        <v>825</v>
      </c>
      <c r="B37" s="865">
        <v>732252</v>
      </c>
      <c r="C37" s="849">
        <v>732252</v>
      </c>
      <c r="D37" s="849">
        <v>732252</v>
      </c>
      <c r="E37" s="849">
        <v>732252</v>
      </c>
      <c r="F37" s="849"/>
      <c r="G37" s="850">
        <f t="shared" si="2"/>
        <v>732252</v>
      </c>
    </row>
    <row r="38" spans="1:7" ht="77.25" customHeight="1" thickBot="1" x14ac:dyDescent="0.5">
      <c r="A38" s="875" t="s">
        <v>826</v>
      </c>
      <c r="B38" s="876">
        <v>57870</v>
      </c>
      <c r="C38" s="876">
        <v>71029</v>
      </c>
      <c r="D38" s="876">
        <v>71029</v>
      </c>
      <c r="E38" s="876">
        <v>71029</v>
      </c>
      <c r="F38" s="876">
        <v>630</v>
      </c>
      <c r="G38" s="877">
        <f t="shared" si="2"/>
        <v>71659</v>
      </c>
    </row>
    <row r="39" spans="1:7" ht="77.25" customHeight="1" thickTop="1" thickBot="1" x14ac:dyDescent="0.5">
      <c r="A39" s="851" t="s">
        <v>827</v>
      </c>
      <c r="B39" s="852">
        <v>2770</v>
      </c>
      <c r="C39" s="852">
        <v>1738</v>
      </c>
      <c r="D39" s="852">
        <v>1738</v>
      </c>
      <c r="E39" s="852">
        <v>1738</v>
      </c>
      <c r="F39" s="852"/>
      <c r="G39" s="853">
        <f t="shared" si="2"/>
        <v>1738</v>
      </c>
    </row>
    <row r="40" spans="1:7" ht="62.25" customHeight="1" thickTop="1" thickBot="1" x14ac:dyDescent="0.5">
      <c r="A40" s="857" t="s">
        <v>828</v>
      </c>
      <c r="B40" s="878">
        <f t="shared" ref="B40:E40" si="3">SUM(B15:B39)-B24-B25-B29-B30</f>
        <v>2939684</v>
      </c>
      <c r="C40" s="878">
        <f t="shared" si="3"/>
        <v>3333839</v>
      </c>
      <c r="D40" s="878">
        <f t="shared" si="3"/>
        <v>3333839</v>
      </c>
      <c r="E40" s="878">
        <f t="shared" si="3"/>
        <v>3333839</v>
      </c>
      <c r="F40" s="878">
        <f t="shared" ref="F40" si="4">SUM(F15:F39)-F24-F25-F29-F30</f>
        <v>24172</v>
      </c>
      <c r="G40" s="879">
        <f t="shared" si="2"/>
        <v>3358011</v>
      </c>
    </row>
    <row r="41" spans="1:7" s="880" customFormat="1" ht="77.25" customHeight="1" thickTop="1" x14ac:dyDescent="0.45">
      <c r="A41" s="861" t="s">
        <v>829</v>
      </c>
      <c r="B41" s="846"/>
      <c r="C41" s="862"/>
      <c r="D41" s="862"/>
      <c r="E41" s="862"/>
      <c r="F41" s="862"/>
      <c r="G41" s="863"/>
    </row>
    <row r="42" spans="1:7" ht="77.25" customHeight="1" x14ac:dyDescent="0.45">
      <c r="A42" s="881" t="s">
        <v>830</v>
      </c>
      <c r="B42" s="849"/>
      <c r="C42" s="849"/>
      <c r="D42" s="849"/>
      <c r="E42" s="849"/>
      <c r="F42" s="849"/>
      <c r="G42" s="850"/>
    </row>
    <row r="43" spans="1:7" ht="28.5" x14ac:dyDescent="0.45">
      <c r="A43" s="851" t="s">
        <v>831</v>
      </c>
      <c r="B43" s="852">
        <v>103632</v>
      </c>
      <c r="C43" s="882">
        <v>103632</v>
      </c>
      <c r="D43" s="882">
        <v>111579</v>
      </c>
      <c r="E43" s="882">
        <v>121380</v>
      </c>
      <c r="F43" s="882"/>
      <c r="G43" s="883">
        <f t="shared" si="2"/>
        <v>121380</v>
      </c>
    </row>
    <row r="44" spans="1:7" ht="77.25" customHeight="1" x14ac:dyDescent="0.45">
      <c r="A44" s="851" t="s">
        <v>832</v>
      </c>
      <c r="B44" s="852">
        <v>135912</v>
      </c>
      <c r="C44" s="882">
        <v>142276</v>
      </c>
      <c r="D44" s="882">
        <v>142276</v>
      </c>
      <c r="E44" s="882">
        <v>142276</v>
      </c>
      <c r="F44" s="882"/>
      <c r="G44" s="883">
        <f t="shared" si="2"/>
        <v>142276</v>
      </c>
    </row>
    <row r="45" spans="1:7" ht="77.25" customHeight="1" x14ac:dyDescent="0.45">
      <c r="A45" s="884" t="s">
        <v>833</v>
      </c>
      <c r="B45" s="882">
        <v>88330</v>
      </c>
      <c r="C45" s="882">
        <v>96167</v>
      </c>
      <c r="D45" s="882">
        <v>96167</v>
      </c>
      <c r="E45" s="882">
        <v>96167</v>
      </c>
      <c r="F45" s="882"/>
      <c r="G45" s="883">
        <f t="shared" si="2"/>
        <v>96167</v>
      </c>
    </row>
    <row r="46" spans="1:7" ht="77.25" customHeight="1" x14ac:dyDescent="0.45">
      <c r="A46" s="851" t="s">
        <v>834</v>
      </c>
      <c r="B46" s="882">
        <v>84775</v>
      </c>
      <c r="C46" s="882">
        <v>88874</v>
      </c>
      <c r="D46" s="882">
        <v>88874</v>
      </c>
      <c r="E46" s="882">
        <v>88874</v>
      </c>
      <c r="F46" s="882">
        <v>-1770</v>
      </c>
      <c r="G46" s="883">
        <f t="shared" si="2"/>
        <v>87104</v>
      </c>
    </row>
    <row r="47" spans="1:7" ht="77.25" customHeight="1" x14ac:dyDescent="0.45">
      <c r="A47" s="885" t="s">
        <v>835</v>
      </c>
      <c r="B47" s="882">
        <v>75</v>
      </c>
      <c r="C47" s="882">
        <v>100</v>
      </c>
      <c r="D47" s="882">
        <v>100</v>
      </c>
      <c r="E47" s="882">
        <v>100</v>
      </c>
      <c r="F47" s="882">
        <v>-25</v>
      </c>
      <c r="G47" s="883">
        <f t="shared" si="2"/>
        <v>75</v>
      </c>
    </row>
    <row r="48" spans="1:7" ht="77.25" customHeight="1" x14ac:dyDescent="0.45">
      <c r="A48" s="851" t="s">
        <v>836</v>
      </c>
      <c r="B48" s="882">
        <v>67480</v>
      </c>
      <c r="C48" s="882">
        <v>73235</v>
      </c>
      <c r="D48" s="882">
        <v>73235</v>
      </c>
      <c r="E48" s="882">
        <v>73235</v>
      </c>
      <c r="F48" s="882">
        <v>2592</v>
      </c>
      <c r="G48" s="883">
        <f t="shared" si="2"/>
        <v>75827</v>
      </c>
    </row>
    <row r="49" spans="1:7" s="880" customFormat="1" ht="77.25" customHeight="1" x14ac:dyDescent="0.45">
      <c r="A49" s="886" t="s">
        <v>837</v>
      </c>
      <c r="B49" s="882">
        <v>54924</v>
      </c>
      <c r="C49" s="882">
        <v>59243</v>
      </c>
      <c r="D49" s="882">
        <v>59243</v>
      </c>
      <c r="E49" s="882">
        <v>59243</v>
      </c>
      <c r="F49" s="882">
        <v>-1118</v>
      </c>
      <c r="G49" s="883">
        <f t="shared" si="2"/>
        <v>58125</v>
      </c>
    </row>
    <row r="50" spans="1:7" ht="77.25" customHeight="1" thickBot="1" x14ac:dyDescent="0.5">
      <c r="A50" s="851" t="s">
        <v>838</v>
      </c>
      <c r="B50" s="854">
        <v>7775</v>
      </c>
      <c r="C50" s="854">
        <v>8145</v>
      </c>
      <c r="D50" s="854">
        <v>8145</v>
      </c>
      <c r="E50" s="854">
        <v>8145</v>
      </c>
      <c r="F50" s="854">
        <v>-2036</v>
      </c>
      <c r="G50" s="855">
        <f t="shared" si="2"/>
        <v>6109</v>
      </c>
    </row>
    <row r="51" spans="1:7" ht="60" customHeight="1" thickTop="1" thickBot="1" x14ac:dyDescent="0.5">
      <c r="A51" s="887" t="s">
        <v>830</v>
      </c>
      <c r="B51" s="888">
        <f>SUM(B43:B50)</f>
        <v>542903</v>
      </c>
      <c r="C51" s="888">
        <f>SUM(C43:C50)</f>
        <v>571672</v>
      </c>
      <c r="D51" s="888">
        <v>579619</v>
      </c>
      <c r="E51" s="888">
        <f>SUM(E43:E50)</f>
        <v>589420</v>
      </c>
      <c r="F51" s="888">
        <f>SUM(F43:F50)</f>
        <v>-2357</v>
      </c>
      <c r="G51" s="889">
        <f t="shared" si="2"/>
        <v>587063</v>
      </c>
    </row>
    <row r="52" spans="1:7" ht="77.25" customHeight="1" thickTop="1" x14ac:dyDescent="0.45">
      <c r="A52" s="864" t="s">
        <v>839</v>
      </c>
      <c r="B52" s="865"/>
      <c r="C52" s="865"/>
      <c r="D52" s="865"/>
      <c r="E52" s="865"/>
      <c r="F52" s="865"/>
      <c r="G52" s="866"/>
    </row>
    <row r="53" spans="1:7" ht="77.25" customHeight="1" x14ac:dyDescent="0.45">
      <c r="A53" s="864" t="s">
        <v>840</v>
      </c>
      <c r="B53" s="865"/>
      <c r="C53" s="865"/>
      <c r="D53" s="865"/>
      <c r="E53" s="865"/>
      <c r="F53" s="865"/>
      <c r="G53" s="866"/>
    </row>
    <row r="54" spans="1:7" ht="77.25" customHeight="1" x14ac:dyDescent="0.45">
      <c r="A54" s="848" t="s">
        <v>841</v>
      </c>
      <c r="B54" s="849">
        <v>513877</v>
      </c>
      <c r="C54" s="849">
        <v>638414</v>
      </c>
      <c r="D54" s="849">
        <v>638414</v>
      </c>
      <c r="E54" s="849">
        <v>638414</v>
      </c>
      <c r="F54" s="849">
        <v>-35010</v>
      </c>
      <c r="G54" s="850">
        <f t="shared" si="2"/>
        <v>603404</v>
      </c>
    </row>
    <row r="55" spans="1:7" ht="77.25" customHeight="1" x14ac:dyDescent="0.45">
      <c r="A55" s="851" t="s">
        <v>842</v>
      </c>
      <c r="B55" s="849">
        <v>509431</v>
      </c>
      <c r="C55" s="849">
        <v>596580</v>
      </c>
      <c r="D55" s="849">
        <v>596580</v>
      </c>
      <c r="E55" s="849">
        <v>596580</v>
      </c>
      <c r="F55" s="849">
        <v>10273</v>
      </c>
      <c r="G55" s="850">
        <f t="shared" si="2"/>
        <v>606853</v>
      </c>
    </row>
    <row r="56" spans="1:7" ht="58.5" customHeight="1" thickBot="1" x14ac:dyDescent="0.5">
      <c r="A56" s="890" t="s">
        <v>843</v>
      </c>
      <c r="B56" s="849">
        <v>224614</v>
      </c>
      <c r="C56" s="849">
        <v>259783</v>
      </c>
      <c r="D56" s="849">
        <v>259783</v>
      </c>
      <c r="E56" s="849">
        <v>259783</v>
      </c>
      <c r="F56" s="849">
        <v>-9080</v>
      </c>
      <c r="G56" s="850">
        <f t="shared" si="2"/>
        <v>250703</v>
      </c>
    </row>
    <row r="57" spans="1:7" ht="60.75" customHeight="1" thickTop="1" thickBot="1" x14ac:dyDescent="0.5">
      <c r="A57" s="887" t="s">
        <v>844</v>
      </c>
      <c r="B57" s="888">
        <f>SUM(B54:B56)</f>
        <v>1247922</v>
      </c>
      <c r="C57" s="888">
        <f>SUM(C54:C56)</f>
        <v>1494777</v>
      </c>
      <c r="D57" s="888">
        <v>1494777</v>
      </c>
      <c r="E57" s="888">
        <f>SUM(E54:E56)</f>
        <v>1494777</v>
      </c>
      <c r="F57" s="888">
        <f>SUM(F54:F56)</f>
        <v>-33817</v>
      </c>
      <c r="G57" s="889">
        <f t="shared" si="2"/>
        <v>1460960</v>
      </c>
    </row>
    <row r="58" spans="1:7" ht="86.25" thickTop="1" x14ac:dyDescent="0.45">
      <c r="A58" s="891" t="s">
        <v>845</v>
      </c>
      <c r="B58" s="892"/>
      <c r="C58" s="892"/>
      <c r="D58" s="892"/>
      <c r="E58" s="892"/>
      <c r="F58" s="892"/>
      <c r="G58" s="893">
        <f t="shared" si="2"/>
        <v>0</v>
      </c>
    </row>
    <row r="59" spans="1:7" ht="48.75" customHeight="1" x14ac:dyDescent="0.45">
      <c r="A59" s="848" t="s">
        <v>846</v>
      </c>
      <c r="B59" s="849">
        <v>50742</v>
      </c>
      <c r="C59" s="849">
        <v>62330</v>
      </c>
      <c r="D59" s="849">
        <v>62330</v>
      </c>
      <c r="E59" s="849">
        <v>62330</v>
      </c>
      <c r="F59" s="849">
        <v>-31165</v>
      </c>
      <c r="G59" s="850">
        <f t="shared" si="2"/>
        <v>31165</v>
      </c>
    </row>
    <row r="60" spans="1:7" ht="77.25" customHeight="1" thickBot="1" x14ac:dyDescent="0.5">
      <c r="A60" s="851" t="s">
        <v>847</v>
      </c>
      <c r="B60" s="849">
        <v>15220</v>
      </c>
      <c r="C60" s="849">
        <v>16902</v>
      </c>
      <c r="D60" s="849">
        <v>16902</v>
      </c>
      <c r="E60" s="849">
        <v>16902</v>
      </c>
      <c r="F60" s="849">
        <v>5</v>
      </c>
      <c r="G60" s="850">
        <f t="shared" si="2"/>
        <v>16907</v>
      </c>
    </row>
    <row r="61" spans="1:7" ht="92.25" customHeight="1" thickTop="1" thickBot="1" x14ac:dyDescent="0.5">
      <c r="A61" s="891" t="s">
        <v>848</v>
      </c>
      <c r="B61" s="888">
        <f>SUM(B59:B60)</f>
        <v>65962</v>
      </c>
      <c r="C61" s="888">
        <f>SUM(C59:C60)</f>
        <v>79232</v>
      </c>
      <c r="D61" s="888">
        <v>79232</v>
      </c>
      <c r="E61" s="888">
        <f>SUM(E59:E60)</f>
        <v>79232</v>
      </c>
      <c r="F61" s="888">
        <f>SUM(F59:F60)</f>
        <v>-31160</v>
      </c>
      <c r="G61" s="889">
        <f t="shared" si="2"/>
        <v>48072</v>
      </c>
    </row>
    <row r="62" spans="1:7" ht="77.25" customHeight="1" thickTop="1" thickBot="1" x14ac:dyDescent="0.5">
      <c r="A62" s="857" t="s">
        <v>849</v>
      </c>
      <c r="B62" s="878">
        <f t="shared" ref="B62:G62" si="5">B51+B57+B61</f>
        <v>1856787</v>
      </c>
      <c r="C62" s="878">
        <f t="shared" si="5"/>
        <v>2145681</v>
      </c>
      <c r="D62" s="878">
        <f t="shared" si="5"/>
        <v>2153628</v>
      </c>
      <c r="E62" s="878">
        <f t="shared" si="5"/>
        <v>2163429</v>
      </c>
      <c r="F62" s="878">
        <f t="shared" si="5"/>
        <v>-67334</v>
      </c>
      <c r="G62" s="879">
        <f t="shared" si="5"/>
        <v>2096095</v>
      </c>
    </row>
    <row r="63" spans="1:7" ht="77.25" customHeight="1" thickTop="1" x14ac:dyDescent="0.45">
      <c r="A63" s="864" t="s">
        <v>850</v>
      </c>
      <c r="B63" s="865"/>
      <c r="C63" s="865"/>
      <c r="D63" s="865"/>
      <c r="E63" s="865"/>
      <c r="F63" s="865"/>
      <c r="G63" s="866"/>
    </row>
    <row r="64" spans="1:7" s="880" customFormat="1" ht="45" customHeight="1" x14ac:dyDescent="0.45">
      <c r="A64" s="861" t="s">
        <v>851</v>
      </c>
      <c r="B64" s="862"/>
      <c r="C64" s="862"/>
      <c r="D64" s="862"/>
      <c r="E64" s="862"/>
      <c r="F64" s="862"/>
      <c r="G64" s="863"/>
    </row>
    <row r="65" spans="1:7" ht="42" customHeight="1" x14ac:dyDescent="0.45">
      <c r="A65" s="856" t="s">
        <v>852</v>
      </c>
      <c r="B65" s="849">
        <v>338977</v>
      </c>
      <c r="C65" s="849">
        <v>400523</v>
      </c>
      <c r="D65" s="849">
        <v>400523</v>
      </c>
      <c r="E65" s="849">
        <v>400523</v>
      </c>
      <c r="F65" s="849">
        <v>-21896</v>
      </c>
      <c r="G65" s="850">
        <f t="shared" ref="G65:G67" si="6">SUM(E65:F65)</f>
        <v>378627</v>
      </c>
    </row>
    <row r="66" spans="1:7" ht="45" customHeight="1" x14ac:dyDescent="0.45">
      <c r="A66" s="894" t="s">
        <v>853</v>
      </c>
      <c r="B66" s="849">
        <v>473371</v>
      </c>
      <c r="C66" s="849">
        <v>476813</v>
      </c>
      <c r="D66" s="849">
        <v>476813</v>
      </c>
      <c r="E66" s="849">
        <v>476813</v>
      </c>
      <c r="F66" s="849">
        <v>20669</v>
      </c>
      <c r="G66" s="850">
        <f t="shared" si="6"/>
        <v>497482</v>
      </c>
    </row>
    <row r="67" spans="1:7" ht="38.25" customHeight="1" thickBot="1" x14ac:dyDescent="0.5">
      <c r="A67" s="861" t="s">
        <v>854</v>
      </c>
      <c r="B67" s="849">
        <v>718</v>
      </c>
      <c r="C67" s="849">
        <v>729</v>
      </c>
      <c r="D67" s="849">
        <v>729</v>
      </c>
      <c r="E67" s="849">
        <v>729</v>
      </c>
      <c r="F67" s="849">
        <v>8</v>
      </c>
      <c r="G67" s="850">
        <f t="shared" si="6"/>
        <v>737</v>
      </c>
    </row>
    <row r="68" spans="1:7" ht="60" customHeight="1" thickTop="1" thickBot="1" x14ac:dyDescent="0.5">
      <c r="A68" s="895" t="s">
        <v>855</v>
      </c>
      <c r="B68" s="878">
        <f t="shared" ref="B68:G68" si="7">SUM(B65:B67)</f>
        <v>813066</v>
      </c>
      <c r="C68" s="878">
        <f t="shared" si="7"/>
        <v>878065</v>
      </c>
      <c r="D68" s="878">
        <f t="shared" si="7"/>
        <v>878065</v>
      </c>
      <c r="E68" s="878">
        <f t="shared" si="7"/>
        <v>878065</v>
      </c>
      <c r="F68" s="878">
        <f t="shared" si="7"/>
        <v>-1219</v>
      </c>
      <c r="G68" s="879">
        <f t="shared" si="7"/>
        <v>876846</v>
      </c>
    </row>
    <row r="69" spans="1:7" ht="56.25" customHeight="1" thickTop="1" x14ac:dyDescent="0.45">
      <c r="A69" s="891" t="s">
        <v>856</v>
      </c>
      <c r="B69" s="892"/>
      <c r="C69" s="892"/>
      <c r="D69" s="892"/>
      <c r="E69" s="892"/>
      <c r="F69" s="892"/>
      <c r="G69" s="893"/>
    </row>
    <row r="70" spans="1:7" ht="64.5" customHeight="1" x14ac:dyDescent="0.45">
      <c r="A70" s="848" t="s">
        <v>857</v>
      </c>
      <c r="B70" s="849">
        <v>71937</v>
      </c>
      <c r="C70" s="849">
        <v>71479</v>
      </c>
      <c r="D70" s="849">
        <v>71479</v>
      </c>
      <c r="E70" s="849">
        <v>71479</v>
      </c>
      <c r="F70" s="849"/>
      <c r="G70" s="850">
        <f t="shared" ref="G70:G71" si="8">SUM(E70:F70)</f>
        <v>71479</v>
      </c>
    </row>
    <row r="71" spans="1:7" ht="63.75" customHeight="1" thickBot="1" x14ac:dyDescent="0.5">
      <c r="A71" s="851" t="s">
        <v>858</v>
      </c>
      <c r="B71" s="849">
        <v>142714</v>
      </c>
      <c r="C71" s="849">
        <v>142713</v>
      </c>
      <c r="D71" s="849">
        <v>142713</v>
      </c>
      <c r="E71" s="849">
        <v>142713</v>
      </c>
      <c r="F71" s="849"/>
      <c r="G71" s="850">
        <f t="shared" si="8"/>
        <v>142713</v>
      </c>
    </row>
    <row r="72" spans="1:7" ht="63.75" customHeight="1" thickTop="1" thickBot="1" x14ac:dyDescent="0.5">
      <c r="A72" s="895" t="s">
        <v>859</v>
      </c>
      <c r="B72" s="878">
        <f t="shared" ref="B72:G72" si="9">SUM(B70:B71)</f>
        <v>214651</v>
      </c>
      <c r="C72" s="878">
        <f t="shared" si="9"/>
        <v>214192</v>
      </c>
      <c r="D72" s="878">
        <f t="shared" si="9"/>
        <v>214192</v>
      </c>
      <c r="E72" s="878">
        <f t="shared" si="9"/>
        <v>214192</v>
      </c>
      <c r="F72" s="878">
        <f t="shared" si="9"/>
        <v>0</v>
      </c>
      <c r="G72" s="879">
        <f t="shared" si="9"/>
        <v>214192</v>
      </c>
    </row>
    <row r="73" spans="1:7" ht="72" customHeight="1" thickTop="1" thickBot="1" x14ac:dyDescent="0.5">
      <c r="A73" s="896" t="s">
        <v>860</v>
      </c>
      <c r="B73" s="897">
        <f t="shared" ref="B73:G73" si="10">B14+B40+B62+B68+B72</f>
        <v>7562272</v>
      </c>
      <c r="C73" s="897">
        <f t="shared" si="10"/>
        <v>8278376</v>
      </c>
      <c r="D73" s="897">
        <f t="shared" si="10"/>
        <v>8338892</v>
      </c>
      <c r="E73" s="897">
        <f t="shared" si="10"/>
        <v>8348693</v>
      </c>
      <c r="F73" s="897">
        <f t="shared" si="10"/>
        <v>-44156</v>
      </c>
      <c r="G73" s="898">
        <f t="shared" si="10"/>
        <v>8304537</v>
      </c>
    </row>
    <row r="74" spans="1:7" s="836" customFormat="1" ht="77.25" customHeight="1" x14ac:dyDescent="0.45">
      <c r="A74" s="899" t="s">
        <v>861</v>
      </c>
      <c r="B74" s="900"/>
      <c r="C74" s="900"/>
      <c r="D74" s="900"/>
      <c r="E74" s="901"/>
      <c r="F74" s="901"/>
      <c r="G74" s="902"/>
    </row>
    <row r="75" spans="1:7" s="836" customFormat="1" ht="77.25" customHeight="1" x14ac:dyDescent="0.45">
      <c r="A75" s="903" t="s">
        <v>862</v>
      </c>
      <c r="B75" s="904">
        <v>240166</v>
      </c>
      <c r="C75" s="904"/>
      <c r="D75" s="904"/>
      <c r="E75" s="904">
        <v>105185</v>
      </c>
      <c r="F75" s="904">
        <v>84348</v>
      </c>
      <c r="G75" s="905">
        <f t="shared" ref="G75:G84" si="11">SUM(E75:F75)</f>
        <v>189533</v>
      </c>
    </row>
    <row r="76" spans="1:7" s="836" customFormat="1" ht="77.25" customHeight="1" x14ac:dyDescent="0.45">
      <c r="A76" s="906" t="s">
        <v>863</v>
      </c>
      <c r="B76" s="907">
        <f>B75</f>
        <v>240166</v>
      </c>
      <c r="C76" s="907"/>
      <c r="D76" s="907"/>
      <c r="E76" s="907">
        <f>E75</f>
        <v>105185</v>
      </c>
      <c r="F76" s="907">
        <f>F75</f>
        <v>84348</v>
      </c>
      <c r="G76" s="908">
        <f>SUM(E76:F76)</f>
        <v>189533</v>
      </c>
    </row>
    <row r="77" spans="1:7" ht="60.75" customHeight="1" x14ac:dyDescent="0.45">
      <c r="A77" s="903" t="s">
        <v>864</v>
      </c>
      <c r="B77" s="909">
        <v>230670</v>
      </c>
      <c r="C77" s="909">
        <v>230670</v>
      </c>
      <c r="D77" s="909">
        <v>230670</v>
      </c>
      <c r="E77" s="910">
        <v>230670</v>
      </c>
      <c r="F77" s="910"/>
      <c r="G77" s="911">
        <f t="shared" si="11"/>
        <v>230670</v>
      </c>
    </row>
    <row r="78" spans="1:7" ht="48.75" customHeight="1" x14ac:dyDescent="0.45">
      <c r="A78" s="903" t="s">
        <v>865</v>
      </c>
      <c r="B78" s="910">
        <v>188000</v>
      </c>
      <c r="C78" s="910">
        <v>188000</v>
      </c>
      <c r="D78" s="910">
        <v>188000</v>
      </c>
      <c r="E78" s="910">
        <v>188000</v>
      </c>
      <c r="F78" s="910"/>
      <c r="G78" s="911">
        <f t="shared" si="11"/>
        <v>188000</v>
      </c>
    </row>
    <row r="79" spans="1:7" ht="48.75" customHeight="1" x14ac:dyDescent="0.45">
      <c r="A79" s="912" t="s">
        <v>866</v>
      </c>
      <c r="B79" s="910">
        <v>5712</v>
      </c>
      <c r="C79" s="910"/>
      <c r="D79" s="910"/>
      <c r="E79" s="910"/>
      <c r="F79" s="910"/>
      <c r="G79" s="911"/>
    </row>
    <row r="80" spans="1:7" s="880" customFormat="1" ht="57" x14ac:dyDescent="0.45">
      <c r="A80" s="913" t="s">
        <v>867</v>
      </c>
      <c r="B80" s="910">
        <v>157338</v>
      </c>
      <c r="C80" s="910">
        <v>157338</v>
      </c>
      <c r="D80" s="910">
        <v>157338</v>
      </c>
      <c r="E80" s="910">
        <v>157338</v>
      </c>
      <c r="F80" s="910"/>
      <c r="G80" s="911">
        <f t="shared" si="11"/>
        <v>157338</v>
      </c>
    </row>
    <row r="81" spans="1:7" s="880" customFormat="1" ht="28.5" x14ac:dyDescent="0.45">
      <c r="A81" s="913" t="s">
        <v>868</v>
      </c>
      <c r="B81" s="910">
        <v>318266</v>
      </c>
      <c r="C81" s="910">
        <v>318266</v>
      </c>
      <c r="D81" s="910">
        <v>318266</v>
      </c>
      <c r="E81" s="910">
        <v>318266</v>
      </c>
      <c r="F81" s="910"/>
      <c r="G81" s="911">
        <f t="shared" si="11"/>
        <v>318266</v>
      </c>
    </row>
    <row r="82" spans="1:7" s="914" customFormat="1" ht="47.25" customHeight="1" x14ac:dyDescent="0.45">
      <c r="A82" s="906" t="s">
        <v>869</v>
      </c>
      <c r="B82" s="907">
        <f t="shared" ref="B82:G82" si="12">SUM(B77:B81)</f>
        <v>899986</v>
      </c>
      <c r="C82" s="907">
        <f t="shared" si="12"/>
        <v>894274</v>
      </c>
      <c r="D82" s="907">
        <f t="shared" si="12"/>
        <v>894274</v>
      </c>
      <c r="E82" s="907">
        <f t="shared" si="12"/>
        <v>894274</v>
      </c>
      <c r="F82" s="907">
        <f t="shared" si="12"/>
        <v>0</v>
      </c>
      <c r="G82" s="908">
        <f t="shared" si="12"/>
        <v>894274</v>
      </c>
    </row>
    <row r="83" spans="1:7" s="916" customFormat="1" ht="57" x14ac:dyDescent="0.45">
      <c r="A83" s="915" t="s">
        <v>421</v>
      </c>
      <c r="B83" s="910">
        <v>14555</v>
      </c>
      <c r="C83" s="910"/>
      <c r="D83" s="910"/>
      <c r="E83" s="910">
        <v>2420</v>
      </c>
      <c r="F83" s="910">
        <v>2440</v>
      </c>
      <c r="G83" s="911">
        <f t="shared" si="11"/>
        <v>4860</v>
      </c>
    </row>
    <row r="84" spans="1:7" s="916" customFormat="1" ht="57" x14ac:dyDescent="0.45">
      <c r="A84" s="917" t="s">
        <v>870</v>
      </c>
      <c r="B84" s="910">
        <v>63915</v>
      </c>
      <c r="C84" s="910"/>
      <c r="D84" s="910"/>
      <c r="E84" s="910"/>
      <c r="F84" s="910">
        <v>3137</v>
      </c>
      <c r="G84" s="911">
        <f t="shared" si="11"/>
        <v>3137</v>
      </c>
    </row>
    <row r="85" spans="1:7" s="880" customFormat="1" ht="60.75" customHeight="1" x14ac:dyDescent="0.45">
      <c r="A85" s="918" t="s">
        <v>871</v>
      </c>
      <c r="B85" s="919">
        <f>SUM(B83:B84)</f>
        <v>78470</v>
      </c>
      <c r="C85" s="919">
        <f t="shared" ref="C85:G85" si="13">SUM(C83:C84)</f>
        <v>0</v>
      </c>
      <c r="D85" s="919">
        <f t="shared" si="13"/>
        <v>0</v>
      </c>
      <c r="E85" s="919">
        <f t="shared" si="13"/>
        <v>2420</v>
      </c>
      <c r="F85" s="919">
        <f t="shared" si="13"/>
        <v>5577</v>
      </c>
      <c r="G85" s="920">
        <f t="shared" si="13"/>
        <v>7997</v>
      </c>
    </row>
    <row r="86" spans="1:7" s="860" customFormat="1" ht="49.5" customHeight="1" x14ac:dyDescent="0.45">
      <c r="A86" s="921" t="s">
        <v>872</v>
      </c>
      <c r="B86" s="922">
        <f>B76+B82+B85</f>
        <v>1218622</v>
      </c>
      <c r="C86" s="922">
        <f t="shared" ref="C86:G86" si="14">C76+C82+C85</f>
        <v>894274</v>
      </c>
      <c r="D86" s="922">
        <f t="shared" si="14"/>
        <v>894274</v>
      </c>
      <c r="E86" s="922">
        <f t="shared" si="14"/>
        <v>1001879</v>
      </c>
      <c r="F86" s="922">
        <f t="shared" si="14"/>
        <v>89925</v>
      </c>
      <c r="G86" s="923">
        <f t="shared" si="14"/>
        <v>1091804</v>
      </c>
    </row>
    <row r="87" spans="1:7" s="860" customFormat="1" ht="48.75" customHeight="1" thickBot="1" x14ac:dyDescent="0.5">
      <c r="A87" s="924" t="s">
        <v>873</v>
      </c>
      <c r="B87" s="925">
        <f>B73+B86</f>
        <v>8780894</v>
      </c>
      <c r="C87" s="925">
        <f t="shared" ref="C87:G87" si="15">C73+C86</f>
        <v>9172650</v>
      </c>
      <c r="D87" s="925">
        <f t="shared" si="15"/>
        <v>9233166</v>
      </c>
      <c r="E87" s="925">
        <f t="shared" si="15"/>
        <v>9350572</v>
      </c>
      <c r="F87" s="925">
        <f t="shared" si="15"/>
        <v>45769</v>
      </c>
      <c r="G87" s="926">
        <f t="shared" si="15"/>
        <v>9396341</v>
      </c>
    </row>
  </sheetData>
  <mergeCells count="2">
    <mergeCell ref="A1:G1"/>
    <mergeCell ref="A2:G2"/>
  </mergeCells>
  <printOptions horizontalCentered="1" verticalCentered="1"/>
  <pageMargins left="0" right="0" top="0" bottom="0" header="0.31496062992125984" footer="0.31496062992125984"/>
  <pageSetup paperSize="9" scale="25" orientation="portrait" r:id="rId1"/>
  <headerFooter>
    <oddHeader xml:space="preserve">&amp;R&amp;18 5. melléklet a 20/2025.(IX.30.) önkormányzati rendelethez 
"5. melléklet 4&amp;22/2025.(II.28.) önkormányzati rendelethez"
 </oddHeader>
  </headerFooter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EF50"/>
  <sheetViews>
    <sheetView zoomScale="50" zoomScaleNormal="50" zoomScaleSheetLayoutView="50" workbookViewId="0">
      <selection activeCell="AW51" sqref="AW51"/>
    </sheetView>
  </sheetViews>
  <sheetFormatPr defaultRowHeight="26.45" customHeight="1" x14ac:dyDescent="0.6"/>
  <cols>
    <col min="1" max="1" width="186.33203125" style="715" customWidth="1"/>
    <col min="2" max="10" width="50" style="795" customWidth="1"/>
    <col min="11" max="11" width="186.33203125" style="715" customWidth="1"/>
    <col min="12" max="20" width="50" style="795" customWidth="1"/>
    <col min="21" max="21" width="186.33203125" style="715" customWidth="1"/>
    <col min="22" max="22" width="49.83203125" style="785" customWidth="1"/>
    <col min="23" max="23" width="44.83203125" style="785" customWidth="1"/>
    <col min="24" max="24" width="49.83203125" style="785" customWidth="1"/>
    <col min="25" max="25" width="50" style="785" customWidth="1"/>
    <col min="26" max="26" width="45" style="785" customWidth="1"/>
    <col min="27" max="28" width="50" style="785" customWidth="1"/>
    <col min="29" max="29" width="45" style="785" customWidth="1"/>
    <col min="30" max="30" width="50" style="785" customWidth="1"/>
    <col min="31" max="36" width="49.83203125" style="785" customWidth="1"/>
    <col min="37" max="249" width="9.33203125" style="784"/>
    <col min="250" max="250" width="186.33203125" style="784" customWidth="1"/>
    <col min="251" max="259" width="50" style="784" customWidth="1"/>
    <col min="260" max="260" width="186.33203125" style="784" customWidth="1"/>
    <col min="261" max="269" width="50" style="784" customWidth="1"/>
    <col min="270" max="270" width="186.33203125" style="784" customWidth="1"/>
    <col min="271" max="271" width="49.83203125" style="784" customWidth="1"/>
    <col min="272" max="272" width="44.83203125" style="784" customWidth="1"/>
    <col min="273" max="273" width="49.83203125" style="784" customWidth="1"/>
    <col min="274" max="274" width="50" style="784" customWidth="1"/>
    <col min="275" max="275" width="45" style="784" customWidth="1"/>
    <col min="276" max="277" width="50" style="784" customWidth="1"/>
    <col min="278" max="278" width="45" style="784" customWidth="1"/>
    <col min="279" max="279" width="50" style="784" customWidth="1"/>
    <col min="280" max="285" width="49.83203125" style="784" customWidth="1"/>
    <col min="286" max="286" width="37.1640625" style="784" customWidth="1"/>
    <col min="287" max="287" width="32.83203125" style="784" customWidth="1"/>
    <col min="288" max="288" width="40.83203125" style="784" customWidth="1"/>
    <col min="289" max="289" width="186.33203125" style="784" customWidth="1"/>
    <col min="290" max="505" width="9.33203125" style="784"/>
    <col min="506" max="506" width="186.33203125" style="784" customWidth="1"/>
    <col min="507" max="515" width="50" style="784" customWidth="1"/>
    <col min="516" max="516" width="186.33203125" style="784" customWidth="1"/>
    <col min="517" max="525" width="50" style="784" customWidth="1"/>
    <col min="526" max="526" width="186.33203125" style="784" customWidth="1"/>
    <col min="527" max="527" width="49.83203125" style="784" customWidth="1"/>
    <col min="528" max="528" width="44.83203125" style="784" customWidth="1"/>
    <col min="529" max="529" width="49.83203125" style="784" customWidth="1"/>
    <col min="530" max="530" width="50" style="784" customWidth="1"/>
    <col min="531" max="531" width="45" style="784" customWidth="1"/>
    <col min="532" max="533" width="50" style="784" customWidth="1"/>
    <col min="534" max="534" width="45" style="784" customWidth="1"/>
    <col min="535" max="535" width="50" style="784" customWidth="1"/>
    <col min="536" max="541" width="49.83203125" style="784" customWidth="1"/>
    <col min="542" max="542" width="37.1640625" style="784" customWidth="1"/>
    <col min="543" max="543" width="32.83203125" style="784" customWidth="1"/>
    <col min="544" max="544" width="40.83203125" style="784" customWidth="1"/>
    <col min="545" max="545" width="186.33203125" style="784" customWidth="1"/>
    <col min="546" max="761" width="9.33203125" style="784"/>
    <col min="762" max="762" width="186.33203125" style="784" customWidth="1"/>
    <col min="763" max="771" width="50" style="784" customWidth="1"/>
    <col min="772" max="772" width="186.33203125" style="784" customWidth="1"/>
    <col min="773" max="781" width="50" style="784" customWidth="1"/>
    <col min="782" max="782" width="186.33203125" style="784" customWidth="1"/>
    <col min="783" max="783" width="49.83203125" style="784" customWidth="1"/>
    <col min="784" max="784" width="44.83203125" style="784" customWidth="1"/>
    <col min="785" max="785" width="49.83203125" style="784" customWidth="1"/>
    <col min="786" max="786" width="50" style="784" customWidth="1"/>
    <col min="787" max="787" width="45" style="784" customWidth="1"/>
    <col min="788" max="789" width="50" style="784" customWidth="1"/>
    <col min="790" max="790" width="45" style="784" customWidth="1"/>
    <col min="791" max="791" width="50" style="784" customWidth="1"/>
    <col min="792" max="797" width="49.83203125" style="784" customWidth="1"/>
    <col min="798" max="798" width="37.1640625" style="784" customWidth="1"/>
    <col min="799" max="799" width="32.83203125" style="784" customWidth="1"/>
    <col min="800" max="800" width="40.83203125" style="784" customWidth="1"/>
    <col min="801" max="801" width="186.33203125" style="784" customWidth="1"/>
    <col min="802" max="1017" width="9.33203125" style="784"/>
    <col min="1018" max="1018" width="186.33203125" style="784" customWidth="1"/>
    <col min="1019" max="1027" width="50" style="784" customWidth="1"/>
    <col min="1028" max="1028" width="186.33203125" style="784" customWidth="1"/>
    <col min="1029" max="1037" width="50" style="784" customWidth="1"/>
    <col min="1038" max="1038" width="186.33203125" style="784" customWidth="1"/>
    <col min="1039" max="1039" width="49.83203125" style="784" customWidth="1"/>
    <col min="1040" max="1040" width="44.83203125" style="784" customWidth="1"/>
    <col min="1041" max="1041" width="49.83203125" style="784" customWidth="1"/>
    <col min="1042" max="1042" width="50" style="784" customWidth="1"/>
    <col min="1043" max="1043" width="45" style="784" customWidth="1"/>
    <col min="1044" max="1045" width="50" style="784" customWidth="1"/>
    <col min="1046" max="1046" width="45" style="784" customWidth="1"/>
    <col min="1047" max="1047" width="50" style="784" customWidth="1"/>
    <col min="1048" max="1053" width="49.83203125" style="784" customWidth="1"/>
    <col min="1054" max="1054" width="37.1640625" style="784" customWidth="1"/>
    <col min="1055" max="1055" width="32.83203125" style="784" customWidth="1"/>
    <col min="1056" max="1056" width="40.83203125" style="784" customWidth="1"/>
    <col min="1057" max="1057" width="186.33203125" style="784" customWidth="1"/>
    <col min="1058" max="1273" width="9.33203125" style="784"/>
    <col min="1274" max="1274" width="186.33203125" style="784" customWidth="1"/>
    <col min="1275" max="1283" width="50" style="784" customWidth="1"/>
    <col min="1284" max="1284" width="186.33203125" style="784" customWidth="1"/>
    <col min="1285" max="1293" width="50" style="784" customWidth="1"/>
    <col min="1294" max="1294" width="186.33203125" style="784" customWidth="1"/>
    <col min="1295" max="1295" width="49.83203125" style="784" customWidth="1"/>
    <col min="1296" max="1296" width="44.83203125" style="784" customWidth="1"/>
    <col min="1297" max="1297" width="49.83203125" style="784" customWidth="1"/>
    <col min="1298" max="1298" width="50" style="784" customWidth="1"/>
    <col min="1299" max="1299" width="45" style="784" customWidth="1"/>
    <col min="1300" max="1301" width="50" style="784" customWidth="1"/>
    <col min="1302" max="1302" width="45" style="784" customWidth="1"/>
    <col min="1303" max="1303" width="50" style="784" customWidth="1"/>
    <col min="1304" max="1309" width="49.83203125" style="784" customWidth="1"/>
    <col min="1310" max="1310" width="37.1640625" style="784" customWidth="1"/>
    <col min="1311" max="1311" width="32.83203125" style="784" customWidth="1"/>
    <col min="1312" max="1312" width="40.83203125" style="784" customWidth="1"/>
    <col min="1313" max="1313" width="186.33203125" style="784" customWidth="1"/>
    <col min="1314" max="1529" width="9.33203125" style="784"/>
    <col min="1530" max="1530" width="186.33203125" style="784" customWidth="1"/>
    <col min="1531" max="1539" width="50" style="784" customWidth="1"/>
    <col min="1540" max="1540" width="186.33203125" style="784" customWidth="1"/>
    <col min="1541" max="1549" width="50" style="784" customWidth="1"/>
    <col min="1550" max="1550" width="186.33203125" style="784" customWidth="1"/>
    <col min="1551" max="1551" width="49.83203125" style="784" customWidth="1"/>
    <col min="1552" max="1552" width="44.83203125" style="784" customWidth="1"/>
    <col min="1553" max="1553" width="49.83203125" style="784" customWidth="1"/>
    <col min="1554" max="1554" width="50" style="784" customWidth="1"/>
    <col min="1555" max="1555" width="45" style="784" customWidth="1"/>
    <col min="1556" max="1557" width="50" style="784" customWidth="1"/>
    <col min="1558" max="1558" width="45" style="784" customWidth="1"/>
    <col min="1559" max="1559" width="50" style="784" customWidth="1"/>
    <col min="1560" max="1565" width="49.83203125" style="784" customWidth="1"/>
    <col min="1566" max="1566" width="37.1640625" style="784" customWidth="1"/>
    <col min="1567" max="1567" width="32.83203125" style="784" customWidth="1"/>
    <col min="1568" max="1568" width="40.83203125" style="784" customWidth="1"/>
    <col min="1569" max="1569" width="186.33203125" style="784" customWidth="1"/>
    <col min="1570" max="1785" width="9.33203125" style="784"/>
    <col min="1786" max="1786" width="186.33203125" style="784" customWidth="1"/>
    <col min="1787" max="1795" width="50" style="784" customWidth="1"/>
    <col min="1796" max="1796" width="186.33203125" style="784" customWidth="1"/>
    <col min="1797" max="1805" width="50" style="784" customWidth="1"/>
    <col min="1806" max="1806" width="186.33203125" style="784" customWidth="1"/>
    <col min="1807" max="1807" width="49.83203125" style="784" customWidth="1"/>
    <col min="1808" max="1808" width="44.83203125" style="784" customWidth="1"/>
    <col min="1809" max="1809" width="49.83203125" style="784" customWidth="1"/>
    <col min="1810" max="1810" width="50" style="784" customWidth="1"/>
    <col min="1811" max="1811" width="45" style="784" customWidth="1"/>
    <col min="1812" max="1813" width="50" style="784" customWidth="1"/>
    <col min="1814" max="1814" width="45" style="784" customWidth="1"/>
    <col min="1815" max="1815" width="50" style="784" customWidth="1"/>
    <col min="1816" max="1821" width="49.83203125" style="784" customWidth="1"/>
    <col min="1822" max="1822" width="37.1640625" style="784" customWidth="1"/>
    <col min="1823" max="1823" width="32.83203125" style="784" customWidth="1"/>
    <col min="1824" max="1824" width="40.83203125" style="784" customWidth="1"/>
    <col min="1825" max="1825" width="186.33203125" style="784" customWidth="1"/>
    <col min="1826" max="2041" width="9.33203125" style="784"/>
    <col min="2042" max="2042" width="186.33203125" style="784" customWidth="1"/>
    <col min="2043" max="2051" width="50" style="784" customWidth="1"/>
    <col min="2052" max="2052" width="186.33203125" style="784" customWidth="1"/>
    <col min="2053" max="2061" width="50" style="784" customWidth="1"/>
    <col min="2062" max="2062" width="186.33203125" style="784" customWidth="1"/>
    <col min="2063" max="2063" width="49.83203125" style="784" customWidth="1"/>
    <col min="2064" max="2064" width="44.83203125" style="784" customWidth="1"/>
    <col min="2065" max="2065" width="49.83203125" style="784" customWidth="1"/>
    <col min="2066" max="2066" width="50" style="784" customWidth="1"/>
    <col min="2067" max="2067" width="45" style="784" customWidth="1"/>
    <col min="2068" max="2069" width="50" style="784" customWidth="1"/>
    <col min="2070" max="2070" width="45" style="784" customWidth="1"/>
    <col min="2071" max="2071" width="50" style="784" customWidth="1"/>
    <col min="2072" max="2077" width="49.83203125" style="784" customWidth="1"/>
    <col min="2078" max="2078" width="37.1640625" style="784" customWidth="1"/>
    <col min="2079" max="2079" width="32.83203125" style="784" customWidth="1"/>
    <col min="2080" max="2080" width="40.83203125" style="784" customWidth="1"/>
    <col min="2081" max="2081" width="186.33203125" style="784" customWidth="1"/>
    <col min="2082" max="2297" width="9.33203125" style="784"/>
    <col min="2298" max="2298" width="186.33203125" style="784" customWidth="1"/>
    <col min="2299" max="2307" width="50" style="784" customWidth="1"/>
    <col min="2308" max="2308" width="186.33203125" style="784" customWidth="1"/>
    <col min="2309" max="2317" width="50" style="784" customWidth="1"/>
    <col min="2318" max="2318" width="186.33203125" style="784" customWidth="1"/>
    <col min="2319" max="2319" width="49.83203125" style="784" customWidth="1"/>
    <col min="2320" max="2320" width="44.83203125" style="784" customWidth="1"/>
    <col min="2321" max="2321" width="49.83203125" style="784" customWidth="1"/>
    <col min="2322" max="2322" width="50" style="784" customWidth="1"/>
    <col min="2323" max="2323" width="45" style="784" customWidth="1"/>
    <col min="2324" max="2325" width="50" style="784" customWidth="1"/>
    <col min="2326" max="2326" width="45" style="784" customWidth="1"/>
    <col min="2327" max="2327" width="50" style="784" customWidth="1"/>
    <col min="2328" max="2333" width="49.83203125" style="784" customWidth="1"/>
    <col min="2334" max="2334" width="37.1640625" style="784" customWidth="1"/>
    <col min="2335" max="2335" width="32.83203125" style="784" customWidth="1"/>
    <col min="2336" max="2336" width="40.83203125" style="784" customWidth="1"/>
    <col min="2337" max="2337" width="186.33203125" style="784" customWidth="1"/>
    <col min="2338" max="2553" width="9.33203125" style="784"/>
    <col min="2554" max="2554" width="186.33203125" style="784" customWidth="1"/>
    <col min="2555" max="2563" width="50" style="784" customWidth="1"/>
    <col min="2564" max="2564" width="186.33203125" style="784" customWidth="1"/>
    <col min="2565" max="2573" width="50" style="784" customWidth="1"/>
    <col min="2574" max="2574" width="186.33203125" style="784" customWidth="1"/>
    <col min="2575" max="2575" width="49.83203125" style="784" customWidth="1"/>
    <col min="2576" max="2576" width="44.83203125" style="784" customWidth="1"/>
    <col min="2577" max="2577" width="49.83203125" style="784" customWidth="1"/>
    <col min="2578" max="2578" width="50" style="784" customWidth="1"/>
    <col min="2579" max="2579" width="45" style="784" customWidth="1"/>
    <col min="2580" max="2581" width="50" style="784" customWidth="1"/>
    <col min="2582" max="2582" width="45" style="784" customWidth="1"/>
    <col min="2583" max="2583" width="50" style="784" customWidth="1"/>
    <col min="2584" max="2589" width="49.83203125" style="784" customWidth="1"/>
    <col min="2590" max="2590" width="37.1640625" style="784" customWidth="1"/>
    <col min="2591" max="2591" width="32.83203125" style="784" customWidth="1"/>
    <col min="2592" max="2592" width="40.83203125" style="784" customWidth="1"/>
    <col min="2593" max="2593" width="186.33203125" style="784" customWidth="1"/>
    <col min="2594" max="2809" width="9.33203125" style="784"/>
    <col min="2810" max="2810" width="186.33203125" style="784" customWidth="1"/>
    <col min="2811" max="2819" width="50" style="784" customWidth="1"/>
    <col min="2820" max="2820" width="186.33203125" style="784" customWidth="1"/>
    <col min="2821" max="2829" width="50" style="784" customWidth="1"/>
    <col min="2830" max="2830" width="186.33203125" style="784" customWidth="1"/>
    <col min="2831" max="2831" width="49.83203125" style="784" customWidth="1"/>
    <col min="2832" max="2832" width="44.83203125" style="784" customWidth="1"/>
    <col min="2833" max="2833" width="49.83203125" style="784" customWidth="1"/>
    <col min="2834" max="2834" width="50" style="784" customWidth="1"/>
    <col min="2835" max="2835" width="45" style="784" customWidth="1"/>
    <col min="2836" max="2837" width="50" style="784" customWidth="1"/>
    <col min="2838" max="2838" width="45" style="784" customWidth="1"/>
    <col min="2839" max="2839" width="50" style="784" customWidth="1"/>
    <col min="2840" max="2845" width="49.83203125" style="784" customWidth="1"/>
    <col min="2846" max="2846" width="37.1640625" style="784" customWidth="1"/>
    <col min="2847" max="2847" width="32.83203125" style="784" customWidth="1"/>
    <col min="2848" max="2848" width="40.83203125" style="784" customWidth="1"/>
    <col min="2849" max="2849" width="186.33203125" style="784" customWidth="1"/>
    <col min="2850" max="3065" width="9.33203125" style="784"/>
    <col min="3066" max="3066" width="186.33203125" style="784" customWidth="1"/>
    <col min="3067" max="3075" width="50" style="784" customWidth="1"/>
    <col min="3076" max="3076" width="186.33203125" style="784" customWidth="1"/>
    <col min="3077" max="3085" width="50" style="784" customWidth="1"/>
    <col min="3086" max="3086" width="186.33203125" style="784" customWidth="1"/>
    <col min="3087" max="3087" width="49.83203125" style="784" customWidth="1"/>
    <col min="3088" max="3088" width="44.83203125" style="784" customWidth="1"/>
    <col min="3089" max="3089" width="49.83203125" style="784" customWidth="1"/>
    <col min="3090" max="3090" width="50" style="784" customWidth="1"/>
    <col min="3091" max="3091" width="45" style="784" customWidth="1"/>
    <col min="3092" max="3093" width="50" style="784" customWidth="1"/>
    <col min="3094" max="3094" width="45" style="784" customWidth="1"/>
    <col min="3095" max="3095" width="50" style="784" customWidth="1"/>
    <col min="3096" max="3101" width="49.83203125" style="784" customWidth="1"/>
    <col min="3102" max="3102" width="37.1640625" style="784" customWidth="1"/>
    <col min="3103" max="3103" width="32.83203125" style="784" customWidth="1"/>
    <col min="3104" max="3104" width="40.83203125" style="784" customWidth="1"/>
    <col min="3105" max="3105" width="186.33203125" style="784" customWidth="1"/>
    <col min="3106" max="3321" width="9.33203125" style="784"/>
    <col min="3322" max="3322" width="186.33203125" style="784" customWidth="1"/>
    <col min="3323" max="3331" width="50" style="784" customWidth="1"/>
    <col min="3332" max="3332" width="186.33203125" style="784" customWidth="1"/>
    <col min="3333" max="3341" width="50" style="784" customWidth="1"/>
    <col min="3342" max="3342" width="186.33203125" style="784" customWidth="1"/>
    <col min="3343" max="3343" width="49.83203125" style="784" customWidth="1"/>
    <col min="3344" max="3344" width="44.83203125" style="784" customWidth="1"/>
    <col min="3345" max="3345" width="49.83203125" style="784" customWidth="1"/>
    <col min="3346" max="3346" width="50" style="784" customWidth="1"/>
    <col min="3347" max="3347" width="45" style="784" customWidth="1"/>
    <col min="3348" max="3349" width="50" style="784" customWidth="1"/>
    <col min="3350" max="3350" width="45" style="784" customWidth="1"/>
    <col min="3351" max="3351" width="50" style="784" customWidth="1"/>
    <col min="3352" max="3357" width="49.83203125" style="784" customWidth="1"/>
    <col min="3358" max="3358" width="37.1640625" style="784" customWidth="1"/>
    <col min="3359" max="3359" width="32.83203125" style="784" customWidth="1"/>
    <col min="3360" max="3360" width="40.83203125" style="784" customWidth="1"/>
    <col min="3361" max="3361" width="186.33203125" style="784" customWidth="1"/>
    <col min="3362" max="3577" width="9.33203125" style="784"/>
    <col min="3578" max="3578" width="186.33203125" style="784" customWidth="1"/>
    <col min="3579" max="3587" width="50" style="784" customWidth="1"/>
    <col min="3588" max="3588" width="186.33203125" style="784" customWidth="1"/>
    <col min="3589" max="3597" width="50" style="784" customWidth="1"/>
    <col min="3598" max="3598" width="186.33203125" style="784" customWidth="1"/>
    <col min="3599" max="3599" width="49.83203125" style="784" customWidth="1"/>
    <col min="3600" max="3600" width="44.83203125" style="784" customWidth="1"/>
    <col min="3601" max="3601" width="49.83203125" style="784" customWidth="1"/>
    <col min="3602" max="3602" width="50" style="784" customWidth="1"/>
    <col min="3603" max="3603" width="45" style="784" customWidth="1"/>
    <col min="3604" max="3605" width="50" style="784" customWidth="1"/>
    <col min="3606" max="3606" width="45" style="784" customWidth="1"/>
    <col min="3607" max="3607" width="50" style="784" customWidth="1"/>
    <col min="3608" max="3613" width="49.83203125" style="784" customWidth="1"/>
    <col min="3614" max="3614" width="37.1640625" style="784" customWidth="1"/>
    <col min="3615" max="3615" width="32.83203125" style="784" customWidth="1"/>
    <col min="3616" max="3616" width="40.83203125" style="784" customWidth="1"/>
    <col min="3617" max="3617" width="186.33203125" style="784" customWidth="1"/>
    <col min="3618" max="3833" width="9.33203125" style="784"/>
    <col min="3834" max="3834" width="186.33203125" style="784" customWidth="1"/>
    <col min="3835" max="3843" width="50" style="784" customWidth="1"/>
    <col min="3844" max="3844" width="186.33203125" style="784" customWidth="1"/>
    <col min="3845" max="3853" width="50" style="784" customWidth="1"/>
    <col min="3854" max="3854" width="186.33203125" style="784" customWidth="1"/>
    <col min="3855" max="3855" width="49.83203125" style="784" customWidth="1"/>
    <col min="3856" max="3856" width="44.83203125" style="784" customWidth="1"/>
    <col min="3857" max="3857" width="49.83203125" style="784" customWidth="1"/>
    <col min="3858" max="3858" width="50" style="784" customWidth="1"/>
    <col min="3859" max="3859" width="45" style="784" customWidth="1"/>
    <col min="3860" max="3861" width="50" style="784" customWidth="1"/>
    <col min="3862" max="3862" width="45" style="784" customWidth="1"/>
    <col min="3863" max="3863" width="50" style="784" customWidth="1"/>
    <col min="3864" max="3869" width="49.83203125" style="784" customWidth="1"/>
    <col min="3870" max="3870" width="37.1640625" style="784" customWidth="1"/>
    <col min="3871" max="3871" width="32.83203125" style="784" customWidth="1"/>
    <col min="3872" max="3872" width="40.83203125" style="784" customWidth="1"/>
    <col min="3873" max="3873" width="186.33203125" style="784" customWidth="1"/>
    <col min="3874" max="4089" width="9.33203125" style="784"/>
    <col min="4090" max="4090" width="186.33203125" style="784" customWidth="1"/>
    <col min="4091" max="4099" width="50" style="784" customWidth="1"/>
    <col min="4100" max="4100" width="186.33203125" style="784" customWidth="1"/>
    <col min="4101" max="4109" width="50" style="784" customWidth="1"/>
    <col min="4110" max="4110" width="186.33203125" style="784" customWidth="1"/>
    <col min="4111" max="4111" width="49.83203125" style="784" customWidth="1"/>
    <col min="4112" max="4112" width="44.83203125" style="784" customWidth="1"/>
    <col min="4113" max="4113" width="49.83203125" style="784" customWidth="1"/>
    <col min="4114" max="4114" width="50" style="784" customWidth="1"/>
    <col min="4115" max="4115" width="45" style="784" customWidth="1"/>
    <col min="4116" max="4117" width="50" style="784" customWidth="1"/>
    <col min="4118" max="4118" width="45" style="784" customWidth="1"/>
    <col min="4119" max="4119" width="50" style="784" customWidth="1"/>
    <col min="4120" max="4125" width="49.83203125" style="784" customWidth="1"/>
    <col min="4126" max="4126" width="37.1640625" style="784" customWidth="1"/>
    <col min="4127" max="4127" width="32.83203125" style="784" customWidth="1"/>
    <col min="4128" max="4128" width="40.83203125" style="784" customWidth="1"/>
    <col min="4129" max="4129" width="186.33203125" style="784" customWidth="1"/>
    <col min="4130" max="4345" width="9.33203125" style="784"/>
    <col min="4346" max="4346" width="186.33203125" style="784" customWidth="1"/>
    <col min="4347" max="4355" width="50" style="784" customWidth="1"/>
    <col min="4356" max="4356" width="186.33203125" style="784" customWidth="1"/>
    <col min="4357" max="4365" width="50" style="784" customWidth="1"/>
    <col min="4366" max="4366" width="186.33203125" style="784" customWidth="1"/>
    <col min="4367" max="4367" width="49.83203125" style="784" customWidth="1"/>
    <col min="4368" max="4368" width="44.83203125" style="784" customWidth="1"/>
    <col min="4369" max="4369" width="49.83203125" style="784" customWidth="1"/>
    <col min="4370" max="4370" width="50" style="784" customWidth="1"/>
    <col min="4371" max="4371" width="45" style="784" customWidth="1"/>
    <col min="4372" max="4373" width="50" style="784" customWidth="1"/>
    <col min="4374" max="4374" width="45" style="784" customWidth="1"/>
    <col min="4375" max="4375" width="50" style="784" customWidth="1"/>
    <col min="4376" max="4381" width="49.83203125" style="784" customWidth="1"/>
    <col min="4382" max="4382" width="37.1640625" style="784" customWidth="1"/>
    <col min="4383" max="4383" width="32.83203125" style="784" customWidth="1"/>
    <col min="4384" max="4384" width="40.83203125" style="784" customWidth="1"/>
    <col min="4385" max="4385" width="186.33203125" style="784" customWidth="1"/>
    <col min="4386" max="4601" width="9.33203125" style="784"/>
    <col min="4602" max="4602" width="186.33203125" style="784" customWidth="1"/>
    <col min="4603" max="4611" width="50" style="784" customWidth="1"/>
    <col min="4612" max="4612" width="186.33203125" style="784" customWidth="1"/>
    <col min="4613" max="4621" width="50" style="784" customWidth="1"/>
    <col min="4622" max="4622" width="186.33203125" style="784" customWidth="1"/>
    <col min="4623" max="4623" width="49.83203125" style="784" customWidth="1"/>
    <col min="4624" max="4624" width="44.83203125" style="784" customWidth="1"/>
    <col min="4625" max="4625" width="49.83203125" style="784" customWidth="1"/>
    <col min="4626" max="4626" width="50" style="784" customWidth="1"/>
    <col min="4627" max="4627" width="45" style="784" customWidth="1"/>
    <col min="4628" max="4629" width="50" style="784" customWidth="1"/>
    <col min="4630" max="4630" width="45" style="784" customWidth="1"/>
    <col min="4631" max="4631" width="50" style="784" customWidth="1"/>
    <col min="4632" max="4637" width="49.83203125" style="784" customWidth="1"/>
    <col min="4638" max="4638" width="37.1640625" style="784" customWidth="1"/>
    <col min="4639" max="4639" width="32.83203125" style="784" customWidth="1"/>
    <col min="4640" max="4640" width="40.83203125" style="784" customWidth="1"/>
    <col min="4641" max="4641" width="186.33203125" style="784" customWidth="1"/>
    <col min="4642" max="4857" width="9.33203125" style="784"/>
    <col min="4858" max="4858" width="186.33203125" style="784" customWidth="1"/>
    <col min="4859" max="4867" width="50" style="784" customWidth="1"/>
    <col min="4868" max="4868" width="186.33203125" style="784" customWidth="1"/>
    <col min="4869" max="4877" width="50" style="784" customWidth="1"/>
    <col min="4878" max="4878" width="186.33203125" style="784" customWidth="1"/>
    <col min="4879" max="4879" width="49.83203125" style="784" customWidth="1"/>
    <col min="4880" max="4880" width="44.83203125" style="784" customWidth="1"/>
    <col min="4881" max="4881" width="49.83203125" style="784" customWidth="1"/>
    <col min="4882" max="4882" width="50" style="784" customWidth="1"/>
    <col min="4883" max="4883" width="45" style="784" customWidth="1"/>
    <col min="4884" max="4885" width="50" style="784" customWidth="1"/>
    <col min="4886" max="4886" width="45" style="784" customWidth="1"/>
    <col min="4887" max="4887" width="50" style="784" customWidth="1"/>
    <col min="4888" max="4893" width="49.83203125" style="784" customWidth="1"/>
    <col min="4894" max="4894" width="37.1640625" style="784" customWidth="1"/>
    <col min="4895" max="4895" width="32.83203125" style="784" customWidth="1"/>
    <col min="4896" max="4896" width="40.83203125" style="784" customWidth="1"/>
    <col min="4897" max="4897" width="186.33203125" style="784" customWidth="1"/>
    <col min="4898" max="5113" width="9.33203125" style="784"/>
    <col min="5114" max="5114" width="186.33203125" style="784" customWidth="1"/>
    <col min="5115" max="5123" width="50" style="784" customWidth="1"/>
    <col min="5124" max="5124" width="186.33203125" style="784" customWidth="1"/>
    <col min="5125" max="5133" width="50" style="784" customWidth="1"/>
    <col min="5134" max="5134" width="186.33203125" style="784" customWidth="1"/>
    <col min="5135" max="5135" width="49.83203125" style="784" customWidth="1"/>
    <col min="5136" max="5136" width="44.83203125" style="784" customWidth="1"/>
    <col min="5137" max="5137" width="49.83203125" style="784" customWidth="1"/>
    <col min="5138" max="5138" width="50" style="784" customWidth="1"/>
    <col min="5139" max="5139" width="45" style="784" customWidth="1"/>
    <col min="5140" max="5141" width="50" style="784" customWidth="1"/>
    <col min="5142" max="5142" width="45" style="784" customWidth="1"/>
    <col min="5143" max="5143" width="50" style="784" customWidth="1"/>
    <col min="5144" max="5149" width="49.83203125" style="784" customWidth="1"/>
    <col min="5150" max="5150" width="37.1640625" style="784" customWidth="1"/>
    <col min="5151" max="5151" width="32.83203125" style="784" customWidth="1"/>
    <col min="5152" max="5152" width="40.83203125" style="784" customWidth="1"/>
    <col min="5153" max="5153" width="186.33203125" style="784" customWidth="1"/>
    <col min="5154" max="5369" width="9.33203125" style="784"/>
    <col min="5370" max="5370" width="186.33203125" style="784" customWidth="1"/>
    <col min="5371" max="5379" width="50" style="784" customWidth="1"/>
    <col min="5380" max="5380" width="186.33203125" style="784" customWidth="1"/>
    <col min="5381" max="5389" width="50" style="784" customWidth="1"/>
    <col min="5390" max="5390" width="186.33203125" style="784" customWidth="1"/>
    <col min="5391" max="5391" width="49.83203125" style="784" customWidth="1"/>
    <col min="5392" max="5392" width="44.83203125" style="784" customWidth="1"/>
    <col min="5393" max="5393" width="49.83203125" style="784" customWidth="1"/>
    <col min="5394" max="5394" width="50" style="784" customWidth="1"/>
    <col min="5395" max="5395" width="45" style="784" customWidth="1"/>
    <col min="5396" max="5397" width="50" style="784" customWidth="1"/>
    <col min="5398" max="5398" width="45" style="784" customWidth="1"/>
    <col min="5399" max="5399" width="50" style="784" customWidth="1"/>
    <col min="5400" max="5405" width="49.83203125" style="784" customWidth="1"/>
    <col min="5406" max="5406" width="37.1640625" style="784" customWidth="1"/>
    <col min="5407" max="5407" width="32.83203125" style="784" customWidth="1"/>
    <col min="5408" max="5408" width="40.83203125" style="784" customWidth="1"/>
    <col min="5409" max="5409" width="186.33203125" style="784" customWidth="1"/>
    <col min="5410" max="5625" width="9.33203125" style="784"/>
    <col min="5626" max="5626" width="186.33203125" style="784" customWidth="1"/>
    <col min="5627" max="5635" width="50" style="784" customWidth="1"/>
    <col min="5636" max="5636" width="186.33203125" style="784" customWidth="1"/>
    <col min="5637" max="5645" width="50" style="784" customWidth="1"/>
    <col min="5646" max="5646" width="186.33203125" style="784" customWidth="1"/>
    <col min="5647" max="5647" width="49.83203125" style="784" customWidth="1"/>
    <col min="5648" max="5648" width="44.83203125" style="784" customWidth="1"/>
    <col min="5649" max="5649" width="49.83203125" style="784" customWidth="1"/>
    <col min="5650" max="5650" width="50" style="784" customWidth="1"/>
    <col min="5651" max="5651" width="45" style="784" customWidth="1"/>
    <col min="5652" max="5653" width="50" style="784" customWidth="1"/>
    <col min="5654" max="5654" width="45" style="784" customWidth="1"/>
    <col min="5655" max="5655" width="50" style="784" customWidth="1"/>
    <col min="5656" max="5661" width="49.83203125" style="784" customWidth="1"/>
    <col min="5662" max="5662" width="37.1640625" style="784" customWidth="1"/>
    <col min="5663" max="5663" width="32.83203125" style="784" customWidth="1"/>
    <col min="5664" max="5664" width="40.83203125" style="784" customWidth="1"/>
    <col min="5665" max="5665" width="186.33203125" style="784" customWidth="1"/>
    <col min="5666" max="5881" width="9.33203125" style="784"/>
    <col min="5882" max="5882" width="186.33203125" style="784" customWidth="1"/>
    <col min="5883" max="5891" width="50" style="784" customWidth="1"/>
    <col min="5892" max="5892" width="186.33203125" style="784" customWidth="1"/>
    <col min="5893" max="5901" width="50" style="784" customWidth="1"/>
    <col min="5902" max="5902" width="186.33203125" style="784" customWidth="1"/>
    <col min="5903" max="5903" width="49.83203125" style="784" customWidth="1"/>
    <col min="5904" max="5904" width="44.83203125" style="784" customWidth="1"/>
    <col min="5905" max="5905" width="49.83203125" style="784" customWidth="1"/>
    <col min="5906" max="5906" width="50" style="784" customWidth="1"/>
    <col min="5907" max="5907" width="45" style="784" customWidth="1"/>
    <col min="5908" max="5909" width="50" style="784" customWidth="1"/>
    <col min="5910" max="5910" width="45" style="784" customWidth="1"/>
    <col min="5911" max="5911" width="50" style="784" customWidth="1"/>
    <col min="5912" max="5917" width="49.83203125" style="784" customWidth="1"/>
    <col min="5918" max="5918" width="37.1640625" style="784" customWidth="1"/>
    <col min="5919" max="5919" width="32.83203125" style="784" customWidth="1"/>
    <col min="5920" max="5920" width="40.83203125" style="784" customWidth="1"/>
    <col min="5921" max="5921" width="186.33203125" style="784" customWidth="1"/>
    <col min="5922" max="6137" width="9.33203125" style="784"/>
    <col min="6138" max="6138" width="186.33203125" style="784" customWidth="1"/>
    <col min="6139" max="6147" width="50" style="784" customWidth="1"/>
    <col min="6148" max="6148" width="186.33203125" style="784" customWidth="1"/>
    <col min="6149" max="6157" width="50" style="784" customWidth="1"/>
    <col min="6158" max="6158" width="186.33203125" style="784" customWidth="1"/>
    <col min="6159" max="6159" width="49.83203125" style="784" customWidth="1"/>
    <col min="6160" max="6160" width="44.83203125" style="784" customWidth="1"/>
    <col min="6161" max="6161" width="49.83203125" style="784" customWidth="1"/>
    <col min="6162" max="6162" width="50" style="784" customWidth="1"/>
    <col min="6163" max="6163" width="45" style="784" customWidth="1"/>
    <col min="6164" max="6165" width="50" style="784" customWidth="1"/>
    <col min="6166" max="6166" width="45" style="784" customWidth="1"/>
    <col min="6167" max="6167" width="50" style="784" customWidth="1"/>
    <col min="6168" max="6173" width="49.83203125" style="784" customWidth="1"/>
    <col min="6174" max="6174" width="37.1640625" style="784" customWidth="1"/>
    <col min="6175" max="6175" width="32.83203125" style="784" customWidth="1"/>
    <col min="6176" max="6176" width="40.83203125" style="784" customWidth="1"/>
    <col min="6177" max="6177" width="186.33203125" style="784" customWidth="1"/>
    <col min="6178" max="6393" width="9.33203125" style="784"/>
    <col min="6394" max="6394" width="186.33203125" style="784" customWidth="1"/>
    <col min="6395" max="6403" width="50" style="784" customWidth="1"/>
    <col min="6404" max="6404" width="186.33203125" style="784" customWidth="1"/>
    <col min="6405" max="6413" width="50" style="784" customWidth="1"/>
    <col min="6414" max="6414" width="186.33203125" style="784" customWidth="1"/>
    <col min="6415" max="6415" width="49.83203125" style="784" customWidth="1"/>
    <col min="6416" max="6416" width="44.83203125" style="784" customWidth="1"/>
    <col min="6417" max="6417" width="49.83203125" style="784" customWidth="1"/>
    <col min="6418" max="6418" width="50" style="784" customWidth="1"/>
    <col min="6419" max="6419" width="45" style="784" customWidth="1"/>
    <col min="6420" max="6421" width="50" style="784" customWidth="1"/>
    <col min="6422" max="6422" width="45" style="784" customWidth="1"/>
    <col min="6423" max="6423" width="50" style="784" customWidth="1"/>
    <col min="6424" max="6429" width="49.83203125" style="784" customWidth="1"/>
    <col min="6430" max="6430" width="37.1640625" style="784" customWidth="1"/>
    <col min="6431" max="6431" width="32.83203125" style="784" customWidth="1"/>
    <col min="6432" max="6432" width="40.83203125" style="784" customWidth="1"/>
    <col min="6433" max="6433" width="186.33203125" style="784" customWidth="1"/>
    <col min="6434" max="6649" width="9.33203125" style="784"/>
    <col min="6650" max="6650" width="186.33203125" style="784" customWidth="1"/>
    <col min="6651" max="6659" width="50" style="784" customWidth="1"/>
    <col min="6660" max="6660" width="186.33203125" style="784" customWidth="1"/>
    <col min="6661" max="6669" width="50" style="784" customWidth="1"/>
    <col min="6670" max="6670" width="186.33203125" style="784" customWidth="1"/>
    <col min="6671" max="6671" width="49.83203125" style="784" customWidth="1"/>
    <col min="6672" max="6672" width="44.83203125" style="784" customWidth="1"/>
    <col min="6673" max="6673" width="49.83203125" style="784" customWidth="1"/>
    <col min="6674" max="6674" width="50" style="784" customWidth="1"/>
    <col min="6675" max="6675" width="45" style="784" customWidth="1"/>
    <col min="6676" max="6677" width="50" style="784" customWidth="1"/>
    <col min="6678" max="6678" width="45" style="784" customWidth="1"/>
    <col min="6679" max="6679" width="50" style="784" customWidth="1"/>
    <col min="6680" max="6685" width="49.83203125" style="784" customWidth="1"/>
    <col min="6686" max="6686" width="37.1640625" style="784" customWidth="1"/>
    <col min="6687" max="6687" width="32.83203125" style="784" customWidth="1"/>
    <col min="6688" max="6688" width="40.83203125" style="784" customWidth="1"/>
    <col min="6689" max="6689" width="186.33203125" style="784" customWidth="1"/>
    <col min="6690" max="6905" width="9.33203125" style="784"/>
    <col min="6906" max="6906" width="186.33203125" style="784" customWidth="1"/>
    <col min="6907" max="6915" width="50" style="784" customWidth="1"/>
    <col min="6916" max="6916" width="186.33203125" style="784" customWidth="1"/>
    <col min="6917" max="6925" width="50" style="784" customWidth="1"/>
    <col min="6926" max="6926" width="186.33203125" style="784" customWidth="1"/>
    <col min="6927" max="6927" width="49.83203125" style="784" customWidth="1"/>
    <col min="6928" max="6928" width="44.83203125" style="784" customWidth="1"/>
    <col min="6929" max="6929" width="49.83203125" style="784" customWidth="1"/>
    <col min="6930" max="6930" width="50" style="784" customWidth="1"/>
    <col min="6931" max="6931" width="45" style="784" customWidth="1"/>
    <col min="6932" max="6933" width="50" style="784" customWidth="1"/>
    <col min="6934" max="6934" width="45" style="784" customWidth="1"/>
    <col min="6935" max="6935" width="50" style="784" customWidth="1"/>
    <col min="6936" max="6941" width="49.83203125" style="784" customWidth="1"/>
    <col min="6942" max="6942" width="37.1640625" style="784" customWidth="1"/>
    <col min="6943" max="6943" width="32.83203125" style="784" customWidth="1"/>
    <col min="6944" max="6944" width="40.83203125" style="784" customWidth="1"/>
    <col min="6945" max="6945" width="186.33203125" style="784" customWidth="1"/>
    <col min="6946" max="7161" width="9.33203125" style="784"/>
    <col min="7162" max="7162" width="186.33203125" style="784" customWidth="1"/>
    <col min="7163" max="7171" width="50" style="784" customWidth="1"/>
    <col min="7172" max="7172" width="186.33203125" style="784" customWidth="1"/>
    <col min="7173" max="7181" width="50" style="784" customWidth="1"/>
    <col min="7182" max="7182" width="186.33203125" style="784" customWidth="1"/>
    <col min="7183" max="7183" width="49.83203125" style="784" customWidth="1"/>
    <col min="7184" max="7184" width="44.83203125" style="784" customWidth="1"/>
    <col min="7185" max="7185" width="49.83203125" style="784" customWidth="1"/>
    <col min="7186" max="7186" width="50" style="784" customWidth="1"/>
    <col min="7187" max="7187" width="45" style="784" customWidth="1"/>
    <col min="7188" max="7189" width="50" style="784" customWidth="1"/>
    <col min="7190" max="7190" width="45" style="784" customWidth="1"/>
    <col min="7191" max="7191" width="50" style="784" customWidth="1"/>
    <col min="7192" max="7197" width="49.83203125" style="784" customWidth="1"/>
    <col min="7198" max="7198" width="37.1640625" style="784" customWidth="1"/>
    <col min="7199" max="7199" width="32.83203125" style="784" customWidth="1"/>
    <col min="7200" max="7200" width="40.83203125" style="784" customWidth="1"/>
    <col min="7201" max="7201" width="186.33203125" style="784" customWidth="1"/>
    <col min="7202" max="7417" width="9.33203125" style="784"/>
    <col min="7418" max="7418" width="186.33203125" style="784" customWidth="1"/>
    <col min="7419" max="7427" width="50" style="784" customWidth="1"/>
    <col min="7428" max="7428" width="186.33203125" style="784" customWidth="1"/>
    <col min="7429" max="7437" width="50" style="784" customWidth="1"/>
    <col min="7438" max="7438" width="186.33203125" style="784" customWidth="1"/>
    <col min="7439" max="7439" width="49.83203125" style="784" customWidth="1"/>
    <col min="7440" max="7440" width="44.83203125" style="784" customWidth="1"/>
    <col min="7441" max="7441" width="49.83203125" style="784" customWidth="1"/>
    <col min="7442" max="7442" width="50" style="784" customWidth="1"/>
    <col min="7443" max="7443" width="45" style="784" customWidth="1"/>
    <col min="7444" max="7445" width="50" style="784" customWidth="1"/>
    <col min="7446" max="7446" width="45" style="784" customWidth="1"/>
    <col min="7447" max="7447" width="50" style="784" customWidth="1"/>
    <col min="7448" max="7453" width="49.83203125" style="784" customWidth="1"/>
    <col min="7454" max="7454" width="37.1640625" style="784" customWidth="1"/>
    <col min="7455" max="7455" width="32.83203125" style="784" customWidth="1"/>
    <col min="7456" max="7456" width="40.83203125" style="784" customWidth="1"/>
    <col min="7457" max="7457" width="186.33203125" style="784" customWidth="1"/>
    <col min="7458" max="7673" width="9.33203125" style="784"/>
    <col min="7674" max="7674" width="186.33203125" style="784" customWidth="1"/>
    <col min="7675" max="7683" width="50" style="784" customWidth="1"/>
    <col min="7684" max="7684" width="186.33203125" style="784" customWidth="1"/>
    <col min="7685" max="7693" width="50" style="784" customWidth="1"/>
    <col min="7694" max="7694" width="186.33203125" style="784" customWidth="1"/>
    <col min="7695" max="7695" width="49.83203125" style="784" customWidth="1"/>
    <col min="7696" max="7696" width="44.83203125" style="784" customWidth="1"/>
    <col min="7697" max="7697" width="49.83203125" style="784" customWidth="1"/>
    <col min="7698" max="7698" width="50" style="784" customWidth="1"/>
    <col min="7699" max="7699" width="45" style="784" customWidth="1"/>
    <col min="7700" max="7701" width="50" style="784" customWidth="1"/>
    <col min="7702" max="7702" width="45" style="784" customWidth="1"/>
    <col min="7703" max="7703" width="50" style="784" customWidth="1"/>
    <col min="7704" max="7709" width="49.83203125" style="784" customWidth="1"/>
    <col min="7710" max="7710" width="37.1640625" style="784" customWidth="1"/>
    <col min="7711" max="7711" width="32.83203125" style="784" customWidth="1"/>
    <col min="7712" max="7712" width="40.83203125" style="784" customWidth="1"/>
    <col min="7713" max="7713" width="186.33203125" style="784" customWidth="1"/>
    <col min="7714" max="7929" width="9.33203125" style="784"/>
    <col min="7930" max="7930" width="186.33203125" style="784" customWidth="1"/>
    <col min="7931" max="7939" width="50" style="784" customWidth="1"/>
    <col min="7940" max="7940" width="186.33203125" style="784" customWidth="1"/>
    <col min="7941" max="7949" width="50" style="784" customWidth="1"/>
    <col min="7950" max="7950" width="186.33203125" style="784" customWidth="1"/>
    <col min="7951" max="7951" width="49.83203125" style="784" customWidth="1"/>
    <col min="7952" max="7952" width="44.83203125" style="784" customWidth="1"/>
    <col min="7953" max="7953" width="49.83203125" style="784" customWidth="1"/>
    <col min="7954" max="7954" width="50" style="784" customWidth="1"/>
    <col min="7955" max="7955" width="45" style="784" customWidth="1"/>
    <col min="7956" max="7957" width="50" style="784" customWidth="1"/>
    <col min="7958" max="7958" width="45" style="784" customWidth="1"/>
    <col min="7959" max="7959" width="50" style="784" customWidth="1"/>
    <col min="7960" max="7965" width="49.83203125" style="784" customWidth="1"/>
    <col min="7966" max="7966" width="37.1640625" style="784" customWidth="1"/>
    <col min="7967" max="7967" width="32.83203125" style="784" customWidth="1"/>
    <col min="7968" max="7968" width="40.83203125" style="784" customWidth="1"/>
    <col min="7969" max="7969" width="186.33203125" style="784" customWidth="1"/>
    <col min="7970" max="8185" width="9.33203125" style="784"/>
    <col min="8186" max="8186" width="186.33203125" style="784" customWidth="1"/>
    <col min="8187" max="8195" width="50" style="784" customWidth="1"/>
    <col min="8196" max="8196" width="186.33203125" style="784" customWidth="1"/>
    <col min="8197" max="8205" width="50" style="784" customWidth="1"/>
    <col min="8206" max="8206" width="186.33203125" style="784" customWidth="1"/>
    <col min="8207" max="8207" width="49.83203125" style="784" customWidth="1"/>
    <col min="8208" max="8208" width="44.83203125" style="784" customWidth="1"/>
    <col min="8209" max="8209" width="49.83203125" style="784" customWidth="1"/>
    <col min="8210" max="8210" width="50" style="784" customWidth="1"/>
    <col min="8211" max="8211" width="45" style="784" customWidth="1"/>
    <col min="8212" max="8213" width="50" style="784" customWidth="1"/>
    <col min="8214" max="8214" width="45" style="784" customWidth="1"/>
    <col min="8215" max="8215" width="50" style="784" customWidth="1"/>
    <col min="8216" max="8221" width="49.83203125" style="784" customWidth="1"/>
    <col min="8222" max="8222" width="37.1640625" style="784" customWidth="1"/>
    <col min="8223" max="8223" width="32.83203125" style="784" customWidth="1"/>
    <col min="8224" max="8224" width="40.83203125" style="784" customWidth="1"/>
    <col min="8225" max="8225" width="186.33203125" style="784" customWidth="1"/>
    <col min="8226" max="8441" width="9.33203125" style="784"/>
    <col min="8442" max="8442" width="186.33203125" style="784" customWidth="1"/>
    <col min="8443" max="8451" width="50" style="784" customWidth="1"/>
    <col min="8452" max="8452" width="186.33203125" style="784" customWidth="1"/>
    <col min="8453" max="8461" width="50" style="784" customWidth="1"/>
    <col min="8462" max="8462" width="186.33203125" style="784" customWidth="1"/>
    <col min="8463" max="8463" width="49.83203125" style="784" customWidth="1"/>
    <col min="8464" max="8464" width="44.83203125" style="784" customWidth="1"/>
    <col min="8465" max="8465" width="49.83203125" style="784" customWidth="1"/>
    <col min="8466" max="8466" width="50" style="784" customWidth="1"/>
    <col min="8467" max="8467" width="45" style="784" customWidth="1"/>
    <col min="8468" max="8469" width="50" style="784" customWidth="1"/>
    <col min="8470" max="8470" width="45" style="784" customWidth="1"/>
    <col min="8471" max="8471" width="50" style="784" customWidth="1"/>
    <col min="8472" max="8477" width="49.83203125" style="784" customWidth="1"/>
    <col min="8478" max="8478" width="37.1640625" style="784" customWidth="1"/>
    <col min="8479" max="8479" width="32.83203125" style="784" customWidth="1"/>
    <col min="8480" max="8480" width="40.83203125" style="784" customWidth="1"/>
    <col min="8481" max="8481" width="186.33203125" style="784" customWidth="1"/>
    <col min="8482" max="8697" width="9.33203125" style="784"/>
    <col min="8698" max="8698" width="186.33203125" style="784" customWidth="1"/>
    <col min="8699" max="8707" width="50" style="784" customWidth="1"/>
    <col min="8708" max="8708" width="186.33203125" style="784" customWidth="1"/>
    <col min="8709" max="8717" width="50" style="784" customWidth="1"/>
    <col min="8718" max="8718" width="186.33203125" style="784" customWidth="1"/>
    <col min="8719" max="8719" width="49.83203125" style="784" customWidth="1"/>
    <col min="8720" max="8720" width="44.83203125" style="784" customWidth="1"/>
    <col min="8721" max="8721" width="49.83203125" style="784" customWidth="1"/>
    <col min="8722" max="8722" width="50" style="784" customWidth="1"/>
    <col min="8723" max="8723" width="45" style="784" customWidth="1"/>
    <col min="8724" max="8725" width="50" style="784" customWidth="1"/>
    <col min="8726" max="8726" width="45" style="784" customWidth="1"/>
    <col min="8727" max="8727" width="50" style="784" customWidth="1"/>
    <col min="8728" max="8733" width="49.83203125" style="784" customWidth="1"/>
    <col min="8734" max="8734" width="37.1640625" style="784" customWidth="1"/>
    <col min="8735" max="8735" width="32.83203125" style="784" customWidth="1"/>
    <col min="8736" max="8736" width="40.83203125" style="784" customWidth="1"/>
    <col min="8737" max="8737" width="186.33203125" style="784" customWidth="1"/>
    <col min="8738" max="8953" width="9.33203125" style="784"/>
    <col min="8954" max="8954" width="186.33203125" style="784" customWidth="1"/>
    <col min="8955" max="8963" width="50" style="784" customWidth="1"/>
    <col min="8964" max="8964" width="186.33203125" style="784" customWidth="1"/>
    <col min="8965" max="8973" width="50" style="784" customWidth="1"/>
    <col min="8974" max="8974" width="186.33203125" style="784" customWidth="1"/>
    <col min="8975" max="8975" width="49.83203125" style="784" customWidth="1"/>
    <col min="8976" max="8976" width="44.83203125" style="784" customWidth="1"/>
    <col min="8977" max="8977" width="49.83203125" style="784" customWidth="1"/>
    <col min="8978" max="8978" width="50" style="784" customWidth="1"/>
    <col min="8979" max="8979" width="45" style="784" customWidth="1"/>
    <col min="8980" max="8981" width="50" style="784" customWidth="1"/>
    <col min="8982" max="8982" width="45" style="784" customWidth="1"/>
    <col min="8983" max="8983" width="50" style="784" customWidth="1"/>
    <col min="8984" max="8989" width="49.83203125" style="784" customWidth="1"/>
    <col min="8990" max="8990" width="37.1640625" style="784" customWidth="1"/>
    <col min="8991" max="8991" width="32.83203125" style="784" customWidth="1"/>
    <col min="8992" max="8992" width="40.83203125" style="784" customWidth="1"/>
    <col min="8993" max="8993" width="186.33203125" style="784" customWidth="1"/>
    <col min="8994" max="9209" width="9.33203125" style="784"/>
    <col min="9210" max="9210" width="186.33203125" style="784" customWidth="1"/>
    <col min="9211" max="9219" width="50" style="784" customWidth="1"/>
    <col min="9220" max="9220" width="186.33203125" style="784" customWidth="1"/>
    <col min="9221" max="9229" width="50" style="784" customWidth="1"/>
    <col min="9230" max="9230" width="186.33203125" style="784" customWidth="1"/>
    <col min="9231" max="9231" width="49.83203125" style="784" customWidth="1"/>
    <col min="9232" max="9232" width="44.83203125" style="784" customWidth="1"/>
    <col min="9233" max="9233" width="49.83203125" style="784" customWidth="1"/>
    <col min="9234" max="9234" width="50" style="784" customWidth="1"/>
    <col min="9235" max="9235" width="45" style="784" customWidth="1"/>
    <col min="9236" max="9237" width="50" style="784" customWidth="1"/>
    <col min="9238" max="9238" width="45" style="784" customWidth="1"/>
    <col min="9239" max="9239" width="50" style="784" customWidth="1"/>
    <col min="9240" max="9245" width="49.83203125" style="784" customWidth="1"/>
    <col min="9246" max="9246" width="37.1640625" style="784" customWidth="1"/>
    <col min="9247" max="9247" width="32.83203125" style="784" customWidth="1"/>
    <col min="9248" max="9248" width="40.83203125" style="784" customWidth="1"/>
    <col min="9249" max="9249" width="186.33203125" style="784" customWidth="1"/>
    <col min="9250" max="9465" width="9.33203125" style="784"/>
    <col min="9466" max="9466" width="186.33203125" style="784" customWidth="1"/>
    <col min="9467" max="9475" width="50" style="784" customWidth="1"/>
    <col min="9476" max="9476" width="186.33203125" style="784" customWidth="1"/>
    <col min="9477" max="9485" width="50" style="784" customWidth="1"/>
    <col min="9486" max="9486" width="186.33203125" style="784" customWidth="1"/>
    <col min="9487" max="9487" width="49.83203125" style="784" customWidth="1"/>
    <col min="9488" max="9488" width="44.83203125" style="784" customWidth="1"/>
    <col min="9489" max="9489" width="49.83203125" style="784" customWidth="1"/>
    <col min="9490" max="9490" width="50" style="784" customWidth="1"/>
    <col min="9491" max="9491" width="45" style="784" customWidth="1"/>
    <col min="9492" max="9493" width="50" style="784" customWidth="1"/>
    <col min="9494" max="9494" width="45" style="784" customWidth="1"/>
    <col min="9495" max="9495" width="50" style="784" customWidth="1"/>
    <col min="9496" max="9501" width="49.83203125" style="784" customWidth="1"/>
    <col min="9502" max="9502" width="37.1640625" style="784" customWidth="1"/>
    <col min="9503" max="9503" width="32.83203125" style="784" customWidth="1"/>
    <col min="9504" max="9504" width="40.83203125" style="784" customWidth="1"/>
    <col min="9505" max="9505" width="186.33203125" style="784" customWidth="1"/>
    <col min="9506" max="9721" width="9.33203125" style="784"/>
    <col min="9722" max="9722" width="186.33203125" style="784" customWidth="1"/>
    <col min="9723" max="9731" width="50" style="784" customWidth="1"/>
    <col min="9732" max="9732" width="186.33203125" style="784" customWidth="1"/>
    <col min="9733" max="9741" width="50" style="784" customWidth="1"/>
    <col min="9742" max="9742" width="186.33203125" style="784" customWidth="1"/>
    <col min="9743" max="9743" width="49.83203125" style="784" customWidth="1"/>
    <col min="9744" max="9744" width="44.83203125" style="784" customWidth="1"/>
    <col min="9745" max="9745" width="49.83203125" style="784" customWidth="1"/>
    <col min="9746" max="9746" width="50" style="784" customWidth="1"/>
    <col min="9747" max="9747" width="45" style="784" customWidth="1"/>
    <col min="9748" max="9749" width="50" style="784" customWidth="1"/>
    <col min="9750" max="9750" width="45" style="784" customWidth="1"/>
    <col min="9751" max="9751" width="50" style="784" customWidth="1"/>
    <col min="9752" max="9757" width="49.83203125" style="784" customWidth="1"/>
    <col min="9758" max="9758" width="37.1640625" style="784" customWidth="1"/>
    <col min="9759" max="9759" width="32.83203125" style="784" customWidth="1"/>
    <col min="9760" max="9760" width="40.83203125" style="784" customWidth="1"/>
    <col min="9761" max="9761" width="186.33203125" style="784" customWidth="1"/>
    <col min="9762" max="9977" width="9.33203125" style="784"/>
    <col min="9978" max="9978" width="186.33203125" style="784" customWidth="1"/>
    <col min="9979" max="9987" width="50" style="784" customWidth="1"/>
    <col min="9988" max="9988" width="186.33203125" style="784" customWidth="1"/>
    <col min="9989" max="9997" width="50" style="784" customWidth="1"/>
    <col min="9998" max="9998" width="186.33203125" style="784" customWidth="1"/>
    <col min="9999" max="9999" width="49.83203125" style="784" customWidth="1"/>
    <col min="10000" max="10000" width="44.83203125" style="784" customWidth="1"/>
    <col min="10001" max="10001" width="49.83203125" style="784" customWidth="1"/>
    <col min="10002" max="10002" width="50" style="784" customWidth="1"/>
    <col min="10003" max="10003" width="45" style="784" customWidth="1"/>
    <col min="10004" max="10005" width="50" style="784" customWidth="1"/>
    <col min="10006" max="10006" width="45" style="784" customWidth="1"/>
    <col min="10007" max="10007" width="50" style="784" customWidth="1"/>
    <col min="10008" max="10013" width="49.83203125" style="784" customWidth="1"/>
    <col min="10014" max="10014" width="37.1640625" style="784" customWidth="1"/>
    <col min="10015" max="10015" width="32.83203125" style="784" customWidth="1"/>
    <col min="10016" max="10016" width="40.83203125" style="784" customWidth="1"/>
    <col min="10017" max="10017" width="186.33203125" style="784" customWidth="1"/>
    <col min="10018" max="10233" width="9.33203125" style="784"/>
    <col min="10234" max="10234" width="186.33203125" style="784" customWidth="1"/>
    <col min="10235" max="10243" width="50" style="784" customWidth="1"/>
    <col min="10244" max="10244" width="186.33203125" style="784" customWidth="1"/>
    <col min="10245" max="10253" width="50" style="784" customWidth="1"/>
    <col min="10254" max="10254" width="186.33203125" style="784" customWidth="1"/>
    <col min="10255" max="10255" width="49.83203125" style="784" customWidth="1"/>
    <col min="10256" max="10256" width="44.83203125" style="784" customWidth="1"/>
    <col min="10257" max="10257" width="49.83203125" style="784" customWidth="1"/>
    <col min="10258" max="10258" width="50" style="784" customWidth="1"/>
    <col min="10259" max="10259" width="45" style="784" customWidth="1"/>
    <col min="10260" max="10261" width="50" style="784" customWidth="1"/>
    <col min="10262" max="10262" width="45" style="784" customWidth="1"/>
    <col min="10263" max="10263" width="50" style="784" customWidth="1"/>
    <col min="10264" max="10269" width="49.83203125" style="784" customWidth="1"/>
    <col min="10270" max="10270" width="37.1640625" style="784" customWidth="1"/>
    <col min="10271" max="10271" width="32.83203125" style="784" customWidth="1"/>
    <col min="10272" max="10272" width="40.83203125" style="784" customWidth="1"/>
    <col min="10273" max="10273" width="186.33203125" style="784" customWidth="1"/>
    <col min="10274" max="10489" width="9.33203125" style="784"/>
    <col min="10490" max="10490" width="186.33203125" style="784" customWidth="1"/>
    <col min="10491" max="10499" width="50" style="784" customWidth="1"/>
    <col min="10500" max="10500" width="186.33203125" style="784" customWidth="1"/>
    <col min="10501" max="10509" width="50" style="784" customWidth="1"/>
    <col min="10510" max="10510" width="186.33203125" style="784" customWidth="1"/>
    <col min="10511" max="10511" width="49.83203125" style="784" customWidth="1"/>
    <col min="10512" max="10512" width="44.83203125" style="784" customWidth="1"/>
    <col min="10513" max="10513" width="49.83203125" style="784" customWidth="1"/>
    <col min="10514" max="10514" width="50" style="784" customWidth="1"/>
    <col min="10515" max="10515" width="45" style="784" customWidth="1"/>
    <col min="10516" max="10517" width="50" style="784" customWidth="1"/>
    <col min="10518" max="10518" width="45" style="784" customWidth="1"/>
    <col min="10519" max="10519" width="50" style="784" customWidth="1"/>
    <col min="10520" max="10525" width="49.83203125" style="784" customWidth="1"/>
    <col min="10526" max="10526" width="37.1640625" style="784" customWidth="1"/>
    <col min="10527" max="10527" width="32.83203125" style="784" customWidth="1"/>
    <col min="10528" max="10528" width="40.83203125" style="784" customWidth="1"/>
    <col min="10529" max="10529" width="186.33203125" style="784" customWidth="1"/>
    <col min="10530" max="10745" width="9.33203125" style="784"/>
    <col min="10746" max="10746" width="186.33203125" style="784" customWidth="1"/>
    <col min="10747" max="10755" width="50" style="784" customWidth="1"/>
    <col min="10756" max="10756" width="186.33203125" style="784" customWidth="1"/>
    <col min="10757" max="10765" width="50" style="784" customWidth="1"/>
    <col min="10766" max="10766" width="186.33203125" style="784" customWidth="1"/>
    <col min="10767" max="10767" width="49.83203125" style="784" customWidth="1"/>
    <col min="10768" max="10768" width="44.83203125" style="784" customWidth="1"/>
    <col min="10769" max="10769" width="49.83203125" style="784" customWidth="1"/>
    <col min="10770" max="10770" width="50" style="784" customWidth="1"/>
    <col min="10771" max="10771" width="45" style="784" customWidth="1"/>
    <col min="10772" max="10773" width="50" style="784" customWidth="1"/>
    <col min="10774" max="10774" width="45" style="784" customWidth="1"/>
    <col min="10775" max="10775" width="50" style="784" customWidth="1"/>
    <col min="10776" max="10781" width="49.83203125" style="784" customWidth="1"/>
    <col min="10782" max="10782" width="37.1640625" style="784" customWidth="1"/>
    <col min="10783" max="10783" width="32.83203125" style="784" customWidth="1"/>
    <col min="10784" max="10784" width="40.83203125" style="784" customWidth="1"/>
    <col min="10785" max="10785" width="186.33203125" style="784" customWidth="1"/>
    <col min="10786" max="11001" width="9.33203125" style="784"/>
    <col min="11002" max="11002" width="186.33203125" style="784" customWidth="1"/>
    <col min="11003" max="11011" width="50" style="784" customWidth="1"/>
    <col min="11012" max="11012" width="186.33203125" style="784" customWidth="1"/>
    <col min="11013" max="11021" width="50" style="784" customWidth="1"/>
    <col min="11022" max="11022" width="186.33203125" style="784" customWidth="1"/>
    <col min="11023" max="11023" width="49.83203125" style="784" customWidth="1"/>
    <col min="11024" max="11024" width="44.83203125" style="784" customWidth="1"/>
    <col min="11025" max="11025" width="49.83203125" style="784" customWidth="1"/>
    <col min="11026" max="11026" width="50" style="784" customWidth="1"/>
    <col min="11027" max="11027" width="45" style="784" customWidth="1"/>
    <col min="11028" max="11029" width="50" style="784" customWidth="1"/>
    <col min="11030" max="11030" width="45" style="784" customWidth="1"/>
    <col min="11031" max="11031" width="50" style="784" customWidth="1"/>
    <col min="11032" max="11037" width="49.83203125" style="784" customWidth="1"/>
    <col min="11038" max="11038" width="37.1640625" style="784" customWidth="1"/>
    <col min="11039" max="11039" width="32.83203125" style="784" customWidth="1"/>
    <col min="11040" max="11040" width="40.83203125" style="784" customWidth="1"/>
    <col min="11041" max="11041" width="186.33203125" style="784" customWidth="1"/>
    <col min="11042" max="11257" width="9.33203125" style="784"/>
    <col min="11258" max="11258" width="186.33203125" style="784" customWidth="1"/>
    <col min="11259" max="11267" width="50" style="784" customWidth="1"/>
    <col min="11268" max="11268" width="186.33203125" style="784" customWidth="1"/>
    <col min="11269" max="11277" width="50" style="784" customWidth="1"/>
    <col min="11278" max="11278" width="186.33203125" style="784" customWidth="1"/>
    <col min="11279" max="11279" width="49.83203125" style="784" customWidth="1"/>
    <col min="11280" max="11280" width="44.83203125" style="784" customWidth="1"/>
    <col min="11281" max="11281" width="49.83203125" style="784" customWidth="1"/>
    <col min="11282" max="11282" width="50" style="784" customWidth="1"/>
    <col min="11283" max="11283" width="45" style="784" customWidth="1"/>
    <col min="11284" max="11285" width="50" style="784" customWidth="1"/>
    <col min="11286" max="11286" width="45" style="784" customWidth="1"/>
    <col min="11287" max="11287" width="50" style="784" customWidth="1"/>
    <col min="11288" max="11293" width="49.83203125" style="784" customWidth="1"/>
    <col min="11294" max="11294" width="37.1640625" style="784" customWidth="1"/>
    <col min="11295" max="11295" width="32.83203125" style="784" customWidth="1"/>
    <col min="11296" max="11296" width="40.83203125" style="784" customWidth="1"/>
    <col min="11297" max="11297" width="186.33203125" style="784" customWidth="1"/>
    <col min="11298" max="11513" width="9.33203125" style="784"/>
    <col min="11514" max="11514" width="186.33203125" style="784" customWidth="1"/>
    <col min="11515" max="11523" width="50" style="784" customWidth="1"/>
    <col min="11524" max="11524" width="186.33203125" style="784" customWidth="1"/>
    <col min="11525" max="11533" width="50" style="784" customWidth="1"/>
    <col min="11534" max="11534" width="186.33203125" style="784" customWidth="1"/>
    <col min="11535" max="11535" width="49.83203125" style="784" customWidth="1"/>
    <col min="11536" max="11536" width="44.83203125" style="784" customWidth="1"/>
    <col min="11537" max="11537" width="49.83203125" style="784" customWidth="1"/>
    <col min="11538" max="11538" width="50" style="784" customWidth="1"/>
    <col min="11539" max="11539" width="45" style="784" customWidth="1"/>
    <col min="11540" max="11541" width="50" style="784" customWidth="1"/>
    <col min="11542" max="11542" width="45" style="784" customWidth="1"/>
    <col min="11543" max="11543" width="50" style="784" customWidth="1"/>
    <col min="11544" max="11549" width="49.83203125" style="784" customWidth="1"/>
    <col min="11550" max="11550" width="37.1640625" style="784" customWidth="1"/>
    <col min="11551" max="11551" width="32.83203125" style="784" customWidth="1"/>
    <col min="11552" max="11552" width="40.83203125" style="784" customWidth="1"/>
    <col min="11553" max="11553" width="186.33203125" style="784" customWidth="1"/>
    <col min="11554" max="11769" width="9.33203125" style="784"/>
    <col min="11770" max="11770" width="186.33203125" style="784" customWidth="1"/>
    <col min="11771" max="11779" width="50" style="784" customWidth="1"/>
    <col min="11780" max="11780" width="186.33203125" style="784" customWidth="1"/>
    <col min="11781" max="11789" width="50" style="784" customWidth="1"/>
    <col min="11790" max="11790" width="186.33203125" style="784" customWidth="1"/>
    <col min="11791" max="11791" width="49.83203125" style="784" customWidth="1"/>
    <col min="11792" max="11792" width="44.83203125" style="784" customWidth="1"/>
    <col min="11793" max="11793" width="49.83203125" style="784" customWidth="1"/>
    <col min="11794" max="11794" width="50" style="784" customWidth="1"/>
    <col min="11795" max="11795" width="45" style="784" customWidth="1"/>
    <col min="11796" max="11797" width="50" style="784" customWidth="1"/>
    <col min="11798" max="11798" width="45" style="784" customWidth="1"/>
    <col min="11799" max="11799" width="50" style="784" customWidth="1"/>
    <col min="11800" max="11805" width="49.83203125" style="784" customWidth="1"/>
    <col min="11806" max="11806" width="37.1640625" style="784" customWidth="1"/>
    <col min="11807" max="11807" width="32.83203125" style="784" customWidth="1"/>
    <col min="11808" max="11808" width="40.83203125" style="784" customWidth="1"/>
    <col min="11809" max="11809" width="186.33203125" style="784" customWidth="1"/>
    <col min="11810" max="12025" width="9.33203125" style="784"/>
    <col min="12026" max="12026" width="186.33203125" style="784" customWidth="1"/>
    <col min="12027" max="12035" width="50" style="784" customWidth="1"/>
    <col min="12036" max="12036" width="186.33203125" style="784" customWidth="1"/>
    <col min="12037" max="12045" width="50" style="784" customWidth="1"/>
    <col min="12046" max="12046" width="186.33203125" style="784" customWidth="1"/>
    <col min="12047" max="12047" width="49.83203125" style="784" customWidth="1"/>
    <col min="12048" max="12048" width="44.83203125" style="784" customWidth="1"/>
    <col min="12049" max="12049" width="49.83203125" style="784" customWidth="1"/>
    <col min="12050" max="12050" width="50" style="784" customWidth="1"/>
    <col min="12051" max="12051" width="45" style="784" customWidth="1"/>
    <col min="12052" max="12053" width="50" style="784" customWidth="1"/>
    <col min="12054" max="12054" width="45" style="784" customWidth="1"/>
    <col min="12055" max="12055" width="50" style="784" customWidth="1"/>
    <col min="12056" max="12061" width="49.83203125" style="784" customWidth="1"/>
    <col min="12062" max="12062" width="37.1640625" style="784" customWidth="1"/>
    <col min="12063" max="12063" width="32.83203125" style="784" customWidth="1"/>
    <col min="12064" max="12064" width="40.83203125" style="784" customWidth="1"/>
    <col min="12065" max="12065" width="186.33203125" style="784" customWidth="1"/>
    <col min="12066" max="12281" width="9.33203125" style="784"/>
    <col min="12282" max="12282" width="186.33203125" style="784" customWidth="1"/>
    <col min="12283" max="12291" width="50" style="784" customWidth="1"/>
    <col min="12292" max="12292" width="186.33203125" style="784" customWidth="1"/>
    <col min="12293" max="12301" width="50" style="784" customWidth="1"/>
    <col min="12302" max="12302" width="186.33203125" style="784" customWidth="1"/>
    <col min="12303" max="12303" width="49.83203125" style="784" customWidth="1"/>
    <col min="12304" max="12304" width="44.83203125" style="784" customWidth="1"/>
    <col min="12305" max="12305" width="49.83203125" style="784" customWidth="1"/>
    <col min="12306" max="12306" width="50" style="784" customWidth="1"/>
    <col min="12307" max="12307" width="45" style="784" customWidth="1"/>
    <col min="12308" max="12309" width="50" style="784" customWidth="1"/>
    <col min="12310" max="12310" width="45" style="784" customWidth="1"/>
    <col min="12311" max="12311" width="50" style="784" customWidth="1"/>
    <col min="12312" max="12317" width="49.83203125" style="784" customWidth="1"/>
    <col min="12318" max="12318" width="37.1640625" style="784" customWidth="1"/>
    <col min="12319" max="12319" width="32.83203125" style="784" customWidth="1"/>
    <col min="12320" max="12320" width="40.83203125" style="784" customWidth="1"/>
    <col min="12321" max="12321" width="186.33203125" style="784" customWidth="1"/>
    <col min="12322" max="12537" width="9.33203125" style="784"/>
    <col min="12538" max="12538" width="186.33203125" style="784" customWidth="1"/>
    <col min="12539" max="12547" width="50" style="784" customWidth="1"/>
    <col min="12548" max="12548" width="186.33203125" style="784" customWidth="1"/>
    <col min="12549" max="12557" width="50" style="784" customWidth="1"/>
    <col min="12558" max="12558" width="186.33203125" style="784" customWidth="1"/>
    <col min="12559" max="12559" width="49.83203125" style="784" customWidth="1"/>
    <col min="12560" max="12560" width="44.83203125" style="784" customWidth="1"/>
    <col min="12561" max="12561" width="49.83203125" style="784" customWidth="1"/>
    <col min="12562" max="12562" width="50" style="784" customWidth="1"/>
    <col min="12563" max="12563" width="45" style="784" customWidth="1"/>
    <col min="12564" max="12565" width="50" style="784" customWidth="1"/>
    <col min="12566" max="12566" width="45" style="784" customWidth="1"/>
    <col min="12567" max="12567" width="50" style="784" customWidth="1"/>
    <col min="12568" max="12573" width="49.83203125" style="784" customWidth="1"/>
    <col min="12574" max="12574" width="37.1640625" style="784" customWidth="1"/>
    <col min="12575" max="12575" width="32.83203125" style="784" customWidth="1"/>
    <col min="12576" max="12576" width="40.83203125" style="784" customWidth="1"/>
    <col min="12577" max="12577" width="186.33203125" style="784" customWidth="1"/>
    <col min="12578" max="12793" width="9.33203125" style="784"/>
    <col min="12794" max="12794" width="186.33203125" style="784" customWidth="1"/>
    <col min="12795" max="12803" width="50" style="784" customWidth="1"/>
    <col min="12804" max="12804" width="186.33203125" style="784" customWidth="1"/>
    <col min="12805" max="12813" width="50" style="784" customWidth="1"/>
    <col min="12814" max="12814" width="186.33203125" style="784" customWidth="1"/>
    <col min="12815" max="12815" width="49.83203125" style="784" customWidth="1"/>
    <col min="12816" max="12816" width="44.83203125" style="784" customWidth="1"/>
    <col min="12817" max="12817" width="49.83203125" style="784" customWidth="1"/>
    <col min="12818" max="12818" width="50" style="784" customWidth="1"/>
    <col min="12819" max="12819" width="45" style="784" customWidth="1"/>
    <col min="12820" max="12821" width="50" style="784" customWidth="1"/>
    <col min="12822" max="12822" width="45" style="784" customWidth="1"/>
    <col min="12823" max="12823" width="50" style="784" customWidth="1"/>
    <col min="12824" max="12829" width="49.83203125" style="784" customWidth="1"/>
    <col min="12830" max="12830" width="37.1640625" style="784" customWidth="1"/>
    <col min="12831" max="12831" width="32.83203125" style="784" customWidth="1"/>
    <col min="12832" max="12832" width="40.83203125" style="784" customWidth="1"/>
    <col min="12833" max="12833" width="186.33203125" style="784" customWidth="1"/>
    <col min="12834" max="13049" width="9.33203125" style="784"/>
    <col min="13050" max="13050" width="186.33203125" style="784" customWidth="1"/>
    <col min="13051" max="13059" width="50" style="784" customWidth="1"/>
    <col min="13060" max="13060" width="186.33203125" style="784" customWidth="1"/>
    <col min="13061" max="13069" width="50" style="784" customWidth="1"/>
    <col min="13070" max="13070" width="186.33203125" style="784" customWidth="1"/>
    <col min="13071" max="13071" width="49.83203125" style="784" customWidth="1"/>
    <col min="13072" max="13072" width="44.83203125" style="784" customWidth="1"/>
    <col min="13073" max="13073" width="49.83203125" style="784" customWidth="1"/>
    <col min="13074" max="13074" width="50" style="784" customWidth="1"/>
    <col min="13075" max="13075" width="45" style="784" customWidth="1"/>
    <col min="13076" max="13077" width="50" style="784" customWidth="1"/>
    <col min="13078" max="13078" width="45" style="784" customWidth="1"/>
    <col min="13079" max="13079" width="50" style="784" customWidth="1"/>
    <col min="13080" max="13085" width="49.83203125" style="784" customWidth="1"/>
    <col min="13086" max="13086" width="37.1640625" style="784" customWidth="1"/>
    <col min="13087" max="13087" width="32.83203125" style="784" customWidth="1"/>
    <col min="13088" max="13088" width="40.83203125" style="784" customWidth="1"/>
    <col min="13089" max="13089" width="186.33203125" style="784" customWidth="1"/>
    <col min="13090" max="13305" width="9.33203125" style="784"/>
    <col min="13306" max="13306" width="186.33203125" style="784" customWidth="1"/>
    <col min="13307" max="13315" width="50" style="784" customWidth="1"/>
    <col min="13316" max="13316" width="186.33203125" style="784" customWidth="1"/>
    <col min="13317" max="13325" width="50" style="784" customWidth="1"/>
    <col min="13326" max="13326" width="186.33203125" style="784" customWidth="1"/>
    <col min="13327" max="13327" width="49.83203125" style="784" customWidth="1"/>
    <col min="13328" max="13328" width="44.83203125" style="784" customWidth="1"/>
    <col min="13329" max="13329" width="49.83203125" style="784" customWidth="1"/>
    <col min="13330" max="13330" width="50" style="784" customWidth="1"/>
    <col min="13331" max="13331" width="45" style="784" customWidth="1"/>
    <col min="13332" max="13333" width="50" style="784" customWidth="1"/>
    <col min="13334" max="13334" width="45" style="784" customWidth="1"/>
    <col min="13335" max="13335" width="50" style="784" customWidth="1"/>
    <col min="13336" max="13341" width="49.83203125" style="784" customWidth="1"/>
    <col min="13342" max="13342" width="37.1640625" style="784" customWidth="1"/>
    <col min="13343" max="13343" width="32.83203125" style="784" customWidth="1"/>
    <col min="13344" max="13344" width="40.83203125" style="784" customWidth="1"/>
    <col min="13345" max="13345" width="186.33203125" style="784" customWidth="1"/>
    <col min="13346" max="13561" width="9.33203125" style="784"/>
    <col min="13562" max="13562" width="186.33203125" style="784" customWidth="1"/>
    <col min="13563" max="13571" width="50" style="784" customWidth="1"/>
    <col min="13572" max="13572" width="186.33203125" style="784" customWidth="1"/>
    <col min="13573" max="13581" width="50" style="784" customWidth="1"/>
    <col min="13582" max="13582" width="186.33203125" style="784" customWidth="1"/>
    <col min="13583" max="13583" width="49.83203125" style="784" customWidth="1"/>
    <col min="13584" max="13584" width="44.83203125" style="784" customWidth="1"/>
    <col min="13585" max="13585" width="49.83203125" style="784" customWidth="1"/>
    <col min="13586" max="13586" width="50" style="784" customWidth="1"/>
    <col min="13587" max="13587" width="45" style="784" customWidth="1"/>
    <col min="13588" max="13589" width="50" style="784" customWidth="1"/>
    <col min="13590" max="13590" width="45" style="784" customWidth="1"/>
    <col min="13591" max="13591" width="50" style="784" customWidth="1"/>
    <col min="13592" max="13597" width="49.83203125" style="784" customWidth="1"/>
    <col min="13598" max="13598" width="37.1640625" style="784" customWidth="1"/>
    <col min="13599" max="13599" width="32.83203125" style="784" customWidth="1"/>
    <col min="13600" max="13600" width="40.83203125" style="784" customWidth="1"/>
    <col min="13601" max="13601" width="186.33203125" style="784" customWidth="1"/>
    <col min="13602" max="13817" width="9.33203125" style="784"/>
    <col min="13818" max="13818" width="186.33203125" style="784" customWidth="1"/>
    <col min="13819" max="13827" width="50" style="784" customWidth="1"/>
    <col min="13828" max="13828" width="186.33203125" style="784" customWidth="1"/>
    <col min="13829" max="13837" width="50" style="784" customWidth="1"/>
    <col min="13838" max="13838" width="186.33203125" style="784" customWidth="1"/>
    <col min="13839" max="13839" width="49.83203125" style="784" customWidth="1"/>
    <col min="13840" max="13840" width="44.83203125" style="784" customWidth="1"/>
    <col min="13841" max="13841" width="49.83203125" style="784" customWidth="1"/>
    <col min="13842" max="13842" width="50" style="784" customWidth="1"/>
    <col min="13843" max="13843" width="45" style="784" customWidth="1"/>
    <col min="13844" max="13845" width="50" style="784" customWidth="1"/>
    <col min="13846" max="13846" width="45" style="784" customWidth="1"/>
    <col min="13847" max="13847" width="50" style="784" customWidth="1"/>
    <col min="13848" max="13853" width="49.83203125" style="784" customWidth="1"/>
    <col min="13854" max="13854" width="37.1640625" style="784" customWidth="1"/>
    <col min="13855" max="13855" width="32.83203125" style="784" customWidth="1"/>
    <col min="13856" max="13856" width="40.83203125" style="784" customWidth="1"/>
    <col min="13857" max="13857" width="186.33203125" style="784" customWidth="1"/>
    <col min="13858" max="14073" width="9.33203125" style="784"/>
    <col min="14074" max="14074" width="186.33203125" style="784" customWidth="1"/>
    <col min="14075" max="14083" width="50" style="784" customWidth="1"/>
    <col min="14084" max="14084" width="186.33203125" style="784" customWidth="1"/>
    <col min="14085" max="14093" width="50" style="784" customWidth="1"/>
    <col min="14094" max="14094" width="186.33203125" style="784" customWidth="1"/>
    <col min="14095" max="14095" width="49.83203125" style="784" customWidth="1"/>
    <col min="14096" max="14096" width="44.83203125" style="784" customWidth="1"/>
    <col min="14097" max="14097" width="49.83203125" style="784" customWidth="1"/>
    <col min="14098" max="14098" width="50" style="784" customWidth="1"/>
    <col min="14099" max="14099" width="45" style="784" customWidth="1"/>
    <col min="14100" max="14101" width="50" style="784" customWidth="1"/>
    <col min="14102" max="14102" width="45" style="784" customWidth="1"/>
    <col min="14103" max="14103" width="50" style="784" customWidth="1"/>
    <col min="14104" max="14109" width="49.83203125" style="784" customWidth="1"/>
    <col min="14110" max="14110" width="37.1640625" style="784" customWidth="1"/>
    <col min="14111" max="14111" width="32.83203125" style="784" customWidth="1"/>
    <col min="14112" max="14112" width="40.83203125" style="784" customWidth="1"/>
    <col min="14113" max="14113" width="186.33203125" style="784" customWidth="1"/>
    <col min="14114" max="14329" width="9.33203125" style="784"/>
    <col min="14330" max="14330" width="186.33203125" style="784" customWidth="1"/>
    <col min="14331" max="14339" width="50" style="784" customWidth="1"/>
    <col min="14340" max="14340" width="186.33203125" style="784" customWidth="1"/>
    <col min="14341" max="14349" width="50" style="784" customWidth="1"/>
    <col min="14350" max="14350" width="186.33203125" style="784" customWidth="1"/>
    <col min="14351" max="14351" width="49.83203125" style="784" customWidth="1"/>
    <col min="14352" max="14352" width="44.83203125" style="784" customWidth="1"/>
    <col min="14353" max="14353" width="49.83203125" style="784" customWidth="1"/>
    <col min="14354" max="14354" width="50" style="784" customWidth="1"/>
    <col min="14355" max="14355" width="45" style="784" customWidth="1"/>
    <col min="14356" max="14357" width="50" style="784" customWidth="1"/>
    <col min="14358" max="14358" width="45" style="784" customWidth="1"/>
    <col min="14359" max="14359" width="50" style="784" customWidth="1"/>
    <col min="14360" max="14365" width="49.83203125" style="784" customWidth="1"/>
    <col min="14366" max="14366" width="37.1640625" style="784" customWidth="1"/>
    <col min="14367" max="14367" width="32.83203125" style="784" customWidth="1"/>
    <col min="14368" max="14368" width="40.83203125" style="784" customWidth="1"/>
    <col min="14369" max="14369" width="186.33203125" style="784" customWidth="1"/>
    <col min="14370" max="14585" width="9.33203125" style="784"/>
    <col min="14586" max="14586" width="186.33203125" style="784" customWidth="1"/>
    <col min="14587" max="14595" width="50" style="784" customWidth="1"/>
    <col min="14596" max="14596" width="186.33203125" style="784" customWidth="1"/>
    <col min="14597" max="14605" width="50" style="784" customWidth="1"/>
    <col min="14606" max="14606" width="186.33203125" style="784" customWidth="1"/>
    <col min="14607" max="14607" width="49.83203125" style="784" customWidth="1"/>
    <col min="14608" max="14608" width="44.83203125" style="784" customWidth="1"/>
    <col min="14609" max="14609" width="49.83203125" style="784" customWidth="1"/>
    <col min="14610" max="14610" width="50" style="784" customWidth="1"/>
    <col min="14611" max="14611" width="45" style="784" customWidth="1"/>
    <col min="14612" max="14613" width="50" style="784" customWidth="1"/>
    <col min="14614" max="14614" width="45" style="784" customWidth="1"/>
    <col min="14615" max="14615" width="50" style="784" customWidth="1"/>
    <col min="14616" max="14621" width="49.83203125" style="784" customWidth="1"/>
    <col min="14622" max="14622" width="37.1640625" style="784" customWidth="1"/>
    <col min="14623" max="14623" width="32.83203125" style="784" customWidth="1"/>
    <col min="14624" max="14624" width="40.83203125" style="784" customWidth="1"/>
    <col min="14625" max="14625" width="186.33203125" style="784" customWidth="1"/>
    <col min="14626" max="14841" width="9.33203125" style="784"/>
    <col min="14842" max="14842" width="186.33203125" style="784" customWidth="1"/>
    <col min="14843" max="14851" width="50" style="784" customWidth="1"/>
    <col min="14852" max="14852" width="186.33203125" style="784" customWidth="1"/>
    <col min="14853" max="14861" width="50" style="784" customWidth="1"/>
    <col min="14862" max="14862" width="186.33203125" style="784" customWidth="1"/>
    <col min="14863" max="14863" width="49.83203125" style="784" customWidth="1"/>
    <col min="14864" max="14864" width="44.83203125" style="784" customWidth="1"/>
    <col min="14865" max="14865" width="49.83203125" style="784" customWidth="1"/>
    <col min="14866" max="14866" width="50" style="784" customWidth="1"/>
    <col min="14867" max="14867" width="45" style="784" customWidth="1"/>
    <col min="14868" max="14869" width="50" style="784" customWidth="1"/>
    <col min="14870" max="14870" width="45" style="784" customWidth="1"/>
    <col min="14871" max="14871" width="50" style="784" customWidth="1"/>
    <col min="14872" max="14877" width="49.83203125" style="784" customWidth="1"/>
    <col min="14878" max="14878" width="37.1640625" style="784" customWidth="1"/>
    <col min="14879" max="14879" width="32.83203125" style="784" customWidth="1"/>
    <col min="14880" max="14880" width="40.83203125" style="784" customWidth="1"/>
    <col min="14881" max="14881" width="186.33203125" style="784" customWidth="1"/>
    <col min="14882" max="15097" width="9.33203125" style="784"/>
    <col min="15098" max="15098" width="186.33203125" style="784" customWidth="1"/>
    <col min="15099" max="15107" width="50" style="784" customWidth="1"/>
    <col min="15108" max="15108" width="186.33203125" style="784" customWidth="1"/>
    <col min="15109" max="15117" width="50" style="784" customWidth="1"/>
    <col min="15118" max="15118" width="186.33203125" style="784" customWidth="1"/>
    <col min="15119" max="15119" width="49.83203125" style="784" customWidth="1"/>
    <col min="15120" max="15120" width="44.83203125" style="784" customWidth="1"/>
    <col min="15121" max="15121" width="49.83203125" style="784" customWidth="1"/>
    <col min="15122" max="15122" width="50" style="784" customWidth="1"/>
    <col min="15123" max="15123" width="45" style="784" customWidth="1"/>
    <col min="15124" max="15125" width="50" style="784" customWidth="1"/>
    <col min="15126" max="15126" width="45" style="784" customWidth="1"/>
    <col min="15127" max="15127" width="50" style="784" customWidth="1"/>
    <col min="15128" max="15133" width="49.83203125" style="784" customWidth="1"/>
    <col min="15134" max="15134" width="37.1640625" style="784" customWidth="1"/>
    <col min="15135" max="15135" width="32.83203125" style="784" customWidth="1"/>
    <col min="15136" max="15136" width="40.83203125" style="784" customWidth="1"/>
    <col min="15137" max="15137" width="186.33203125" style="784" customWidth="1"/>
    <col min="15138" max="15353" width="9.33203125" style="784"/>
    <col min="15354" max="15354" width="186.33203125" style="784" customWidth="1"/>
    <col min="15355" max="15363" width="50" style="784" customWidth="1"/>
    <col min="15364" max="15364" width="186.33203125" style="784" customWidth="1"/>
    <col min="15365" max="15373" width="50" style="784" customWidth="1"/>
    <col min="15374" max="15374" width="186.33203125" style="784" customWidth="1"/>
    <col min="15375" max="15375" width="49.83203125" style="784" customWidth="1"/>
    <col min="15376" max="15376" width="44.83203125" style="784" customWidth="1"/>
    <col min="15377" max="15377" width="49.83203125" style="784" customWidth="1"/>
    <col min="15378" max="15378" width="50" style="784" customWidth="1"/>
    <col min="15379" max="15379" width="45" style="784" customWidth="1"/>
    <col min="15380" max="15381" width="50" style="784" customWidth="1"/>
    <col min="15382" max="15382" width="45" style="784" customWidth="1"/>
    <col min="15383" max="15383" width="50" style="784" customWidth="1"/>
    <col min="15384" max="15389" width="49.83203125" style="784" customWidth="1"/>
    <col min="15390" max="15390" width="37.1640625" style="784" customWidth="1"/>
    <col min="15391" max="15391" width="32.83203125" style="784" customWidth="1"/>
    <col min="15392" max="15392" width="40.83203125" style="784" customWidth="1"/>
    <col min="15393" max="15393" width="186.33203125" style="784" customWidth="1"/>
    <col min="15394" max="15609" width="9.33203125" style="784"/>
    <col min="15610" max="15610" width="186.33203125" style="784" customWidth="1"/>
    <col min="15611" max="15619" width="50" style="784" customWidth="1"/>
    <col min="15620" max="15620" width="186.33203125" style="784" customWidth="1"/>
    <col min="15621" max="15629" width="50" style="784" customWidth="1"/>
    <col min="15630" max="15630" width="186.33203125" style="784" customWidth="1"/>
    <col min="15631" max="15631" width="49.83203125" style="784" customWidth="1"/>
    <col min="15632" max="15632" width="44.83203125" style="784" customWidth="1"/>
    <col min="15633" max="15633" width="49.83203125" style="784" customWidth="1"/>
    <col min="15634" max="15634" width="50" style="784" customWidth="1"/>
    <col min="15635" max="15635" width="45" style="784" customWidth="1"/>
    <col min="15636" max="15637" width="50" style="784" customWidth="1"/>
    <col min="15638" max="15638" width="45" style="784" customWidth="1"/>
    <col min="15639" max="15639" width="50" style="784" customWidth="1"/>
    <col min="15640" max="15645" width="49.83203125" style="784" customWidth="1"/>
    <col min="15646" max="15646" width="37.1640625" style="784" customWidth="1"/>
    <col min="15647" max="15647" width="32.83203125" style="784" customWidth="1"/>
    <col min="15648" max="15648" width="40.83203125" style="784" customWidth="1"/>
    <col min="15649" max="15649" width="186.33203125" style="784" customWidth="1"/>
    <col min="15650" max="15865" width="9.33203125" style="784"/>
    <col min="15866" max="15866" width="186.33203125" style="784" customWidth="1"/>
    <col min="15867" max="15875" width="50" style="784" customWidth="1"/>
    <col min="15876" max="15876" width="186.33203125" style="784" customWidth="1"/>
    <col min="15877" max="15885" width="50" style="784" customWidth="1"/>
    <col min="15886" max="15886" width="186.33203125" style="784" customWidth="1"/>
    <col min="15887" max="15887" width="49.83203125" style="784" customWidth="1"/>
    <col min="15888" max="15888" width="44.83203125" style="784" customWidth="1"/>
    <col min="15889" max="15889" width="49.83203125" style="784" customWidth="1"/>
    <col min="15890" max="15890" width="50" style="784" customWidth="1"/>
    <col min="15891" max="15891" width="45" style="784" customWidth="1"/>
    <col min="15892" max="15893" width="50" style="784" customWidth="1"/>
    <col min="15894" max="15894" width="45" style="784" customWidth="1"/>
    <col min="15895" max="15895" width="50" style="784" customWidth="1"/>
    <col min="15896" max="15901" width="49.83203125" style="784" customWidth="1"/>
    <col min="15902" max="15902" width="37.1640625" style="784" customWidth="1"/>
    <col min="15903" max="15903" width="32.83203125" style="784" customWidth="1"/>
    <col min="15904" max="15904" width="40.83203125" style="784" customWidth="1"/>
    <col min="15905" max="15905" width="186.33203125" style="784" customWidth="1"/>
    <col min="15906" max="16121" width="9.33203125" style="784"/>
    <col min="16122" max="16122" width="186.33203125" style="784" customWidth="1"/>
    <col min="16123" max="16131" width="50" style="784" customWidth="1"/>
    <col min="16132" max="16132" width="186.33203125" style="784" customWidth="1"/>
    <col min="16133" max="16141" width="50" style="784" customWidth="1"/>
    <col min="16142" max="16142" width="186.33203125" style="784" customWidth="1"/>
    <col min="16143" max="16143" width="49.83203125" style="784" customWidth="1"/>
    <col min="16144" max="16144" width="44.83203125" style="784" customWidth="1"/>
    <col min="16145" max="16145" width="49.83203125" style="784" customWidth="1"/>
    <col min="16146" max="16146" width="50" style="784" customWidth="1"/>
    <col min="16147" max="16147" width="45" style="784" customWidth="1"/>
    <col min="16148" max="16149" width="50" style="784" customWidth="1"/>
    <col min="16150" max="16150" width="45" style="784" customWidth="1"/>
    <col min="16151" max="16151" width="50" style="784" customWidth="1"/>
    <col min="16152" max="16157" width="49.83203125" style="784" customWidth="1"/>
    <col min="16158" max="16158" width="37.1640625" style="784" customWidth="1"/>
    <col min="16159" max="16159" width="32.83203125" style="784" customWidth="1"/>
    <col min="16160" max="16160" width="40.83203125" style="784" customWidth="1"/>
    <col min="16161" max="16161" width="186.33203125" style="784" customWidth="1"/>
    <col min="16162" max="16384" width="9.33203125" style="784"/>
  </cols>
  <sheetData>
    <row r="1" spans="1:36" ht="38.25" customHeight="1" x14ac:dyDescent="0.7">
      <c r="A1" s="712"/>
      <c r="B1" s="783"/>
      <c r="C1" s="783"/>
      <c r="D1" s="783"/>
      <c r="E1" s="783"/>
      <c r="F1" s="783"/>
      <c r="G1" s="783"/>
      <c r="H1" s="783"/>
      <c r="I1" s="783"/>
      <c r="J1" s="783"/>
      <c r="K1" s="712"/>
      <c r="L1" s="783"/>
      <c r="M1" s="783"/>
      <c r="N1" s="783"/>
      <c r="O1" s="783"/>
      <c r="P1" s="783"/>
      <c r="Q1" s="783"/>
      <c r="R1" s="783"/>
      <c r="S1" s="783"/>
      <c r="T1" s="783"/>
      <c r="U1" s="712"/>
      <c r="V1" s="712"/>
      <c r="W1" s="712"/>
      <c r="X1" s="712"/>
      <c r="Y1" s="712"/>
      <c r="Z1" s="712"/>
      <c r="AA1" s="712"/>
      <c r="AB1" s="712"/>
      <c r="AC1" s="712"/>
      <c r="AD1" s="712"/>
      <c r="AE1" s="712"/>
      <c r="AF1" s="712"/>
      <c r="AG1" s="712"/>
      <c r="AH1" s="712"/>
      <c r="AI1" s="712"/>
      <c r="AJ1" s="712"/>
    </row>
    <row r="2" spans="1:36" ht="54" customHeight="1" x14ac:dyDescent="0.7">
      <c r="A2" s="712"/>
      <c r="B2" s="1025" t="s">
        <v>211</v>
      </c>
      <c r="C2" s="1025"/>
      <c r="D2" s="1025"/>
      <c r="E2" s="1025"/>
      <c r="F2" s="1025"/>
      <c r="G2" s="1025"/>
      <c r="H2" s="1025"/>
      <c r="I2" s="1025"/>
      <c r="J2" s="1025"/>
      <c r="K2" s="712"/>
      <c r="L2" s="1025" t="s">
        <v>211</v>
      </c>
      <c r="M2" s="1025"/>
      <c r="N2" s="1025"/>
      <c r="O2" s="1025"/>
      <c r="P2" s="1025"/>
      <c r="Q2" s="1025"/>
      <c r="R2" s="1025"/>
      <c r="S2" s="1025"/>
      <c r="T2" s="1025"/>
      <c r="U2" s="712"/>
      <c r="V2" s="1025" t="s">
        <v>211</v>
      </c>
      <c r="W2" s="1025"/>
      <c r="X2" s="1025"/>
      <c r="Y2" s="1025"/>
      <c r="Z2" s="1025"/>
      <c r="AA2" s="1025"/>
      <c r="AB2" s="1025"/>
      <c r="AC2" s="1025"/>
      <c r="AD2" s="1025"/>
      <c r="AE2" s="1025"/>
      <c r="AF2" s="1025"/>
      <c r="AG2" s="1025"/>
      <c r="AH2" s="1025"/>
      <c r="AI2" s="1025"/>
      <c r="AJ2" s="1025"/>
    </row>
    <row r="3" spans="1:36" ht="54" customHeight="1" x14ac:dyDescent="0.7">
      <c r="A3" s="712"/>
      <c r="B3" s="1025" t="s">
        <v>756</v>
      </c>
      <c r="C3" s="1025"/>
      <c r="D3" s="1025"/>
      <c r="E3" s="1025"/>
      <c r="F3" s="1025"/>
      <c r="G3" s="1025"/>
      <c r="H3" s="1025"/>
      <c r="I3" s="1025"/>
      <c r="J3" s="1025"/>
      <c r="K3" s="712"/>
      <c r="L3" s="1025" t="s">
        <v>756</v>
      </c>
      <c r="M3" s="1025"/>
      <c r="N3" s="1025"/>
      <c r="O3" s="1025"/>
      <c r="P3" s="1025"/>
      <c r="Q3" s="1025"/>
      <c r="R3" s="1025"/>
      <c r="S3" s="1025"/>
      <c r="T3" s="1025"/>
      <c r="U3" s="712"/>
      <c r="V3" s="1025" t="s">
        <v>756</v>
      </c>
      <c r="W3" s="1025"/>
      <c r="X3" s="1025"/>
      <c r="Y3" s="1025"/>
      <c r="Z3" s="1025"/>
      <c r="AA3" s="1025"/>
      <c r="AB3" s="1025"/>
      <c r="AC3" s="1025"/>
      <c r="AD3" s="1025"/>
      <c r="AE3" s="1025"/>
      <c r="AF3" s="1025"/>
      <c r="AG3" s="1025"/>
      <c r="AH3" s="1025"/>
      <c r="AI3" s="1025"/>
      <c r="AJ3" s="1025"/>
    </row>
    <row r="4" spans="1:36" ht="62.25" customHeight="1" thickBot="1" x14ac:dyDescent="0.75">
      <c r="A4" s="712"/>
      <c r="B4" s="783"/>
      <c r="C4" s="783"/>
      <c r="D4" s="783"/>
      <c r="E4" s="783"/>
      <c r="F4" s="783"/>
      <c r="G4" s="783"/>
      <c r="H4" s="783"/>
      <c r="I4" s="783"/>
      <c r="J4" s="713" t="s">
        <v>203</v>
      </c>
      <c r="K4" s="712"/>
      <c r="L4" s="783"/>
      <c r="M4" s="783"/>
      <c r="N4" s="783"/>
      <c r="O4" s="783"/>
      <c r="P4" s="783"/>
      <c r="Q4" s="783"/>
      <c r="R4" s="783"/>
      <c r="S4" s="783"/>
      <c r="T4" s="713" t="s">
        <v>203</v>
      </c>
      <c r="U4" s="712"/>
      <c r="V4" s="712"/>
      <c r="W4" s="712"/>
      <c r="X4" s="712"/>
      <c r="Y4" s="712"/>
      <c r="Z4" s="712"/>
      <c r="AA4" s="712"/>
      <c r="AB4" s="712"/>
      <c r="AC4" s="712"/>
      <c r="AD4" s="712"/>
      <c r="AE4" s="712"/>
      <c r="AF4" s="712"/>
      <c r="AG4" s="712"/>
      <c r="AH4" s="712"/>
      <c r="AI4" s="712"/>
      <c r="AJ4" s="713" t="s">
        <v>203</v>
      </c>
    </row>
    <row r="5" spans="1:36" s="786" customFormat="1" ht="55.5" customHeight="1" x14ac:dyDescent="0.6">
      <c r="A5" s="1055" t="s">
        <v>757</v>
      </c>
      <c r="B5" s="1037" t="s">
        <v>244</v>
      </c>
      <c r="C5" s="1038"/>
      <c r="D5" s="1039"/>
      <c r="E5" s="1037" t="s">
        <v>245</v>
      </c>
      <c r="F5" s="1038"/>
      <c r="G5" s="1039"/>
      <c r="H5" s="1037" t="s">
        <v>246</v>
      </c>
      <c r="I5" s="1038"/>
      <c r="J5" s="1039"/>
      <c r="K5" s="1055" t="s">
        <v>757</v>
      </c>
      <c r="L5" s="1037" t="s">
        <v>247</v>
      </c>
      <c r="M5" s="1038"/>
      <c r="N5" s="1039"/>
      <c r="O5" s="1037" t="s">
        <v>319</v>
      </c>
      <c r="P5" s="1038"/>
      <c r="Q5" s="1039"/>
      <c r="R5" s="1037" t="s">
        <v>228</v>
      </c>
      <c r="S5" s="1038"/>
      <c r="T5" s="1039"/>
      <c r="U5" s="1055" t="s">
        <v>757</v>
      </c>
      <c r="V5" s="1046" t="s">
        <v>758</v>
      </c>
      <c r="W5" s="1047"/>
      <c r="X5" s="1048"/>
      <c r="Y5" s="1046" t="s">
        <v>759</v>
      </c>
      <c r="Z5" s="1047"/>
      <c r="AA5" s="1048"/>
      <c r="AB5" s="1046" t="s">
        <v>250</v>
      </c>
      <c r="AC5" s="1047"/>
      <c r="AD5" s="1048"/>
      <c r="AE5" s="1046" t="s">
        <v>229</v>
      </c>
      <c r="AF5" s="1047"/>
      <c r="AG5" s="1048"/>
      <c r="AH5" s="1046" t="s">
        <v>760</v>
      </c>
      <c r="AI5" s="1047"/>
      <c r="AJ5" s="1048"/>
    </row>
    <row r="6" spans="1:36" s="786" customFormat="1" ht="54" customHeight="1" x14ac:dyDescent="0.6">
      <c r="A6" s="1056"/>
      <c r="B6" s="1040"/>
      <c r="C6" s="1041"/>
      <c r="D6" s="1042"/>
      <c r="E6" s="1040"/>
      <c r="F6" s="1041"/>
      <c r="G6" s="1042"/>
      <c r="H6" s="1040"/>
      <c r="I6" s="1041"/>
      <c r="J6" s="1042"/>
      <c r="K6" s="1056"/>
      <c r="L6" s="1040"/>
      <c r="M6" s="1041"/>
      <c r="N6" s="1042"/>
      <c r="O6" s="1040"/>
      <c r="P6" s="1041"/>
      <c r="Q6" s="1042"/>
      <c r="R6" s="1040"/>
      <c r="S6" s="1041"/>
      <c r="T6" s="1042"/>
      <c r="U6" s="1056"/>
      <c r="V6" s="1049"/>
      <c r="W6" s="1050"/>
      <c r="X6" s="1051"/>
      <c r="Y6" s="1049"/>
      <c r="Z6" s="1050"/>
      <c r="AA6" s="1051"/>
      <c r="AB6" s="1049"/>
      <c r="AC6" s="1050"/>
      <c r="AD6" s="1051"/>
      <c r="AE6" s="1049"/>
      <c r="AF6" s="1050"/>
      <c r="AG6" s="1051"/>
      <c r="AH6" s="1049"/>
      <c r="AI6" s="1050"/>
      <c r="AJ6" s="1051"/>
    </row>
    <row r="7" spans="1:36" s="787" customFormat="1" ht="94.5" customHeight="1" thickBot="1" x14ac:dyDescent="0.65">
      <c r="A7" s="749" t="s">
        <v>716</v>
      </c>
      <c r="B7" s="1043"/>
      <c r="C7" s="1044"/>
      <c r="D7" s="1045"/>
      <c r="E7" s="1043"/>
      <c r="F7" s="1044"/>
      <c r="G7" s="1045"/>
      <c r="H7" s="1043"/>
      <c r="I7" s="1044"/>
      <c r="J7" s="1045"/>
      <c r="K7" s="749" t="s">
        <v>716</v>
      </c>
      <c r="L7" s="1043"/>
      <c r="M7" s="1044"/>
      <c r="N7" s="1045"/>
      <c r="O7" s="1043"/>
      <c r="P7" s="1044"/>
      <c r="Q7" s="1045"/>
      <c r="R7" s="1043"/>
      <c r="S7" s="1044"/>
      <c r="T7" s="1045"/>
      <c r="U7" s="749" t="s">
        <v>716</v>
      </c>
      <c r="V7" s="1052"/>
      <c r="W7" s="1053"/>
      <c r="X7" s="1054"/>
      <c r="Y7" s="1052"/>
      <c r="Z7" s="1053"/>
      <c r="AA7" s="1054"/>
      <c r="AB7" s="1052"/>
      <c r="AC7" s="1053"/>
      <c r="AD7" s="1054"/>
      <c r="AE7" s="1052"/>
      <c r="AF7" s="1053"/>
      <c r="AG7" s="1054"/>
      <c r="AH7" s="1052"/>
      <c r="AI7" s="1053"/>
      <c r="AJ7" s="1054"/>
    </row>
    <row r="8" spans="1:36" s="787" customFormat="1" ht="148.5" customHeight="1" thickBot="1" x14ac:dyDescent="0.65">
      <c r="A8" s="788"/>
      <c r="B8" s="729" t="s">
        <v>717</v>
      </c>
      <c r="C8" s="729" t="s">
        <v>718</v>
      </c>
      <c r="D8" s="729" t="s">
        <v>719</v>
      </c>
      <c r="E8" s="729" t="s">
        <v>717</v>
      </c>
      <c r="F8" s="729" t="s">
        <v>718</v>
      </c>
      <c r="G8" s="729" t="s">
        <v>719</v>
      </c>
      <c r="H8" s="729" t="s">
        <v>717</v>
      </c>
      <c r="I8" s="729" t="s">
        <v>718</v>
      </c>
      <c r="J8" s="729" t="s">
        <v>719</v>
      </c>
      <c r="K8" s="788"/>
      <c r="L8" s="729" t="s">
        <v>717</v>
      </c>
      <c r="M8" s="729" t="s">
        <v>718</v>
      </c>
      <c r="N8" s="729" t="s">
        <v>719</v>
      </c>
      <c r="O8" s="729" t="s">
        <v>717</v>
      </c>
      <c r="P8" s="729" t="s">
        <v>718</v>
      </c>
      <c r="Q8" s="729" t="s">
        <v>719</v>
      </c>
      <c r="R8" s="729" t="s">
        <v>717</v>
      </c>
      <c r="S8" s="729" t="s">
        <v>718</v>
      </c>
      <c r="T8" s="729" t="s">
        <v>719</v>
      </c>
      <c r="U8" s="788"/>
      <c r="V8" s="729" t="s">
        <v>717</v>
      </c>
      <c r="W8" s="729" t="s">
        <v>718</v>
      </c>
      <c r="X8" s="729" t="s">
        <v>719</v>
      </c>
      <c r="Y8" s="729" t="s">
        <v>717</v>
      </c>
      <c r="Z8" s="729" t="s">
        <v>718</v>
      </c>
      <c r="AA8" s="729" t="s">
        <v>719</v>
      </c>
      <c r="AB8" s="729" t="s">
        <v>717</v>
      </c>
      <c r="AC8" s="729" t="s">
        <v>718</v>
      </c>
      <c r="AD8" s="729" t="s">
        <v>719</v>
      </c>
      <c r="AE8" s="729" t="s">
        <v>717</v>
      </c>
      <c r="AF8" s="729" t="s">
        <v>718</v>
      </c>
      <c r="AG8" s="729" t="s">
        <v>719</v>
      </c>
      <c r="AH8" s="729" t="s">
        <v>717</v>
      </c>
      <c r="AI8" s="729" t="s">
        <v>718</v>
      </c>
      <c r="AJ8" s="729" t="s">
        <v>719</v>
      </c>
    </row>
    <row r="9" spans="1:36" s="785" customFormat="1" ht="45.75" customHeight="1" x14ac:dyDescent="0.7">
      <c r="A9" s="731" t="s">
        <v>720</v>
      </c>
      <c r="B9" s="732"/>
      <c r="C9" s="732"/>
      <c r="D9" s="732"/>
      <c r="E9" s="732"/>
      <c r="F9" s="732"/>
      <c r="G9" s="732"/>
      <c r="H9" s="732"/>
      <c r="I9" s="732"/>
      <c r="J9" s="732"/>
      <c r="K9" s="731" t="s">
        <v>720</v>
      </c>
      <c r="L9" s="732"/>
      <c r="M9" s="732"/>
      <c r="N9" s="732"/>
      <c r="O9" s="732"/>
      <c r="P9" s="732"/>
      <c r="Q9" s="732"/>
      <c r="R9" s="732"/>
      <c r="S9" s="732"/>
      <c r="T9" s="732"/>
      <c r="U9" s="731" t="s">
        <v>720</v>
      </c>
      <c r="V9" s="731"/>
      <c r="W9" s="731"/>
      <c r="X9" s="731"/>
      <c r="Y9" s="731"/>
      <c r="Z9" s="731"/>
      <c r="AA9" s="731"/>
      <c r="AB9" s="732"/>
      <c r="AC9" s="732"/>
      <c r="AD9" s="732"/>
      <c r="AE9" s="731"/>
      <c r="AF9" s="731"/>
      <c r="AG9" s="731"/>
      <c r="AH9" s="731"/>
      <c r="AI9" s="731"/>
      <c r="AJ9" s="731"/>
    </row>
    <row r="10" spans="1:36" s="785" customFormat="1" ht="48.75" customHeight="1" x14ac:dyDescent="0.7">
      <c r="A10" s="734" t="s">
        <v>721</v>
      </c>
      <c r="B10" s="735">
        <f>'[3]int.kiadások RM II'!D10</f>
        <v>239153</v>
      </c>
      <c r="C10" s="789">
        <f>-2263+1490</f>
        <v>-773</v>
      </c>
      <c r="D10" s="735">
        <f>SUM(B10:C10)</f>
        <v>238380</v>
      </c>
      <c r="E10" s="735">
        <f>'[3]int.kiadások RM II'!G10</f>
        <v>35346</v>
      </c>
      <c r="F10" s="735">
        <f>-295+194</f>
        <v>-101</v>
      </c>
      <c r="G10" s="735">
        <f t="shared" ref="G10:G27" si="0">SUM(E10:F10)</f>
        <v>35245</v>
      </c>
      <c r="H10" s="735">
        <f>'[3]int.kiadások RM II'!J10</f>
        <v>7766</v>
      </c>
      <c r="I10" s="735">
        <v>891</v>
      </c>
      <c r="J10" s="735">
        <f>SUM(H10:I10)</f>
        <v>8657</v>
      </c>
      <c r="K10" s="734" t="s">
        <v>721</v>
      </c>
      <c r="L10" s="735">
        <f>'[3]int.kiadások RM II'!N10</f>
        <v>0</v>
      </c>
      <c r="M10" s="735"/>
      <c r="N10" s="735">
        <f>SUM(L10:M10)</f>
        <v>0</v>
      </c>
      <c r="O10" s="735">
        <f>'[3]int.kiadások RM II'!Q10</f>
        <v>0</v>
      </c>
      <c r="P10" s="735"/>
      <c r="Q10" s="735">
        <f>SUM(O10:P10)</f>
        <v>0</v>
      </c>
      <c r="R10" s="736">
        <f>B10+E10+H10+L10+O10</f>
        <v>282265</v>
      </c>
      <c r="S10" s="736">
        <f>C10+F10+I10+M10+P10</f>
        <v>17</v>
      </c>
      <c r="T10" s="736">
        <f>D10+G10+J10+N10+Q10</f>
        <v>282282</v>
      </c>
      <c r="U10" s="734" t="s">
        <v>721</v>
      </c>
      <c r="V10" s="735">
        <f>'[3]int.kiadások RM II'!X10</f>
        <v>0</v>
      </c>
      <c r="W10" s="735">
        <v>2046</v>
      </c>
      <c r="X10" s="735">
        <f>SUM(V10:W10)</f>
        <v>2046</v>
      </c>
      <c r="Y10" s="735">
        <f>'[3]int.kiadások RM II'!AA10</f>
        <v>0</v>
      </c>
      <c r="Z10" s="735"/>
      <c r="AA10" s="735">
        <f>SUM(Y10:Z10)</f>
        <v>0</v>
      </c>
      <c r="AB10" s="735">
        <f>'[3]int.kiadások RM II'!AD10</f>
        <v>0</v>
      </c>
      <c r="AC10" s="735"/>
      <c r="AD10" s="735">
        <f>SUM(AB10:AC10)</f>
        <v>0</v>
      </c>
      <c r="AE10" s="736">
        <f>V10+Y10+AB10</f>
        <v>0</v>
      </c>
      <c r="AF10" s="736">
        <f>W10+Z10+AC10</f>
        <v>2046</v>
      </c>
      <c r="AG10" s="736">
        <f>X10+AA10+AD10</f>
        <v>2046</v>
      </c>
      <c r="AH10" s="736">
        <f t="shared" ref="AH10:AJ29" si="1">R10+AE10</f>
        <v>282265</v>
      </c>
      <c r="AI10" s="736">
        <f t="shared" si="1"/>
        <v>2063</v>
      </c>
      <c r="AJ10" s="736">
        <f t="shared" si="1"/>
        <v>284328</v>
      </c>
    </row>
    <row r="11" spans="1:36" s="785" customFormat="1" ht="48.75" customHeight="1" x14ac:dyDescent="0.7">
      <c r="A11" s="737" t="s">
        <v>722</v>
      </c>
      <c r="B11" s="735">
        <f>'[3]int.kiadások RM II'!D11</f>
        <v>168307</v>
      </c>
      <c r="C11" s="735">
        <f>-644+848</f>
        <v>204</v>
      </c>
      <c r="D11" s="735">
        <f t="shared" ref="D11:D36" si="2">SUM(B11:C11)</f>
        <v>168511</v>
      </c>
      <c r="E11" s="735">
        <f>'[3]int.kiadások RM II'!G11</f>
        <v>21753</v>
      </c>
      <c r="F11" s="735">
        <f>-84+110</f>
        <v>26</v>
      </c>
      <c r="G11" s="735">
        <f t="shared" si="0"/>
        <v>21779</v>
      </c>
      <c r="H11" s="735">
        <f>'[3]int.kiadások RM II'!J11</f>
        <v>3676</v>
      </c>
      <c r="I11" s="735">
        <v>540</v>
      </c>
      <c r="J11" s="735">
        <f t="shared" ref="J11:J27" si="3">SUM(H11:I11)</f>
        <v>4216</v>
      </c>
      <c r="K11" s="737" t="s">
        <v>722</v>
      </c>
      <c r="L11" s="735">
        <f>'[3]int.kiadások RM II'!N11</f>
        <v>0</v>
      </c>
      <c r="M11" s="735"/>
      <c r="N11" s="735">
        <f t="shared" ref="N11:N27" si="4">SUM(L11:M11)</f>
        <v>0</v>
      </c>
      <c r="O11" s="735">
        <f>'[3]int.kiadások RM II'!Q11</f>
        <v>0</v>
      </c>
      <c r="P11" s="735"/>
      <c r="Q11" s="735">
        <f t="shared" ref="Q11:Q27" si="5">SUM(O11:P11)</f>
        <v>0</v>
      </c>
      <c r="R11" s="736">
        <f t="shared" ref="R11:T27" si="6">B11+E11+H11+L11+O11</f>
        <v>193736</v>
      </c>
      <c r="S11" s="736">
        <f t="shared" si="6"/>
        <v>770</v>
      </c>
      <c r="T11" s="736">
        <f t="shared" si="6"/>
        <v>194506</v>
      </c>
      <c r="U11" s="737" t="s">
        <v>722</v>
      </c>
      <c r="V11" s="735">
        <f>'[3]int.kiadások RM II'!X11</f>
        <v>0</v>
      </c>
      <c r="W11" s="735">
        <v>188</v>
      </c>
      <c r="X11" s="735">
        <f t="shared" ref="X11:X29" si="7">SUM(V11:W11)</f>
        <v>188</v>
      </c>
      <c r="Y11" s="735">
        <f>'[3]int.kiadások RM II'!AA11</f>
        <v>0</v>
      </c>
      <c r="Z11" s="735"/>
      <c r="AA11" s="735">
        <f t="shared" ref="AA11:AA27" si="8">SUM(Y11:Z11)</f>
        <v>0</v>
      </c>
      <c r="AB11" s="735">
        <f>'[3]int.kiadások RM II'!AD11</f>
        <v>0</v>
      </c>
      <c r="AC11" s="735"/>
      <c r="AD11" s="735">
        <f t="shared" ref="AD11:AD27" si="9">SUM(AB11:AC11)</f>
        <v>0</v>
      </c>
      <c r="AE11" s="736">
        <f t="shared" ref="AE11:AG27" si="10">V11+Y11+AB11</f>
        <v>0</v>
      </c>
      <c r="AF11" s="736">
        <f t="shared" si="10"/>
        <v>188</v>
      </c>
      <c r="AG11" s="736">
        <f t="shared" si="10"/>
        <v>188</v>
      </c>
      <c r="AH11" s="736">
        <f t="shared" si="1"/>
        <v>193736</v>
      </c>
      <c r="AI11" s="736">
        <f t="shared" si="1"/>
        <v>958</v>
      </c>
      <c r="AJ11" s="736">
        <f t="shared" si="1"/>
        <v>194694</v>
      </c>
    </row>
    <row r="12" spans="1:36" s="785" customFormat="1" ht="48.75" customHeight="1" x14ac:dyDescent="0.7">
      <c r="A12" s="737" t="s">
        <v>723</v>
      </c>
      <c r="B12" s="735">
        <f>'[3]int.kiadások RM II'!D12</f>
        <v>179148</v>
      </c>
      <c r="C12" s="735">
        <f>-425+848</f>
        <v>423</v>
      </c>
      <c r="D12" s="735">
        <f t="shared" si="2"/>
        <v>179571</v>
      </c>
      <c r="E12" s="735">
        <f>'[3]int.kiadások RM II'!G12</f>
        <v>23438</v>
      </c>
      <c r="F12" s="735">
        <f>-55+110</f>
        <v>55</v>
      </c>
      <c r="G12" s="735">
        <f t="shared" si="0"/>
        <v>23493</v>
      </c>
      <c r="H12" s="735">
        <f>'[3]int.kiadások RM II'!J12</f>
        <v>3817</v>
      </c>
      <c r="I12" s="735"/>
      <c r="J12" s="735">
        <f t="shared" si="3"/>
        <v>3817</v>
      </c>
      <c r="K12" s="737" t="s">
        <v>723</v>
      </c>
      <c r="L12" s="735">
        <f>'[3]int.kiadások RM II'!N12</f>
        <v>0</v>
      </c>
      <c r="M12" s="735"/>
      <c r="N12" s="735">
        <f t="shared" si="4"/>
        <v>0</v>
      </c>
      <c r="O12" s="735">
        <f>'[3]int.kiadások RM II'!Q12</f>
        <v>0</v>
      </c>
      <c r="P12" s="735"/>
      <c r="Q12" s="735">
        <f t="shared" si="5"/>
        <v>0</v>
      </c>
      <c r="R12" s="736">
        <f t="shared" si="6"/>
        <v>206403</v>
      </c>
      <c r="S12" s="736">
        <f t="shared" si="6"/>
        <v>478</v>
      </c>
      <c r="T12" s="736">
        <f t="shared" si="6"/>
        <v>206881</v>
      </c>
      <c r="U12" s="737" t="s">
        <v>723</v>
      </c>
      <c r="V12" s="735">
        <f>'[3]int.kiadások RM II'!X12</f>
        <v>87</v>
      </c>
      <c r="W12" s="735">
        <v>480</v>
      </c>
      <c r="X12" s="735">
        <f t="shared" si="7"/>
        <v>567</v>
      </c>
      <c r="Y12" s="735">
        <f>'[3]int.kiadások RM II'!AA12</f>
        <v>0</v>
      </c>
      <c r="Z12" s="735"/>
      <c r="AA12" s="735">
        <f t="shared" si="8"/>
        <v>0</v>
      </c>
      <c r="AB12" s="735">
        <f>'[3]int.kiadások RM II'!AD12</f>
        <v>0</v>
      </c>
      <c r="AC12" s="735"/>
      <c r="AD12" s="735">
        <f t="shared" si="9"/>
        <v>0</v>
      </c>
      <c r="AE12" s="736">
        <f t="shared" si="10"/>
        <v>87</v>
      </c>
      <c r="AF12" s="736">
        <f t="shared" si="10"/>
        <v>480</v>
      </c>
      <c r="AG12" s="736">
        <f t="shared" si="10"/>
        <v>567</v>
      </c>
      <c r="AH12" s="736">
        <f t="shared" si="1"/>
        <v>206490</v>
      </c>
      <c r="AI12" s="736">
        <f t="shared" si="1"/>
        <v>958</v>
      </c>
      <c r="AJ12" s="736">
        <f t="shared" si="1"/>
        <v>207448</v>
      </c>
    </row>
    <row r="13" spans="1:36" s="785" customFormat="1" ht="48.75" customHeight="1" x14ac:dyDescent="0.7">
      <c r="A13" s="737" t="s">
        <v>724</v>
      </c>
      <c r="B13" s="735">
        <f>'[3]int.kiadások RM II'!D13</f>
        <v>209997</v>
      </c>
      <c r="C13" s="735">
        <f>-328+1410</f>
        <v>1082</v>
      </c>
      <c r="D13" s="735">
        <f t="shared" si="2"/>
        <v>211079</v>
      </c>
      <c r="E13" s="735">
        <f>'[3]int.kiadások RM II'!G13</f>
        <v>30991</v>
      </c>
      <c r="F13" s="735">
        <f>-43+183</f>
        <v>140</v>
      </c>
      <c r="G13" s="735">
        <f t="shared" si="0"/>
        <v>31131</v>
      </c>
      <c r="H13" s="735">
        <f>'[3]int.kiadások RM II'!J13</f>
        <v>4113</v>
      </c>
      <c r="I13" s="735">
        <f>371+100</f>
        <v>471</v>
      </c>
      <c r="J13" s="735">
        <f t="shared" si="3"/>
        <v>4584</v>
      </c>
      <c r="K13" s="737" t="s">
        <v>724</v>
      </c>
      <c r="L13" s="735">
        <f>'[3]int.kiadások RM II'!N13</f>
        <v>0</v>
      </c>
      <c r="M13" s="735"/>
      <c r="N13" s="735">
        <f t="shared" si="4"/>
        <v>0</v>
      </c>
      <c r="O13" s="735">
        <f>'[3]int.kiadások RM II'!Q13</f>
        <v>0</v>
      </c>
      <c r="P13" s="735"/>
      <c r="Q13" s="735">
        <f t="shared" si="5"/>
        <v>0</v>
      </c>
      <c r="R13" s="736">
        <f t="shared" si="6"/>
        <v>245101</v>
      </c>
      <c r="S13" s="736">
        <f t="shared" si="6"/>
        <v>1693</v>
      </c>
      <c r="T13" s="736">
        <f t="shared" si="6"/>
        <v>246794</v>
      </c>
      <c r="U13" s="737" t="s">
        <v>724</v>
      </c>
      <c r="V13" s="735">
        <f>'[3]int.kiadások RM II'!X13</f>
        <v>0</v>
      </c>
      <c r="W13" s="735"/>
      <c r="X13" s="735">
        <f t="shared" si="7"/>
        <v>0</v>
      </c>
      <c r="Y13" s="735">
        <f>'[3]int.kiadások RM II'!AA13</f>
        <v>0</v>
      </c>
      <c r="Z13" s="735"/>
      <c r="AA13" s="735">
        <f t="shared" si="8"/>
        <v>0</v>
      </c>
      <c r="AB13" s="735">
        <f>'[3]int.kiadások RM II'!AD13</f>
        <v>0</v>
      </c>
      <c r="AC13" s="735"/>
      <c r="AD13" s="735">
        <f t="shared" si="9"/>
        <v>0</v>
      </c>
      <c r="AE13" s="736">
        <f t="shared" si="10"/>
        <v>0</v>
      </c>
      <c r="AF13" s="736">
        <f t="shared" si="10"/>
        <v>0</v>
      </c>
      <c r="AG13" s="736">
        <f t="shared" si="10"/>
        <v>0</v>
      </c>
      <c r="AH13" s="736">
        <f t="shared" si="1"/>
        <v>245101</v>
      </c>
      <c r="AI13" s="736">
        <f t="shared" si="1"/>
        <v>1693</v>
      </c>
      <c r="AJ13" s="736">
        <f t="shared" si="1"/>
        <v>246794</v>
      </c>
    </row>
    <row r="14" spans="1:36" s="785" customFormat="1" ht="48.75" customHeight="1" x14ac:dyDescent="0.7">
      <c r="A14" s="737" t="s">
        <v>725</v>
      </c>
      <c r="B14" s="735">
        <f>'[3]int.kiadások RM II'!D14</f>
        <v>198361</v>
      </c>
      <c r="C14" s="735">
        <f>-607+1009</f>
        <v>402</v>
      </c>
      <c r="D14" s="735">
        <f t="shared" si="2"/>
        <v>198763</v>
      </c>
      <c r="E14" s="735">
        <f>'[3]int.kiadások RM II'!G14</f>
        <v>29071</v>
      </c>
      <c r="F14" s="735">
        <f>-79+131</f>
        <v>52</v>
      </c>
      <c r="G14" s="735">
        <f t="shared" si="0"/>
        <v>29123</v>
      </c>
      <c r="H14" s="735">
        <f>'[3]int.kiadások RM II'!J14</f>
        <v>3663</v>
      </c>
      <c r="I14" s="735">
        <v>348</v>
      </c>
      <c r="J14" s="735">
        <f t="shared" si="3"/>
        <v>4011</v>
      </c>
      <c r="K14" s="737" t="s">
        <v>725</v>
      </c>
      <c r="L14" s="735">
        <f>'[3]int.kiadások RM II'!N14</f>
        <v>0</v>
      </c>
      <c r="M14" s="735"/>
      <c r="N14" s="735">
        <f t="shared" si="4"/>
        <v>0</v>
      </c>
      <c r="O14" s="735">
        <f>'[3]int.kiadások RM II'!Q14</f>
        <v>0</v>
      </c>
      <c r="P14" s="735"/>
      <c r="Q14" s="735">
        <f t="shared" si="5"/>
        <v>0</v>
      </c>
      <c r="R14" s="736">
        <f t="shared" si="6"/>
        <v>231095</v>
      </c>
      <c r="S14" s="736">
        <f t="shared" si="6"/>
        <v>802</v>
      </c>
      <c r="T14" s="736">
        <f t="shared" si="6"/>
        <v>231897</v>
      </c>
      <c r="U14" s="737" t="s">
        <v>725</v>
      </c>
      <c r="V14" s="735">
        <f>'[3]int.kiadások RM II'!X14</f>
        <v>23</v>
      </c>
      <c r="W14" s="735">
        <v>338</v>
      </c>
      <c r="X14" s="735">
        <f t="shared" si="7"/>
        <v>361</v>
      </c>
      <c r="Y14" s="735">
        <f>'[3]int.kiadások RM II'!AA14</f>
        <v>0</v>
      </c>
      <c r="Z14" s="735"/>
      <c r="AA14" s="735">
        <f t="shared" si="8"/>
        <v>0</v>
      </c>
      <c r="AB14" s="735">
        <f>'[3]int.kiadások RM II'!AD14</f>
        <v>0</v>
      </c>
      <c r="AC14" s="735"/>
      <c r="AD14" s="735">
        <f t="shared" si="9"/>
        <v>0</v>
      </c>
      <c r="AE14" s="736">
        <f t="shared" si="10"/>
        <v>23</v>
      </c>
      <c r="AF14" s="736">
        <f t="shared" si="10"/>
        <v>338</v>
      </c>
      <c r="AG14" s="736">
        <f t="shared" si="10"/>
        <v>361</v>
      </c>
      <c r="AH14" s="736">
        <f t="shared" si="1"/>
        <v>231118</v>
      </c>
      <c r="AI14" s="736">
        <f t="shared" si="1"/>
        <v>1140</v>
      </c>
      <c r="AJ14" s="736">
        <f t="shared" si="1"/>
        <v>232258</v>
      </c>
    </row>
    <row r="15" spans="1:36" s="785" customFormat="1" ht="48.75" customHeight="1" x14ac:dyDescent="0.7">
      <c r="A15" s="737" t="s">
        <v>726</v>
      </c>
      <c r="B15" s="735">
        <f>'[3]int.kiadások RM II'!D15</f>
        <v>184443</v>
      </c>
      <c r="C15" s="735">
        <f>-1508+767</f>
        <v>-741</v>
      </c>
      <c r="D15" s="735">
        <f t="shared" si="2"/>
        <v>183702</v>
      </c>
      <c r="E15" s="735">
        <f>'[3]int.kiadások RM II'!G15</f>
        <v>24168</v>
      </c>
      <c r="F15" s="735">
        <f>-197+100</f>
        <v>-97</v>
      </c>
      <c r="G15" s="735">
        <f t="shared" si="0"/>
        <v>24071</v>
      </c>
      <c r="H15" s="735">
        <f>'[3]int.kiadások RM II'!J15</f>
        <v>4829</v>
      </c>
      <c r="I15" s="735">
        <v>527</v>
      </c>
      <c r="J15" s="735">
        <f t="shared" si="3"/>
        <v>5356</v>
      </c>
      <c r="K15" s="737" t="s">
        <v>726</v>
      </c>
      <c r="L15" s="735">
        <f>'[3]int.kiadások RM II'!N15</f>
        <v>0</v>
      </c>
      <c r="M15" s="735"/>
      <c r="N15" s="735">
        <f t="shared" si="4"/>
        <v>0</v>
      </c>
      <c r="O15" s="735">
        <f>'[3]int.kiadások RM II'!Q15</f>
        <v>0</v>
      </c>
      <c r="P15" s="735"/>
      <c r="Q15" s="735">
        <f t="shared" si="5"/>
        <v>0</v>
      </c>
      <c r="R15" s="736">
        <f t="shared" si="6"/>
        <v>213440</v>
      </c>
      <c r="S15" s="736">
        <f t="shared" si="6"/>
        <v>-311</v>
      </c>
      <c r="T15" s="736">
        <f t="shared" si="6"/>
        <v>213129</v>
      </c>
      <c r="U15" s="737" t="s">
        <v>726</v>
      </c>
      <c r="V15" s="735">
        <f>'[3]int.kiadások RM II'!X15</f>
        <v>0</v>
      </c>
      <c r="W15" s="735">
        <v>1381</v>
      </c>
      <c r="X15" s="735">
        <f t="shared" si="7"/>
        <v>1381</v>
      </c>
      <c r="Y15" s="735">
        <f>'[3]int.kiadások RM II'!AA15</f>
        <v>0</v>
      </c>
      <c r="Z15" s="735"/>
      <c r="AA15" s="735">
        <f t="shared" si="8"/>
        <v>0</v>
      </c>
      <c r="AB15" s="735">
        <f>'[3]int.kiadások RM II'!AD15</f>
        <v>0</v>
      </c>
      <c r="AC15" s="735"/>
      <c r="AD15" s="735">
        <f t="shared" si="9"/>
        <v>0</v>
      </c>
      <c r="AE15" s="736">
        <f t="shared" si="10"/>
        <v>0</v>
      </c>
      <c r="AF15" s="736">
        <f t="shared" si="10"/>
        <v>1381</v>
      </c>
      <c r="AG15" s="736">
        <f t="shared" si="10"/>
        <v>1381</v>
      </c>
      <c r="AH15" s="736">
        <f t="shared" si="1"/>
        <v>213440</v>
      </c>
      <c r="AI15" s="736">
        <f t="shared" si="1"/>
        <v>1070</v>
      </c>
      <c r="AJ15" s="736">
        <f t="shared" si="1"/>
        <v>214510</v>
      </c>
    </row>
    <row r="16" spans="1:36" s="785" customFormat="1" ht="48.75" customHeight="1" x14ac:dyDescent="0.7">
      <c r="A16" s="737" t="s">
        <v>728</v>
      </c>
      <c r="B16" s="735">
        <f>'[3]int.kiadások RM II'!D16</f>
        <v>138814</v>
      </c>
      <c r="C16" s="735">
        <f>-290+929</f>
        <v>639</v>
      </c>
      <c r="D16" s="735">
        <f t="shared" si="2"/>
        <v>139453</v>
      </c>
      <c r="E16" s="735">
        <f>'[3]int.kiadások RM II'!G16</f>
        <v>17982</v>
      </c>
      <c r="F16" s="735">
        <f>-38+120</f>
        <v>82</v>
      </c>
      <c r="G16" s="735">
        <f t="shared" si="0"/>
        <v>18064</v>
      </c>
      <c r="H16" s="735">
        <f>'[3]int.kiadások RM II'!J16</f>
        <v>3687</v>
      </c>
      <c r="I16" s="735">
        <v>285</v>
      </c>
      <c r="J16" s="735">
        <f t="shared" si="3"/>
        <v>3972</v>
      </c>
      <c r="K16" s="737" t="s">
        <v>728</v>
      </c>
      <c r="L16" s="735">
        <f>'[3]int.kiadások RM II'!N16</f>
        <v>0</v>
      </c>
      <c r="M16" s="735"/>
      <c r="N16" s="735">
        <f t="shared" si="4"/>
        <v>0</v>
      </c>
      <c r="O16" s="735">
        <f>'[3]int.kiadások RM II'!Q16</f>
        <v>0</v>
      </c>
      <c r="P16" s="735"/>
      <c r="Q16" s="735">
        <f t="shared" si="5"/>
        <v>0</v>
      </c>
      <c r="R16" s="736">
        <f t="shared" si="6"/>
        <v>160483</v>
      </c>
      <c r="S16" s="736">
        <f t="shared" si="6"/>
        <v>1006</v>
      </c>
      <c r="T16" s="736">
        <f t="shared" si="6"/>
        <v>161489</v>
      </c>
      <c r="U16" s="737" t="s">
        <v>728</v>
      </c>
      <c r="V16" s="735">
        <f>'[3]int.kiadások RM II'!X16</f>
        <v>0</v>
      </c>
      <c r="W16" s="735">
        <v>43</v>
      </c>
      <c r="X16" s="735">
        <f t="shared" si="7"/>
        <v>43</v>
      </c>
      <c r="Y16" s="735">
        <f>'[3]int.kiadások RM II'!AA16</f>
        <v>0</v>
      </c>
      <c r="Z16" s="735"/>
      <c r="AA16" s="735">
        <f t="shared" si="8"/>
        <v>0</v>
      </c>
      <c r="AB16" s="735">
        <f>'[3]int.kiadások RM II'!AD16</f>
        <v>0</v>
      </c>
      <c r="AC16" s="735"/>
      <c r="AD16" s="735">
        <f t="shared" si="9"/>
        <v>0</v>
      </c>
      <c r="AE16" s="736">
        <f t="shared" si="10"/>
        <v>0</v>
      </c>
      <c r="AF16" s="736">
        <f t="shared" si="10"/>
        <v>43</v>
      </c>
      <c r="AG16" s="736">
        <f t="shared" si="10"/>
        <v>43</v>
      </c>
      <c r="AH16" s="736">
        <f t="shared" si="1"/>
        <v>160483</v>
      </c>
      <c r="AI16" s="736">
        <f t="shared" si="1"/>
        <v>1049</v>
      </c>
      <c r="AJ16" s="736">
        <f t="shared" si="1"/>
        <v>161532</v>
      </c>
    </row>
    <row r="17" spans="1:36" s="785" customFormat="1" ht="48.75" customHeight="1" x14ac:dyDescent="0.7">
      <c r="A17" s="737" t="s">
        <v>729</v>
      </c>
      <c r="B17" s="735">
        <f>'[3]int.kiadások RM II'!D17</f>
        <v>154316</v>
      </c>
      <c r="C17" s="735">
        <f>-3899+767</f>
        <v>-3132</v>
      </c>
      <c r="D17" s="735">
        <f t="shared" si="2"/>
        <v>151184</v>
      </c>
      <c r="E17" s="735">
        <f>'[3]int.kiadások RM II'!G17</f>
        <v>20116</v>
      </c>
      <c r="F17" s="735">
        <f>-507+100</f>
        <v>-407</v>
      </c>
      <c r="G17" s="735">
        <f t="shared" si="0"/>
        <v>19709</v>
      </c>
      <c r="H17" s="735">
        <f>'[3]int.kiadások RM II'!J17</f>
        <v>4042</v>
      </c>
      <c r="I17" s="735">
        <v>4406</v>
      </c>
      <c r="J17" s="735">
        <f t="shared" si="3"/>
        <v>8448</v>
      </c>
      <c r="K17" s="737" t="s">
        <v>729</v>
      </c>
      <c r="L17" s="735">
        <f>'[3]int.kiadások RM II'!N17</f>
        <v>0</v>
      </c>
      <c r="M17" s="735"/>
      <c r="N17" s="735">
        <f t="shared" si="4"/>
        <v>0</v>
      </c>
      <c r="O17" s="735">
        <f>'[3]int.kiadások RM II'!Q17</f>
        <v>0</v>
      </c>
      <c r="P17" s="735"/>
      <c r="Q17" s="735">
        <f t="shared" si="5"/>
        <v>0</v>
      </c>
      <c r="R17" s="736">
        <f t="shared" si="6"/>
        <v>178474</v>
      </c>
      <c r="S17" s="736">
        <f t="shared" si="6"/>
        <v>867</v>
      </c>
      <c r="T17" s="736">
        <f t="shared" si="6"/>
        <v>179341</v>
      </c>
      <c r="U17" s="737" t="s">
        <v>729</v>
      </c>
      <c r="V17" s="735">
        <f>'[3]int.kiadások RM II'!X17</f>
        <v>2825</v>
      </c>
      <c r="W17" s="735"/>
      <c r="X17" s="735">
        <f t="shared" si="7"/>
        <v>2825</v>
      </c>
      <c r="Y17" s="735">
        <f>'[3]int.kiadások RM II'!AA17</f>
        <v>0</v>
      </c>
      <c r="Z17" s="735"/>
      <c r="AA17" s="735">
        <f t="shared" si="8"/>
        <v>0</v>
      </c>
      <c r="AB17" s="735">
        <f>'[3]int.kiadások RM II'!AD17</f>
        <v>0</v>
      </c>
      <c r="AC17" s="735"/>
      <c r="AD17" s="735">
        <f t="shared" si="9"/>
        <v>0</v>
      </c>
      <c r="AE17" s="736">
        <f t="shared" si="10"/>
        <v>2825</v>
      </c>
      <c r="AF17" s="736">
        <f t="shared" si="10"/>
        <v>0</v>
      </c>
      <c r="AG17" s="736">
        <f t="shared" si="10"/>
        <v>2825</v>
      </c>
      <c r="AH17" s="736">
        <f t="shared" si="1"/>
        <v>181299</v>
      </c>
      <c r="AI17" s="736">
        <f t="shared" si="1"/>
        <v>867</v>
      </c>
      <c r="AJ17" s="736">
        <f t="shared" si="1"/>
        <v>182166</v>
      </c>
    </row>
    <row r="18" spans="1:36" s="785" customFormat="1" ht="48.75" customHeight="1" x14ac:dyDescent="0.7">
      <c r="A18" s="737" t="s">
        <v>730</v>
      </c>
      <c r="B18" s="735">
        <f>'[3]int.kiadások RM II'!D18</f>
        <v>204831</v>
      </c>
      <c r="C18" s="735">
        <f>-4258+1250</f>
        <v>-3008</v>
      </c>
      <c r="D18" s="735">
        <f t="shared" si="2"/>
        <v>201823</v>
      </c>
      <c r="E18" s="735">
        <f>'[3]int.kiadások RM II'!G18</f>
        <v>30241</v>
      </c>
      <c r="F18" s="735">
        <f>-553+162</f>
        <v>-391</v>
      </c>
      <c r="G18" s="735">
        <f t="shared" si="0"/>
        <v>29850</v>
      </c>
      <c r="H18" s="735">
        <f>'[3]int.kiadások RM II'!J18</f>
        <v>4582</v>
      </c>
      <c r="I18" s="735">
        <v>-526</v>
      </c>
      <c r="J18" s="735">
        <f t="shared" si="3"/>
        <v>4056</v>
      </c>
      <c r="K18" s="737" t="s">
        <v>730</v>
      </c>
      <c r="L18" s="735">
        <f>'[3]int.kiadások RM II'!N18</f>
        <v>0</v>
      </c>
      <c r="M18" s="735"/>
      <c r="N18" s="735">
        <f t="shared" si="4"/>
        <v>0</v>
      </c>
      <c r="O18" s="735">
        <f>'[3]int.kiadások RM II'!Q18</f>
        <v>0</v>
      </c>
      <c r="P18" s="735"/>
      <c r="Q18" s="735">
        <f t="shared" si="5"/>
        <v>0</v>
      </c>
      <c r="R18" s="736">
        <f t="shared" si="6"/>
        <v>239654</v>
      </c>
      <c r="S18" s="736">
        <f t="shared" si="6"/>
        <v>-3925</v>
      </c>
      <c r="T18" s="736">
        <f t="shared" si="6"/>
        <v>235729</v>
      </c>
      <c r="U18" s="737" t="s">
        <v>730</v>
      </c>
      <c r="V18" s="735">
        <f>'[3]int.kiadások RM II'!X18</f>
        <v>1025</v>
      </c>
      <c r="W18" s="735">
        <v>5847</v>
      </c>
      <c r="X18" s="735">
        <f t="shared" si="7"/>
        <v>6872</v>
      </c>
      <c r="Y18" s="735">
        <f>'[3]int.kiadások RM II'!AA18</f>
        <v>0</v>
      </c>
      <c r="Z18" s="735"/>
      <c r="AA18" s="735">
        <f t="shared" si="8"/>
        <v>0</v>
      </c>
      <c r="AB18" s="735">
        <f>'[3]int.kiadások RM II'!AD18</f>
        <v>0</v>
      </c>
      <c r="AC18" s="735"/>
      <c r="AD18" s="735">
        <f t="shared" si="9"/>
        <v>0</v>
      </c>
      <c r="AE18" s="736">
        <f t="shared" si="10"/>
        <v>1025</v>
      </c>
      <c r="AF18" s="736">
        <f t="shared" si="10"/>
        <v>5847</v>
      </c>
      <c r="AG18" s="736">
        <f t="shared" si="10"/>
        <v>6872</v>
      </c>
      <c r="AH18" s="736">
        <f t="shared" si="1"/>
        <v>240679</v>
      </c>
      <c r="AI18" s="736">
        <f t="shared" si="1"/>
        <v>1922</v>
      </c>
      <c r="AJ18" s="736">
        <f t="shared" si="1"/>
        <v>242601</v>
      </c>
    </row>
    <row r="19" spans="1:36" s="785" customFormat="1" ht="48.75" customHeight="1" x14ac:dyDescent="0.7">
      <c r="A19" s="737" t="s">
        <v>731</v>
      </c>
      <c r="B19" s="735">
        <f>'[3]int.kiadások RM II'!D19</f>
        <v>252305</v>
      </c>
      <c r="C19" s="735">
        <v>1490</v>
      </c>
      <c r="D19" s="735">
        <f t="shared" si="2"/>
        <v>253795</v>
      </c>
      <c r="E19" s="735">
        <f>'[3]int.kiadások RM II'!G19</f>
        <v>36518</v>
      </c>
      <c r="F19" s="735">
        <v>194</v>
      </c>
      <c r="G19" s="735">
        <f t="shared" si="0"/>
        <v>36712</v>
      </c>
      <c r="H19" s="735">
        <f>'[3]int.kiadások RM II'!J19</f>
        <v>5299</v>
      </c>
      <c r="I19" s="735">
        <v>258</v>
      </c>
      <c r="J19" s="735">
        <f t="shared" si="3"/>
        <v>5557</v>
      </c>
      <c r="K19" s="737" t="s">
        <v>731</v>
      </c>
      <c r="L19" s="735">
        <f>'[3]int.kiadások RM II'!N19</f>
        <v>0</v>
      </c>
      <c r="M19" s="735"/>
      <c r="N19" s="735">
        <f t="shared" si="4"/>
        <v>0</v>
      </c>
      <c r="O19" s="735">
        <f>'[3]int.kiadások RM II'!Q19</f>
        <v>0</v>
      </c>
      <c r="P19" s="735"/>
      <c r="Q19" s="735">
        <f t="shared" si="5"/>
        <v>0</v>
      </c>
      <c r="R19" s="736">
        <f t="shared" si="6"/>
        <v>294122</v>
      </c>
      <c r="S19" s="736">
        <f t="shared" si="6"/>
        <v>1942</v>
      </c>
      <c r="T19" s="736">
        <f t="shared" si="6"/>
        <v>296064</v>
      </c>
      <c r="U19" s="737" t="s">
        <v>731</v>
      </c>
      <c r="V19" s="735">
        <f>'[3]int.kiadások RM II'!X19</f>
        <v>0</v>
      </c>
      <c r="W19" s="735">
        <v>175</v>
      </c>
      <c r="X19" s="735">
        <f t="shared" si="7"/>
        <v>175</v>
      </c>
      <c r="Y19" s="735">
        <f>'[3]int.kiadások RM II'!AA19</f>
        <v>0</v>
      </c>
      <c r="Z19" s="735"/>
      <c r="AA19" s="735">
        <f t="shared" si="8"/>
        <v>0</v>
      </c>
      <c r="AB19" s="735">
        <f>'[3]int.kiadások RM II'!AD19</f>
        <v>0</v>
      </c>
      <c r="AC19" s="735"/>
      <c r="AD19" s="735">
        <f t="shared" si="9"/>
        <v>0</v>
      </c>
      <c r="AE19" s="736">
        <f t="shared" si="10"/>
        <v>0</v>
      </c>
      <c r="AF19" s="736">
        <f t="shared" si="10"/>
        <v>175</v>
      </c>
      <c r="AG19" s="736">
        <f t="shared" si="10"/>
        <v>175</v>
      </c>
      <c r="AH19" s="736">
        <f t="shared" si="1"/>
        <v>294122</v>
      </c>
      <c r="AI19" s="736">
        <f t="shared" si="1"/>
        <v>2117</v>
      </c>
      <c r="AJ19" s="736">
        <f t="shared" si="1"/>
        <v>296239</v>
      </c>
    </row>
    <row r="20" spans="1:36" s="785" customFormat="1" ht="48.75" customHeight="1" x14ac:dyDescent="0.7">
      <c r="A20" s="737" t="s">
        <v>732</v>
      </c>
      <c r="B20" s="735">
        <f>'[3]int.kiadások RM II'!D20</f>
        <v>119222</v>
      </c>
      <c r="C20" s="735">
        <f>-69+848</f>
        <v>779</v>
      </c>
      <c r="D20" s="735">
        <f t="shared" si="2"/>
        <v>120001</v>
      </c>
      <c r="E20" s="735">
        <f>'[3]int.kiadások RM II'!G20</f>
        <v>15459</v>
      </c>
      <c r="F20" s="735">
        <f>-9+110</f>
        <v>101</v>
      </c>
      <c r="G20" s="735">
        <f t="shared" si="0"/>
        <v>15560</v>
      </c>
      <c r="H20" s="735">
        <f>'[3]int.kiadások RM II'!J20</f>
        <v>3664</v>
      </c>
      <c r="I20" s="735">
        <v>78</v>
      </c>
      <c r="J20" s="735">
        <f t="shared" si="3"/>
        <v>3742</v>
      </c>
      <c r="K20" s="737" t="s">
        <v>732</v>
      </c>
      <c r="L20" s="735">
        <f>'[3]int.kiadások RM II'!N20</f>
        <v>0</v>
      </c>
      <c r="M20" s="735"/>
      <c r="N20" s="735">
        <f t="shared" si="4"/>
        <v>0</v>
      </c>
      <c r="O20" s="735">
        <f>'[3]int.kiadások RM II'!Q20</f>
        <v>0</v>
      </c>
      <c r="P20" s="735"/>
      <c r="Q20" s="735">
        <f t="shared" si="5"/>
        <v>0</v>
      </c>
      <c r="R20" s="736">
        <f t="shared" si="6"/>
        <v>138345</v>
      </c>
      <c r="S20" s="736">
        <f t="shared" si="6"/>
        <v>958</v>
      </c>
      <c r="T20" s="736">
        <f t="shared" si="6"/>
        <v>139303</v>
      </c>
      <c r="U20" s="737" t="s">
        <v>732</v>
      </c>
      <c r="V20" s="735">
        <f>'[3]int.kiadások RM II'!X20</f>
        <v>93</v>
      </c>
      <c r="W20" s="735"/>
      <c r="X20" s="735">
        <f t="shared" si="7"/>
        <v>93</v>
      </c>
      <c r="Y20" s="735">
        <f>'[3]int.kiadások RM II'!AA20</f>
        <v>0</v>
      </c>
      <c r="Z20" s="735"/>
      <c r="AA20" s="735">
        <f t="shared" si="8"/>
        <v>0</v>
      </c>
      <c r="AB20" s="735">
        <f>'[3]int.kiadások RM II'!AD20</f>
        <v>0</v>
      </c>
      <c r="AC20" s="735"/>
      <c r="AD20" s="735">
        <f t="shared" si="9"/>
        <v>0</v>
      </c>
      <c r="AE20" s="736">
        <f t="shared" si="10"/>
        <v>93</v>
      </c>
      <c r="AF20" s="736">
        <f t="shared" si="10"/>
        <v>0</v>
      </c>
      <c r="AG20" s="736">
        <f t="shared" si="10"/>
        <v>93</v>
      </c>
      <c r="AH20" s="736">
        <f t="shared" si="1"/>
        <v>138438</v>
      </c>
      <c r="AI20" s="736">
        <f t="shared" si="1"/>
        <v>958</v>
      </c>
      <c r="AJ20" s="736">
        <f t="shared" si="1"/>
        <v>139396</v>
      </c>
    </row>
    <row r="21" spans="1:36" s="785" customFormat="1" ht="48.75" customHeight="1" x14ac:dyDescent="0.7">
      <c r="A21" s="737" t="s">
        <v>733</v>
      </c>
      <c r="B21" s="735">
        <f>'[3]int.kiadások RM II'!D21</f>
        <v>119690</v>
      </c>
      <c r="C21" s="735">
        <f>-4612+607</f>
        <v>-4005</v>
      </c>
      <c r="D21" s="735">
        <f t="shared" si="2"/>
        <v>115685</v>
      </c>
      <c r="E21" s="735">
        <f>'[3]int.kiadások RM II'!G21</f>
        <v>15594</v>
      </c>
      <c r="F21" s="735">
        <f>-600+79</f>
        <v>-521</v>
      </c>
      <c r="G21" s="735">
        <f t="shared" si="0"/>
        <v>15073</v>
      </c>
      <c r="H21" s="735">
        <f>'[3]int.kiadások RM II'!J21</f>
        <v>2777</v>
      </c>
      <c r="I21" s="735">
        <v>481</v>
      </c>
      <c r="J21" s="735">
        <f t="shared" si="3"/>
        <v>3258</v>
      </c>
      <c r="K21" s="737" t="s">
        <v>733</v>
      </c>
      <c r="L21" s="735">
        <f>'[3]int.kiadások RM II'!N21</f>
        <v>0</v>
      </c>
      <c r="M21" s="735"/>
      <c r="N21" s="735">
        <f t="shared" si="4"/>
        <v>0</v>
      </c>
      <c r="O21" s="735">
        <f>'[3]int.kiadások RM II'!Q21</f>
        <v>0</v>
      </c>
      <c r="P21" s="735"/>
      <c r="Q21" s="735">
        <f t="shared" si="5"/>
        <v>0</v>
      </c>
      <c r="R21" s="736">
        <f t="shared" si="6"/>
        <v>138061</v>
      </c>
      <c r="S21" s="736">
        <f t="shared" si="6"/>
        <v>-4045</v>
      </c>
      <c r="T21" s="736">
        <f t="shared" si="6"/>
        <v>134016</v>
      </c>
      <c r="U21" s="737" t="s">
        <v>733</v>
      </c>
      <c r="V21" s="735">
        <f>'[3]int.kiadások RM II'!X21</f>
        <v>0</v>
      </c>
      <c r="W21" s="735">
        <v>5071</v>
      </c>
      <c r="X21" s="735">
        <f t="shared" si="7"/>
        <v>5071</v>
      </c>
      <c r="Y21" s="735">
        <f>'[3]int.kiadások RM II'!AA21</f>
        <v>0</v>
      </c>
      <c r="Z21" s="735"/>
      <c r="AA21" s="735">
        <f t="shared" si="8"/>
        <v>0</v>
      </c>
      <c r="AB21" s="735">
        <f>'[3]int.kiadások RM II'!AD21</f>
        <v>0</v>
      </c>
      <c r="AC21" s="735"/>
      <c r="AD21" s="735">
        <f t="shared" si="9"/>
        <v>0</v>
      </c>
      <c r="AE21" s="736">
        <f t="shared" si="10"/>
        <v>0</v>
      </c>
      <c r="AF21" s="736">
        <f t="shared" si="10"/>
        <v>5071</v>
      </c>
      <c r="AG21" s="736">
        <f t="shared" si="10"/>
        <v>5071</v>
      </c>
      <c r="AH21" s="736">
        <f t="shared" si="1"/>
        <v>138061</v>
      </c>
      <c r="AI21" s="736">
        <f t="shared" si="1"/>
        <v>1026</v>
      </c>
      <c r="AJ21" s="736">
        <f t="shared" si="1"/>
        <v>139087</v>
      </c>
    </row>
    <row r="22" spans="1:36" s="785" customFormat="1" ht="48.75" customHeight="1" x14ac:dyDescent="0.7">
      <c r="A22" s="737" t="s">
        <v>734</v>
      </c>
      <c r="B22" s="735">
        <f>'[3]int.kiadások RM II'!D22</f>
        <v>143011</v>
      </c>
      <c r="C22" s="735">
        <f>-856+4033</f>
        <v>3177</v>
      </c>
      <c r="D22" s="735">
        <f t="shared" si="2"/>
        <v>146188</v>
      </c>
      <c r="E22" s="735">
        <f>'[3]int.kiadások RM II'!G22</f>
        <v>18554</v>
      </c>
      <c r="F22" s="735">
        <f>-111+524</f>
        <v>413</v>
      </c>
      <c r="G22" s="735">
        <f t="shared" si="0"/>
        <v>18967</v>
      </c>
      <c r="H22" s="735">
        <f>'[3]int.kiadások RM II'!J22</f>
        <v>4091</v>
      </c>
      <c r="I22" s="735">
        <v>1568</v>
      </c>
      <c r="J22" s="735">
        <f t="shared" si="3"/>
        <v>5659</v>
      </c>
      <c r="K22" s="737" t="s">
        <v>734</v>
      </c>
      <c r="L22" s="735">
        <f>'[3]int.kiadások RM II'!N22</f>
        <v>0</v>
      </c>
      <c r="M22" s="735"/>
      <c r="N22" s="735">
        <f t="shared" si="4"/>
        <v>0</v>
      </c>
      <c r="O22" s="735">
        <f>'[3]int.kiadások RM II'!Q22</f>
        <v>0</v>
      </c>
      <c r="P22" s="735"/>
      <c r="Q22" s="735">
        <f t="shared" si="5"/>
        <v>0</v>
      </c>
      <c r="R22" s="736">
        <f t="shared" si="6"/>
        <v>165656</v>
      </c>
      <c r="S22" s="736">
        <f t="shared" si="6"/>
        <v>5158</v>
      </c>
      <c r="T22" s="736">
        <f t="shared" si="6"/>
        <v>170814</v>
      </c>
      <c r="U22" s="737" t="s">
        <v>734</v>
      </c>
      <c r="V22" s="735">
        <f>'[3]int.kiadások RM II'!X22</f>
        <v>0</v>
      </c>
      <c r="W22" s="735"/>
      <c r="X22" s="735">
        <f t="shared" si="7"/>
        <v>0</v>
      </c>
      <c r="Y22" s="735">
        <f>'[3]int.kiadások RM II'!AA22</f>
        <v>0</v>
      </c>
      <c r="Z22" s="735"/>
      <c r="AA22" s="735">
        <f t="shared" si="8"/>
        <v>0</v>
      </c>
      <c r="AB22" s="735">
        <f>'[3]int.kiadások RM II'!AD22</f>
        <v>0</v>
      </c>
      <c r="AC22" s="735"/>
      <c r="AD22" s="735">
        <f t="shared" si="9"/>
        <v>0</v>
      </c>
      <c r="AE22" s="736">
        <f t="shared" si="10"/>
        <v>0</v>
      </c>
      <c r="AF22" s="736">
        <f t="shared" si="10"/>
        <v>0</v>
      </c>
      <c r="AG22" s="736">
        <f t="shared" si="10"/>
        <v>0</v>
      </c>
      <c r="AH22" s="736">
        <f t="shared" si="1"/>
        <v>165656</v>
      </c>
      <c r="AI22" s="736">
        <f t="shared" si="1"/>
        <v>5158</v>
      </c>
      <c r="AJ22" s="736">
        <f t="shared" si="1"/>
        <v>170814</v>
      </c>
    </row>
    <row r="23" spans="1:36" s="785" customFormat="1" ht="48.75" customHeight="1" x14ac:dyDescent="0.7">
      <c r="A23" s="737" t="s">
        <v>735</v>
      </c>
      <c r="B23" s="735">
        <f>'[3]int.kiadások RM II'!D23</f>
        <v>172086</v>
      </c>
      <c r="C23" s="735">
        <f>-306+647</f>
        <v>341</v>
      </c>
      <c r="D23" s="735">
        <f t="shared" si="2"/>
        <v>172427</v>
      </c>
      <c r="E23" s="735">
        <f>'[3]int.kiadások RM II'!G23</f>
        <v>22635</v>
      </c>
      <c r="F23" s="735">
        <f>-40+84</f>
        <v>44</v>
      </c>
      <c r="G23" s="735">
        <f t="shared" si="0"/>
        <v>22679</v>
      </c>
      <c r="H23" s="735">
        <f>'[3]int.kiadások RM II'!J23</f>
        <v>3316</v>
      </c>
      <c r="I23" s="735">
        <v>340</v>
      </c>
      <c r="J23" s="735">
        <f t="shared" si="3"/>
        <v>3656</v>
      </c>
      <c r="K23" s="737" t="s">
        <v>735</v>
      </c>
      <c r="L23" s="735">
        <f>'[3]int.kiadások RM II'!N23</f>
        <v>0</v>
      </c>
      <c r="M23" s="735"/>
      <c r="N23" s="735">
        <f t="shared" si="4"/>
        <v>0</v>
      </c>
      <c r="O23" s="735">
        <f>'[3]int.kiadások RM II'!Q23</f>
        <v>0</v>
      </c>
      <c r="P23" s="735"/>
      <c r="Q23" s="735">
        <f t="shared" si="5"/>
        <v>0</v>
      </c>
      <c r="R23" s="736">
        <f t="shared" si="6"/>
        <v>198037</v>
      </c>
      <c r="S23" s="736">
        <f t="shared" si="6"/>
        <v>725</v>
      </c>
      <c r="T23" s="736">
        <f t="shared" si="6"/>
        <v>198762</v>
      </c>
      <c r="U23" s="737" t="s">
        <v>735</v>
      </c>
      <c r="V23" s="735">
        <f>'[3]int.kiadások RM II'!X23</f>
        <v>0</v>
      </c>
      <c r="W23" s="735">
        <v>38</v>
      </c>
      <c r="X23" s="735">
        <f t="shared" si="7"/>
        <v>38</v>
      </c>
      <c r="Y23" s="735">
        <f>'[3]int.kiadások RM II'!AA23</f>
        <v>0</v>
      </c>
      <c r="Z23" s="735"/>
      <c r="AA23" s="735">
        <f t="shared" si="8"/>
        <v>0</v>
      </c>
      <c r="AB23" s="735">
        <f>'[3]int.kiadások RM II'!AD23</f>
        <v>0</v>
      </c>
      <c r="AC23" s="735"/>
      <c r="AD23" s="735">
        <f t="shared" si="9"/>
        <v>0</v>
      </c>
      <c r="AE23" s="736">
        <f t="shared" si="10"/>
        <v>0</v>
      </c>
      <c r="AF23" s="736">
        <f t="shared" si="10"/>
        <v>38</v>
      </c>
      <c r="AG23" s="736">
        <f t="shared" si="10"/>
        <v>38</v>
      </c>
      <c r="AH23" s="736">
        <f t="shared" si="1"/>
        <v>198037</v>
      </c>
      <c r="AI23" s="736">
        <f t="shared" si="1"/>
        <v>763</v>
      </c>
      <c r="AJ23" s="736">
        <f t="shared" si="1"/>
        <v>198800</v>
      </c>
    </row>
    <row r="24" spans="1:36" s="785" customFormat="1" ht="48.75" customHeight="1" x14ac:dyDescent="0.7">
      <c r="A24" s="737" t="s">
        <v>736</v>
      </c>
      <c r="B24" s="735">
        <f>'[3]int.kiadások RM II'!D24</f>
        <v>239559</v>
      </c>
      <c r="C24" s="735">
        <f>-6574+928</f>
        <v>-5646</v>
      </c>
      <c r="D24" s="735">
        <f t="shared" si="2"/>
        <v>233913</v>
      </c>
      <c r="E24" s="735">
        <f>'[3]int.kiadások RM II'!G24</f>
        <v>35379</v>
      </c>
      <c r="F24" s="735">
        <f>-855+121</f>
        <v>-734</v>
      </c>
      <c r="G24" s="735">
        <f t="shared" si="0"/>
        <v>34645</v>
      </c>
      <c r="H24" s="735">
        <f>'[3]int.kiadások RM II'!J24</f>
        <v>4007</v>
      </c>
      <c r="I24" s="735">
        <v>4510</v>
      </c>
      <c r="J24" s="735">
        <f t="shared" si="3"/>
        <v>8517</v>
      </c>
      <c r="K24" s="737" t="s">
        <v>736</v>
      </c>
      <c r="L24" s="735">
        <f>'[3]int.kiadások RM II'!N24</f>
        <v>0</v>
      </c>
      <c r="M24" s="735"/>
      <c r="N24" s="735">
        <f t="shared" si="4"/>
        <v>0</v>
      </c>
      <c r="O24" s="735">
        <f>'[3]int.kiadások RM II'!Q24</f>
        <v>0</v>
      </c>
      <c r="P24" s="735"/>
      <c r="Q24" s="735">
        <f t="shared" si="5"/>
        <v>0</v>
      </c>
      <c r="R24" s="736">
        <f t="shared" si="6"/>
        <v>278945</v>
      </c>
      <c r="S24" s="736">
        <f t="shared" si="6"/>
        <v>-1870</v>
      </c>
      <c r="T24" s="736">
        <f t="shared" si="6"/>
        <v>277075</v>
      </c>
      <c r="U24" s="737" t="s">
        <v>736</v>
      </c>
      <c r="V24" s="735">
        <f>'[3]int.kiadások RM II'!X24</f>
        <v>0</v>
      </c>
      <c r="W24" s="735">
        <v>3154</v>
      </c>
      <c r="X24" s="735">
        <f t="shared" si="7"/>
        <v>3154</v>
      </c>
      <c r="Y24" s="735">
        <f>'[3]int.kiadások RM II'!AA24</f>
        <v>0</v>
      </c>
      <c r="Z24" s="735"/>
      <c r="AA24" s="735">
        <f t="shared" si="8"/>
        <v>0</v>
      </c>
      <c r="AB24" s="735">
        <f>'[3]int.kiadások RM II'!AD24</f>
        <v>0</v>
      </c>
      <c r="AC24" s="735"/>
      <c r="AD24" s="735">
        <f t="shared" si="9"/>
        <v>0</v>
      </c>
      <c r="AE24" s="736">
        <f t="shared" si="10"/>
        <v>0</v>
      </c>
      <c r="AF24" s="736">
        <f t="shared" si="10"/>
        <v>3154</v>
      </c>
      <c r="AG24" s="736">
        <f t="shared" si="10"/>
        <v>3154</v>
      </c>
      <c r="AH24" s="736">
        <f t="shared" si="1"/>
        <v>278945</v>
      </c>
      <c r="AI24" s="736">
        <f t="shared" si="1"/>
        <v>1284</v>
      </c>
      <c r="AJ24" s="736">
        <f t="shared" si="1"/>
        <v>280229</v>
      </c>
    </row>
    <row r="25" spans="1:36" s="785" customFormat="1" ht="48.75" customHeight="1" x14ac:dyDescent="0.7">
      <c r="A25" s="737" t="s">
        <v>737</v>
      </c>
      <c r="B25" s="735">
        <f>'[3]int.kiadások RM II'!D25</f>
        <v>175196</v>
      </c>
      <c r="C25" s="735">
        <f>-287+688</f>
        <v>401</v>
      </c>
      <c r="D25" s="735">
        <f t="shared" si="2"/>
        <v>175597</v>
      </c>
      <c r="E25" s="735">
        <f>'[3]int.kiadások RM II'!G25</f>
        <v>22751</v>
      </c>
      <c r="F25" s="735">
        <f>-37+89</f>
        <v>52</v>
      </c>
      <c r="G25" s="735">
        <f t="shared" si="0"/>
        <v>22803</v>
      </c>
      <c r="H25" s="735">
        <f>'[3]int.kiadások RM II'!J25</f>
        <v>4199</v>
      </c>
      <c r="I25" s="735">
        <v>178</v>
      </c>
      <c r="J25" s="735">
        <f t="shared" si="3"/>
        <v>4377</v>
      </c>
      <c r="K25" s="737" t="s">
        <v>737</v>
      </c>
      <c r="L25" s="735">
        <f>'[3]int.kiadások RM II'!N25</f>
        <v>0</v>
      </c>
      <c r="M25" s="735"/>
      <c r="N25" s="735">
        <f t="shared" si="4"/>
        <v>0</v>
      </c>
      <c r="O25" s="735">
        <f>'[3]int.kiadások RM II'!Q25</f>
        <v>0</v>
      </c>
      <c r="P25" s="735"/>
      <c r="Q25" s="735">
        <f t="shared" si="5"/>
        <v>0</v>
      </c>
      <c r="R25" s="736">
        <f t="shared" si="6"/>
        <v>202146</v>
      </c>
      <c r="S25" s="736">
        <f t="shared" si="6"/>
        <v>631</v>
      </c>
      <c r="T25" s="736">
        <f t="shared" si="6"/>
        <v>202777</v>
      </c>
      <c r="U25" s="737" t="s">
        <v>737</v>
      </c>
      <c r="V25" s="735">
        <f>'[3]int.kiadások RM II'!X25</f>
        <v>4092</v>
      </c>
      <c r="W25" s="735">
        <v>146</v>
      </c>
      <c r="X25" s="735">
        <f t="shared" si="7"/>
        <v>4238</v>
      </c>
      <c r="Y25" s="735">
        <f>'[3]int.kiadások RM II'!AA25</f>
        <v>0</v>
      </c>
      <c r="Z25" s="735"/>
      <c r="AA25" s="735">
        <f t="shared" si="8"/>
        <v>0</v>
      </c>
      <c r="AB25" s="735">
        <f>'[3]int.kiadások RM II'!AD25</f>
        <v>0</v>
      </c>
      <c r="AC25" s="735"/>
      <c r="AD25" s="735">
        <f t="shared" si="9"/>
        <v>0</v>
      </c>
      <c r="AE25" s="736">
        <f t="shared" si="10"/>
        <v>4092</v>
      </c>
      <c r="AF25" s="736">
        <f t="shared" si="10"/>
        <v>146</v>
      </c>
      <c r="AG25" s="736">
        <f t="shared" si="10"/>
        <v>4238</v>
      </c>
      <c r="AH25" s="736">
        <f t="shared" si="1"/>
        <v>206238</v>
      </c>
      <c r="AI25" s="736">
        <f t="shared" si="1"/>
        <v>777</v>
      </c>
      <c r="AJ25" s="736">
        <f t="shared" si="1"/>
        <v>207015</v>
      </c>
    </row>
    <row r="26" spans="1:36" s="785" customFormat="1" ht="48.75" customHeight="1" x14ac:dyDescent="0.7">
      <c r="A26" s="734" t="s">
        <v>738</v>
      </c>
      <c r="B26" s="735">
        <f>'[3]int.kiadások RM II'!D26</f>
        <v>131125</v>
      </c>
      <c r="C26" s="735">
        <f>-598+767</f>
        <v>169</v>
      </c>
      <c r="D26" s="735">
        <f t="shared" si="2"/>
        <v>131294</v>
      </c>
      <c r="E26" s="735">
        <f>'[3]int.kiadások RM II'!G26</f>
        <v>16943</v>
      </c>
      <c r="F26" s="735">
        <f>-77+100</f>
        <v>23</v>
      </c>
      <c r="G26" s="735">
        <f t="shared" si="0"/>
        <v>16966</v>
      </c>
      <c r="H26" s="735">
        <f>'[3]int.kiadások RM II'!J26</f>
        <v>5145</v>
      </c>
      <c r="I26" s="735">
        <v>-695</v>
      </c>
      <c r="J26" s="735">
        <f t="shared" si="3"/>
        <v>4450</v>
      </c>
      <c r="K26" s="734" t="s">
        <v>738</v>
      </c>
      <c r="L26" s="735">
        <f>'[3]int.kiadások RM II'!N26</f>
        <v>0</v>
      </c>
      <c r="M26" s="735"/>
      <c r="N26" s="735">
        <f t="shared" si="4"/>
        <v>0</v>
      </c>
      <c r="O26" s="735">
        <f>'[3]int.kiadások RM II'!Q26</f>
        <v>0</v>
      </c>
      <c r="P26" s="735"/>
      <c r="Q26" s="735">
        <f t="shared" si="5"/>
        <v>0</v>
      </c>
      <c r="R26" s="736">
        <f t="shared" si="6"/>
        <v>153213</v>
      </c>
      <c r="S26" s="736">
        <f t="shared" si="6"/>
        <v>-503</v>
      </c>
      <c r="T26" s="736">
        <f t="shared" si="6"/>
        <v>152710</v>
      </c>
      <c r="U26" s="734" t="s">
        <v>738</v>
      </c>
      <c r="V26" s="735">
        <f>'[3]int.kiadások RM II'!X26</f>
        <v>2496</v>
      </c>
      <c r="W26" s="735">
        <v>1777</v>
      </c>
      <c r="X26" s="735">
        <f t="shared" si="7"/>
        <v>4273</v>
      </c>
      <c r="Y26" s="735">
        <f>'[3]int.kiadások RM II'!AA26</f>
        <v>0</v>
      </c>
      <c r="Z26" s="735"/>
      <c r="AA26" s="735">
        <f t="shared" si="8"/>
        <v>0</v>
      </c>
      <c r="AB26" s="735">
        <f>'[3]int.kiadások RM II'!AD26</f>
        <v>0</v>
      </c>
      <c r="AC26" s="735"/>
      <c r="AD26" s="735">
        <f t="shared" si="9"/>
        <v>0</v>
      </c>
      <c r="AE26" s="736">
        <f t="shared" si="10"/>
        <v>2496</v>
      </c>
      <c r="AF26" s="736">
        <f t="shared" si="10"/>
        <v>1777</v>
      </c>
      <c r="AG26" s="736">
        <f t="shared" si="10"/>
        <v>4273</v>
      </c>
      <c r="AH26" s="736">
        <f t="shared" si="1"/>
        <v>155709</v>
      </c>
      <c r="AI26" s="736">
        <f t="shared" si="1"/>
        <v>1274</v>
      </c>
      <c r="AJ26" s="736">
        <f t="shared" si="1"/>
        <v>156983</v>
      </c>
    </row>
    <row r="27" spans="1:36" s="785" customFormat="1" ht="48.75" customHeight="1" thickBot="1" x14ac:dyDescent="0.75">
      <c r="A27" s="738" t="s">
        <v>739</v>
      </c>
      <c r="B27" s="735">
        <f>'[3]int.kiadások RM II'!D27</f>
        <v>106211</v>
      </c>
      <c r="C27" s="735">
        <f>-177+507</f>
        <v>330</v>
      </c>
      <c r="D27" s="739">
        <f>SUM(B27:C27)</f>
        <v>106541</v>
      </c>
      <c r="E27" s="735">
        <f>'[3]int.kiadások RM II'!G27</f>
        <v>13770</v>
      </c>
      <c r="F27" s="739">
        <f>-24+66</f>
        <v>42</v>
      </c>
      <c r="G27" s="739">
        <f t="shared" si="0"/>
        <v>13812</v>
      </c>
      <c r="H27" s="735">
        <f>'[3]int.kiadások RM II'!J27</f>
        <v>3729</v>
      </c>
      <c r="I27" s="739">
        <v>190</v>
      </c>
      <c r="J27" s="739">
        <f t="shared" si="3"/>
        <v>3919</v>
      </c>
      <c r="K27" s="738" t="s">
        <v>739</v>
      </c>
      <c r="L27" s="739">
        <f>'[3]int.kiadások RM II'!N27</f>
        <v>0</v>
      </c>
      <c r="M27" s="739"/>
      <c r="N27" s="739">
        <f t="shared" si="4"/>
        <v>0</v>
      </c>
      <c r="O27" s="739">
        <f>'[3]int.kiadások RM II'!Q27</f>
        <v>0</v>
      </c>
      <c r="P27" s="739"/>
      <c r="Q27" s="739">
        <f t="shared" si="5"/>
        <v>0</v>
      </c>
      <c r="R27" s="736">
        <f t="shared" si="6"/>
        <v>123710</v>
      </c>
      <c r="S27" s="736">
        <f t="shared" si="6"/>
        <v>562</v>
      </c>
      <c r="T27" s="736">
        <f t="shared" si="6"/>
        <v>124272</v>
      </c>
      <c r="U27" s="738" t="s">
        <v>739</v>
      </c>
      <c r="V27" s="739">
        <f>'[3]int.kiadások RM II'!X27</f>
        <v>0</v>
      </c>
      <c r="W27" s="739">
        <v>11</v>
      </c>
      <c r="X27" s="735">
        <f t="shared" si="7"/>
        <v>11</v>
      </c>
      <c r="Y27" s="739">
        <f>'[3]int.kiadások RM II'!AA27</f>
        <v>0</v>
      </c>
      <c r="Z27" s="739"/>
      <c r="AA27" s="739">
        <f t="shared" si="8"/>
        <v>0</v>
      </c>
      <c r="AB27" s="739">
        <f>'[3]int.kiadások RM II'!AD27</f>
        <v>0</v>
      </c>
      <c r="AC27" s="739"/>
      <c r="AD27" s="739">
        <f t="shared" si="9"/>
        <v>0</v>
      </c>
      <c r="AE27" s="736">
        <f t="shared" si="10"/>
        <v>0</v>
      </c>
      <c r="AF27" s="736">
        <f t="shared" si="10"/>
        <v>11</v>
      </c>
      <c r="AG27" s="740">
        <f t="shared" si="10"/>
        <v>11</v>
      </c>
      <c r="AH27" s="736">
        <f t="shared" si="1"/>
        <v>123710</v>
      </c>
      <c r="AI27" s="736">
        <f t="shared" si="1"/>
        <v>573</v>
      </c>
      <c r="AJ27" s="736">
        <f t="shared" si="1"/>
        <v>124283</v>
      </c>
    </row>
    <row r="28" spans="1:36" s="785" customFormat="1" ht="57.75" customHeight="1" thickBot="1" x14ac:dyDescent="0.75">
      <c r="A28" s="741" t="s">
        <v>740</v>
      </c>
      <c r="B28" s="742">
        <f t="shared" ref="B28:J28" si="11">SUM(B10:B27)</f>
        <v>3135775</v>
      </c>
      <c r="C28" s="742">
        <f>SUM(C10:C27)</f>
        <v>-7868</v>
      </c>
      <c r="D28" s="742">
        <f t="shared" si="11"/>
        <v>3127907</v>
      </c>
      <c r="E28" s="742">
        <f t="shared" si="11"/>
        <v>430709</v>
      </c>
      <c r="F28" s="742">
        <f t="shared" si="11"/>
        <v>-1027</v>
      </c>
      <c r="G28" s="742">
        <f t="shared" si="11"/>
        <v>429682</v>
      </c>
      <c r="H28" s="742">
        <f t="shared" si="11"/>
        <v>76402</v>
      </c>
      <c r="I28" s="742">
        <f t="shared" si="11"/>
        <v>13850</v>
      </c>
      <c r="J28" s="742">
        <f t="shared" si="11"/>
        <v>90252</v>
      </c>
      <c r="K28" s="741" t="s">
        <v>740</v>
      </c>
      <c r="L28" s="742">
        <f t="shared" ref="L28:T28" si="12">SUM(L10:L27)</f>
        <v>0</v>
      </c>
      <c r="M28" s="742">
        <f t="shared" si="12"/>
        <v>0</v>
      </c>
      <c r="N28" s="742">
        <f t="shared" si="12"/>
        <v>0</v>
      </c>
      <c r="O28" s="742">
        <f t="shared" si="12"/>
        <v>0</v>
      </c>
      <c r="P28" s="742">
        <f t="shared" si="12"/>
        <v>0</v>
      </c>
      <c r="Q28" s="742">
        <f t="shared" si="12"/>
        <v>0</v>
      </c>
      <c r="R28" s="742">
        <f t="shared" si="12"/>
        <v>3642886</v>
      </c>
      <c r="S28" s="742">
        <f t="shared" si="12"/>
        <v>4955</v>
      </c>
      <c r="T28" s="742">
        <f t="shared" si="12"/>
        <v>3647841</v>
      </c>
      <c r="U28" s="741" t="s">
        <v>740</v>
      </c>
      <c r="V28" s="742">
        <f t="shared" ref="V28:AG28" si="13">SUM(V10:V27)</f>
        <v>10641</v>
      </c>
      <c r="W28" s="742">
        <f t="shared" si="13"/>
        <v>20695</v>
      </c>
      <c r="X28" s="742">
        <f t="shared" si="13"/>
        <v>31336</v>
      </c>
      <c r="Y28" s="742">
        <f t="shared" si="13"/>
        <v>0</v>
      </c>
      <c r="Z28" s="742">
        <f t="shared" si="13"/>
        <v>0</v>
      </c>
      <c r="AA28" s="742">
        <f t="shared" si="13"/>
        <v>0</v>
      </c>
      <c r="AB28" s="742">
        <f>SUM(AB10:AB27)</f>
        <v>0</v>
      </c>
      <c r="AC28" s="742">
        <f>SUM(AC10:AC27)</f>
        <v>0</v>
      </c>
      <c r="AD28" s="742">
        <f>SUM(AD10:AD27)</f>
        <v>0</v>
      </c>
      <c r="AE28" s="742">
        <f t="shared" si="13"/>
        <v>10641</v>
      </c>
      <c r="AF28" s="742">
        <f t="shared" si="13"/>
        <v>20695</v>
      </c>
      <c r="AG28" s="754">
        <f t="shared" si="13"/>
        <v>31336</v>
      </c>
      <c r="AH28" s="742">
        <f>SUM(AH10:AH27)</f>
        <v>3653527</v>
      </c>
      <c r="AI28" s="742">
        <f>SUM(AI10:AI27)</f>
        <v>25650</v>
      </c>
      <c r="AJ28" s="742">
        <f>SUM(AJ10:AJ27)</f>
        <v>3679177</v>
      </c>
    </row>
    <row r="29" spans="1:36" s="785" customFormat="1" ht="63.75" customHeight="1" thickBot="1" x14ac:dyDescent="0.75">
      <c r="A29" s="744" t="s">
        <v>741</v>
      </c>
      <c r="B29" s="735">
        <f>'[3]int.kiadások RM II'!D29</f>
        <v>341121</v>
      </c>
      <c r="C29" s="745">
        <v>-5807</v>
      </c>
      <c r="D29" s="735">
        <f t="shared" si="2"/>
        <v>335314</v>
      </c>
      <c r="E29" s="735">
        <f>'[3]int.kiadások RM II'!G29</f>
        <v>50451</v>
      </c>
      <c r="F29" s="745">
        <v>-794</v>
      </c>
      <c r="G29" s="745">
        <f>SUM(E29:F29)</f>
        <v>49657</v>
      </c>
      <c r="H29" s="735">
        <f>'[3]int.kiadások RM II'!J29</f>
        <v>2159168</v>
      </c>
      <c r="I29" s="745">
        <f>5544+448</f>
        <v>5992</v>
      </c>
      <c r="J29" s="745">
        <f>SUM(H29:I29)</f>
        <v>2165160</v>
      </c>
      <c r="K29" s="744" t="s">
        <v>741</v>
      </c>
      <c r="L29" s="745">
        <f>'[3]int.kiadások RM II'!N29</f>
        <v>0</v>
      </c>
      <c r="M29" s="745"/>
      <c r="N29" s="745">
        <f>SUM(L29:M29)</f>
        <v>0</v>
      </c>
      <c r="O29" s="745">
        <f>'[3]int.kiadások RM II'!Q29</f>
        <v>0</v>
      </c>
      <c r="P29" s="745"/>
      <c r="Q29" s="745">
        <f>SUM(O29:P29)</f>
        <v>0</v>
      </c>
      <c r="R29" s="736">
        <f>B29+E29+H29+L29+O29</f>
        <v>2550740</v>
      </c>
      <c r="S29" s="736">
        <f>C29+F29+I29+M29+P29</f>
        <v>-609</v>
      </c>
      <c r="T29" s="736">
        <f>D29+G29+J29+N29+Q29</f>
        <v>2550131</v>
      </c>
      <c r="U29" s="744" t="s">
        <v>741</v>
      </c>
      <c r="V29" s="745">
        <f>'[3]int.kiadások RM II'!X29</f>
        <v>19196</v>
      </c>
      <c r="W29" s="745">
        <f>2111+572</f>
        <v>2683</v>
      </c>
      <c r="X29" s="745">
        <f t="shared" si="7"/>
        <v>21879</v>
      </c>
      <c r="Y29" s="745">
        <f>'[3]int.kiadások RM II'!AA29</f>
        <v>31453</v>
      </c>
      <c r="Z29" s="745">
        <v>190</v>
      </c>
      <c r="AA29" s="745">
        <f>SUM(Y29:Z29)</f>
        <v>31643</v>
      </c>
      <c r="AB29" s="745">
        <f>'[3]int.kiadások RM II'!AD29</f>
        <v>0</v>
      </c>
      <c r="AC29" s="745"/>
      <c r="AD29" s="745">
        <f>SUM(AB29:AC29)</f>
        <v>0</v>
      </c>
      <c r="AE29" s="736">
        <f>V29+Y29+AB29</f>
        <v>50649</v>
      </c>
      <c r="AF29" s="736">
        <f>W29+Z29+AC29</f>
        <v>2873</v>
      </c>
      <c r="AG29" s="736">
        <f>X29+AA29+AD29</f>
        <v>53522</v>
      </c>
      <c r="AH29" s="736">
        <f t="shared" si="1"/>
        <v>2601389</v>
      </c>
      <c r="AI29" s="736">
        <f>S29+AF29</f>
        <v>2264</v>
      </c>
      <c r="AJ29" s="736">
        <f>T29+AG29</f>
        <v>2603653</v>
      </c>
    </row>
    <row r="30" spans="1:36" s="785" customFormat="1" ht="67.5" customHeight="1" thickBot="1" x14ac:dyDescent="0.75">
      <c r="A30" s="758" t="s">
        <v>742</v>
      </c>
      <c r="B30" s="742">
        <f>SUM(B28:B29)</f>
        <v>3476896</v>
      </c>
      <c r="C30" s="742">
        <f>SUM(C28:C29)</f>
        <v>-13675</v>
      </c>
      <c r="D30" s="742">
        <f>SUM(D28:D29)</f>
        <v>3463221</v>
      </c>
      <c r="E30" s="742">
        <f t="shared" ref="E30:J30" si="14">SUM(E28:E29)</f>
        <v>481160</v>
      </c>
      <c r="F30" s="742">
        <f t="shared" si="14"/>
        <v>-1821</v>
      </c>
      <c r="G30" s="742">
        <f t="shared" si="14"/>
        <v>479339</v>
      </c>
      <c r="H30" s="742">
        <f t="shared" si="14"/>
        <v>2235570</v>
      </c>
      <c r="I30" s="742">
        <f t="shared" si="14"/>
        <v>19842</v>
      </c>
      <c r="J30" s="742">
        <f t="shared" si="14"/>
        <v>2255412</v>
      </c>
      <c r="K30" s="747" t="s">
        <v>742</v>
      </c>
      <c r="L30" s="742">
        <f t="shared" ref="L30:T30" si="15">SUM(L28:L29)</f>
        <v>0</v>
      </c>
      <c r="M30" s="742">
        <f t="shared" si="15"/>
        <v>0</v>
      </c>
      <c r="N30" s="742">
        <f t="shared" si="15"/>
        <v>0</v>
      </c>
      <c r="O30" s="742">
        <f t="shared" si="15"/>
        <v>0</v>
      </c>
      <c r="P30" s="742">
        <f t="shared" si="15"/>
        <v>0</v>
      </c>
      <c r="Q30" s="742">
        <f t="shared" si="15"/>
        <v>0</v>
      </c>
      <c r="R30" s="742">
        <f t="shared" si="15"/>
        <v>6193626</v>
      </c>
      <c r="S30" s="742">
        <f t="shared" si="15"/>
        <v>4346</v>
      </c>
      <c r="T30" s="742">
        <f t="shared" si="15"/>
        <v>6197972</v>
      </c>
      <c r="U30" s="747" t="s">
        <v>742</v>
      </c>
      <c r="V30" s="742">
        <f t="shared" ref="V30:AA30" si="16">SUM(V28:V29)</f>
        <v>29837</v>
      </c>
      <c r="W30" s="742">
        <f t="shared" si="16"/>
        <v>23378</v>
      </c>
      <c r="X30" s="742">
        <f t="shared" si="16"/>
        <v>53215</v>
      </c>
      <c r="Y30" s="742">
        <f t="shared" si="16"/>
        <v>31453</v>
      </c>
      <c r="Z30" s="742">
        <f t="shared" si="16"/>
        <v>190</v>
      </c>
      <c r="AA30" s="742">
        <f t="shared" si="16"/>
        <v>31643</v>
      </c>
      <c r="AB30" s="742">
        <f>SUM(AB28:AB29)</f>
        <v>0</v>
      </c>
      <c r="AC30" s="742">
        <f>SUM(AC28:AC29)</f>
        <v>0</v>
      </c>
      <c r="AD30" s="742">
        <f>SUM(AD28:AD29)</f>
        <v>0</v>
      </c>
      <c r="AE30" s="742">
        <f t="shared" ref="AE30:AJ30" si="17">SUM(AE28:AE29)</f>
        <v>61290</v>
      </c>
      <c r="AF30" s="742">
        <f t="shared" si="17"/>
        <v>23568</v>
      </c>
      <c r="AG30" s="742">
        <f t="shared" si="17"/>
        <v>84858</v>
      </c>
      <c r="AH30" s="742">
        <f t="shared" si="17"/>
        <v>6254916</v>
      </c>
      <c r="AI30" s="742">
        <f t="shared" si="17"/>
        <v>27914</v>
      </c>
      <c r="AJ30" s="742">
        <f t="shared" si="17"/>
        <v>6282830</v>
      </c>
    </row>
    <row r="31" spans="1:36" s="785" customFormat="1" ht="48.75" customHeight="1" x14ac:dyDescent="0.7">
      <c r="A31" s="790" t="s">
        <v>743</v>
      </c>
      <c r="B31" s="748"/>
      <c r="C31" s="748"/>
      <c r="D31" s="748"/>
      <c r="E31" s="748"/>
      <c r="F31" s="748"/>
      <c r="G31" s="748"/>
      <c r="H31" s="748"/>
      <c r="I31" s="748"/>
      <c r="J31" s="748"/>
      <c r="K31" s="749" t="s">
        <v>743</v>
      </c>
      <c r="L31" s="748"/>
      <c r="M31" s="748"/>
      <c r="N31" s="748"/>
      <c r="O31" s="748"/>
      <c r="P31" s="748"/>
      <c r="Q31" s="748"/>
      <c r="R31" s="748"/>
      <c r="S31" s="748"/>
      <c r="T31" s="748"/>
      <c r="U31" s="749" t="s">
        <v>743</v>
      </c>
      <c r="V31" s="748"/>
      <c r="W31" s="748"/>
      <c r="X31" s="748"/>
      <c r="Y31" s="748"/>
      <c r="Z31" s="748"/>
      <c r="AA31" s="748"/>
      <c r="AB31" s="748"/>
      <c r="AC31" s="748"/>
      <c r="AD31" s="748"/>
      <c r="AE31" s="748"/>
      <c r="AF31" s="748"/>
      <c r="AG31" s="748"/>
      <c r="AH31" s="748"/>
      <c r="AI31" s="748"/>
      <c r="AJ31" s="748"/>
    </row>
    <row r="32" spans="1:36" s="785" customFormat="1" ht="48.75" customHeight="1" x14ac:dyDescent="0.7">
      <c r="A32" s="752" t="s">
        <v>744</v>
      </c>
      <c r="B32" s="748"/>
      <c r="C32" s="748"/>
      <c r="D32" s="748"/>
      <c r="E32" s="748"/>
      <c r="F32" s="748"/>
      <c r="G32" s="748"/>
      <c r="H32" s="748"/>
      <c r="I32" s="748"/>
      <c r="J32" s="748"/>
      <c r="K32" s="752" t="s">
        <v>744</v>
      </c>
      <c r="L32" s="748"/>
      <c r="M32" s="748"/>
      <c r="N32" s="748"/>
      <c r="O32" s="748"/>
      <c r="P32" s="748"/>
      <c r="Q32" s="748"/>
      <c r="R32" s="748"/>
      <c r="S32" s="748"/>
      <c r="T32" s="748"/>
      <c r="U32" s="752" t="s">
        <v>744</v>
      </c>
      <c r="V32" s="748"/>
      <c r="W32" s="748"/>
      <c r="X32" s="748"/>
      <c r="Y32" s="748"/>
      <c r="Z32" s="748"/>
      <c r="AA32" s="748"/>
      <c r="AB32" s="748"/>
      <c r="AC32" s="748"/>
      <c r="AD32" s="748"/>
      <c r="AE32" s="748"/>
      <c r="AF32" s="748"/>
      <c r="AG32" s="748"/>
      <c r="AH32" s="748"/>
      <c r="AI32" s="748"/>
      <c r="AJ32" s="748"/>
    </row>
    <row r="33" spans="1:136" s="785" customFormat="1" ht="48.75" customHeight="1" x14ac:dyDescent="0.7">
      <c r="A33" s="753" t="s">
        <v>98</v>
      </c>
      <c r="B33" s="735">
        <f>'[3]int.kiadások RM II'!D33</f>
        <v>156018</v>
      </c>
      <c r="C33" s="735">
        <f>61091-61091</f>
        <v>0</v>
      </c>
      <c r="D33" s="735">
        <f t="shared" si="2"/>
        <v>156018</v>
      </c>
      <c r="E33" s="735">
        <f>'[3]int.kiadások RM II'!G33</f>
        <v>19918</v>
      </c>
      <c r="F33" s="735">
        <f>6714-6714</f>
        <v>0</v>
      </c>
      <c r="G33" s="735">
        <f>SUM(E33:F33)</f>
        <v>19918</v>
      </c>
      <c r="H33" s="735">
        <f>'[3]int.kiadások RM II'!J33</f>
        <v>87851</v>
      </c>
      <c r="I33" s="735"/>
      <c r="J33" s="735">
        <f>SUM(H33:I33)</f>
        <v>87851</v>
      </c>
      <c r="K33" s="734" t="s">
        <v>98</v>
      </c>
      <c r="L33" s="735">
        <f>'[3]int.kiadások RM II'!N33</f>
        <v>0</v>
      </c>
      <c r="M33" s="735"/>
      <c r="N33" s="735">
        <f>SUM(L33:M33)</f>
        <v>0</v>
      </c>
      <c r="O33" s="735">
        <f>'[3]int.kiadások RM II'!Q33</f>
        <v>0</v>
      </c>
      <c r="P33" s="735"/>
      <c r="Q33" s="735">
        <f>SUM(O33:P33)</f>
        <v>0</v>
      </c>
      <c r="R33" s="736">
        <f>B33+E33+H33+L33+O33</f>
        <v>263787</v>
      </c>
      <c r="S33" s="736">
        <f t="shared" ref="S33:T36" si="18">C33+F33+I33+M33+P33</f>
        <v>0</v>
      </c>
      <c r="T33" s="736">
        <f t="shared" si="18"/>
        <v>263787</v>
      </c>
      <c r="U33" s="753" t="s">
        <v>98</v>
      </c>
      <c r="V33" s="735">
        <f>'[3]int.kiadások RM II'!X33</f>
        <v>1001</v>
      </c>
      <c r="W33" s="735"/>
      <c r="X33" s="735">
        <f>SUM(V33:W33)</f>
        <v>1001</v>
      </c>
      <c r="Y33" s="735">
        <f>'[3]int.kiadások RM II'!AA33</f>
        <v>0</v>
      </c>
      <c r="Z33" s="735"/>
      <c r="AA33" s="735">
        <f>SUM(Y33:Z33)</f>
        <v>0</v>
      </c>
      <c r="AB33" s="735">
        <f>'[3]int.kiadások RM II'!AD33</f>
        <v>0</v>
      </c>
      <c r="AC33" s="735"/>
      <c r="AD33" s="735">
        <f>SUM(AB33:AC33)</f>
        <v>0</v>
      </c>
      <c r="AE33" s="736">
        <f t="shared" ref="AE33:AG36" si="19">V33+Y33+AB33</f>
        <v>1001</v>
      </c>
      <c r="AF33" s="736">
        <f t="shared" si="19"/>
        <v>0</v>
      </c>
      <c r="AG33" s="736">
        <f t="shared" si="19"/>
        <v>1001</v>
      </c>
      <c r="AH33" s="736">
        <f>R33+AE33</f>
        <v>264788</v>
      </c>
      <c r="AI33" s="736">
        <f t="shared" ref="AI33:AJ36" si="20">S33+AF33</f>
        <v>0</v>
      </c>
      <c r="AJ33" s="736">
        <f t="shared" si="20"/>
        <v>264788</v>
      </c>
    </row>
    <row r="34" spans="1:136" s="785" customFormat="1" ht="48.75" customHeight="1" x14ac:dyDescent="0.7">
      <c r="A34" s="737" t="s">
        <v>745</v>
      </c>
      <c r="B34" s="735">
        <f>'[3]int.kiadások RM II'!D34</f>
        <v>592826</v>
      </c>
      <c r="C34" s="755">
        <v>79000</v>
      </c>
      <c r="D34" s="755">
        <f t="shared" si="2"/>
        <v>671826</v>
      </c>
      <c r="E34" s="735">
        <f>'[3]int.kiadások RM II'!G34</f>
        <v>88109</v>
      </c>
      <c r="F34" s="755">
        <v>8000</v>
      </c>
      <c r="G34" s="755">
        <f>SUM(E34:F34)</f>
        <v>96109</v>
      </c>
      <c r="H34" s="735">
        <f>'[3]int.kiadások RM II'!J34</f>
        <v>219207</v>
      </c>
      <c r="I34" s="755">
        <v>125952</v>
      </c>
      <c r="J34" s="755">
        <f>SUM(H34:I34)</f>
        <v>345159</v>
      </c>
      <c r="K34" s="737" t="s">
        <v>745</v>
      </c>
      <c r="L34" s="755">
        <f>'[3]int.kiadások RM II'!N34</f>
        <v>0</v>
      </c>
      <c r="M34" s="755"/>
      <c r="N34" s="755">
        <f>SUM(L34:M34)</f>
        <v>0</v>
      </c>
      <c r="O34" s="755">
        <f>'[3]int.kiadások RM II'!Q34</f>
        <v>0</v>
      </c>
      <c r="P34" s="755"/>
      <c r="Q34" s="755">
        <f>SUM(O34:P34)</f>
        <v>0</v>
      </c>
      <c r="R34" s="736">
        <f>B34+E34+H34+L34+O34</f>
        <v>900142</v>
      </c>
      <c r="S34" s="736">
        <f t="shared" si="18"/>
        <v>212952</v>
      </c>
      <c r="T34" s="736">
        <f t="shared" si="18"/>
        <v>1113094</v>
      </c>
      <c r="U34" s="737" t="s">
        <v>745</v>
      </c>
      <c r="V34" s="755">
        <f>'[3]int.kiadások RM II'!X34</f>
        <v>2286</v>
      </c>
      <c r="W34" s="755">
        <v>7200</v>
      </c>
      <c r="X34" s="755">
        <f>SUM(V34:W34)</f>
        <v>9486</v>
      </c>
      <c r="Y34" s="735">
        <f>'[3]int.kiadások RM II'!AA34</f>
        <v>0</v>
      </c>
      <c r="Z34" s="755"/>
      <c r="AA34" s="755">
        <f>SUM(Y34:Z34)</f>
        <v>0</v>
      </c>
      <c r="AB34" s="755">
        <f>'[3]int.kiadások RM II'!AD34</f>
        <v>0</v>
      </c>
      <c r="AC34" s="755"/>
      <c r="AD34" s="755">
        <f>SUM(AB34:AC34)</f>
        <v>0</v>
      </c>
      <c r="AE34" s="736">
        <f t="shared" si="19"/>
        <v>2286</v>
      </c>
      <c r="AF34" s="736">
        <f t="shared" si="19"/>
        <v>7200</v>
      </c>
      <c r="AG34" s="736">
        <f t="shared" si="19"/>
        <v>9486</v>
      </c>
      <c r="AH34" s="736">
        <f>R34+AE34</f>
        <v>902428</v>
      </c>
      <c r="AI34" s="736">
        <f t="shared" si="20"/>
        <v>220152</v>
      </c>
      <c r="AJ34" s="736">
        <f t="shared" si="20"/>
        <v>1122580</v>
      </c>
    </row>
    <row r="35" spans="1:136" s="785" customFormat="1" ht="48.75" customHeight="1" x14ac:dyDescent="0.7">
      <c r="A35" s="737" t="s">
        <v>746</v>
      </c>
      <c r="B35" s="735">
        <f>'[3]int.kiadások RM II'!D35</f>
        <v>302455</v>
      </c>
      <c r="C35" s="755"/>
      <c r="D35" s="755">
        <f t="shared" si="2"/>
        <v>302455</v>
      </c>
      <c r="E35" s="735">
        <f>'[3]int.kiadások RM II'!G35</f>
        <v>39163</v>
      </c>
      <c r="F35" s="755"/>
      <c r="G35" s="755">
        <f>SUM(E35:F35)</f>
        <v>39163</v>
      </c>
      <c r="H35" s="735">
        <f>'[3]int.kiadások RM II'!J35</f>
        <v>180315</v>
      </c>
      <c r="I35" s="755">
        <v>5000</v>
      </c>
      <c r="J35" s="755">
        <f>SUM(H35:I35)</f>
        <v>185315</v>
      </c>
      <c r="K35" s="737" t="s">
        <v>746</v>
      </c>
      <c r="L35" s="755">
        <f>'[3]int.kiadások RM II'!N35</f>
        <v>0</v>
      </c>
      <c r="M35" s="755"/>
      <c r="N35" s="755">
        <f>SUM(L35:M35)</f>
        <v>0</v>
      </c>
      <c r="O35" s="755">
        <f>'[3]int.kiadások RM II'!Q35</f>
        <v>0</v>
      </c>
      <c r="P35" s="755"/>
      <c r="Q35" s="755">
        <f>SUM(O35:P35)</f>
        <v>0</v>
      </c>
      <c r="R35" s="736">
        <f>B35+E35+H35+L35+O35</f>
        <v>521933</v>
      </c>
      <c r="S35" s="736">
        <f t="shared" si="18"/>
        <v>5000</v>
      </c>
      <c r="T35" s="736">
        <f t="shared" si="18"/>
        <v>526933</v>
      </c>
      <c r="U35" s="737" t="s">
        <v>746</v>
      </c>
      <c r="V35" s="755">
        <f>'[3]int.kiadások RM II'!X35</f>
        <v>12300</v>
      </c>
      <c r="W35" s="755"/>
      <c r="X35" s="755">
        <f>SUM(V35:W35)</f>
        <v>12300</v>
      </c>
      <c r="Y35" s="735">
        <f>'[3]int.kiadások RM II'!AA35</f>
        <v>0</v>
      </c>
      <c r="Z35" s="755"/>
      <c r="AA35" s="755">
        <f>SUM(Y35:Z35)</f>
        <v>0</v>
      </c>
      <c r="AB35" s="755">
        <f>'[3]int.kiadások RM II'!AD35</f>
        <v>0</v>
      </c>
      <c r="AC35" s="755"/>
      <c r="AD35" s="755">
        <f>SUM(AB35:AC35)</f>
        <v>0</v>
      </c>
      <c r="AE35" s="736">
        <f t="shared" si="19"/>
        <v>12300</v>
      </c>
      <c r="AF35" s="736">
        <f t="shared" si="19"/>
        <v>0</v>
      </c>
      <c r="AG35" s="736">
        <f t="shared" si="19"/>
        <v>12300</v>
      </c>
      <c r="AH35" s="736">
        <f>R35+AE35</f>
        <v>534233</v>
      </c>
      <c r="AI35" s="736">
        <f t="shared" si="20"/>
        <v>5000</v>
      </c>
      <c r="AJ35" s="736">
        <f t="shared" si="20"/>
        <v>539233</v>
      </c>
    </row>
    <row r="36" spans="1:136" s="785" customFormat="1" ht="48.75" customHeight="1" thickBot="1" x14ac:dyDescent="0.75">
      <c r="A36" s="756" t="s">
        <v>450</v>
      </c>
      <c r="B36" s="735">
        <f>'[3]int.kiadások RM II'!D36</f>
        <v>588093</v>
      </c>
      <c r="C36" s="755"/>
      <c r="D36" s="755">
        <f t="shared" si="2"/>
        <v>588093</v>
      </c>
      <c r="E36" s="735">
        <f>'[3]int.kiadások RM II'!G36</f>
        <v>75771</v>
      </c>
      <c r="F36" s="755"/>
      <c r="G36" s="755">
        <f>SUM(E36:F36)</f>
        <v>75771</v>
      </c>
      <c r="H36" s="735">
        <f>'[3]int.kiadások RM II'!J36</f>
        <v>269306</v>
      </c>
      <c r="I36" s="755">
        <v>12079</v>
      </c>
      <c r="J36" s="755">
        <f>SUM(H36:I36)</f>
        <v>281385</v>
      </c>
      <c r="K36" s="756" t="s">
        <v>450</v>
      </c>
      <c r="L36" s="755">
        <f>'[3]int.kiadások RM II'!N36</f>
        <v>0</v>
      </c>
      <c r="M36" s="755"/>
      <c r="N36" s="755">
        <f>SUM(L36:M36)</f>
        <v>0</v>
      </c>
      <c r="O36" s="755">
        <f>'[3]int.kiadások RM II'!Q36</f>
        <v>0</v>
      </c>
      <c r="P36" s="755"/>
      <c r="Q36" s="755">
        <f>SUM(O36:P36)</f>
        <v>0</v>
      </c>
      <c r="R36" s="736">
        <f>B36+E36+H36+L36+O36</f>
        <v>933170</v>
      </c>
      <c r="S36" s="736">
        <f t="shared" si="18"/>
        <v>12079</v>
      </c>
      <c r="T36" s="736">
        <f t="shared" si="18"/>
        <v>945249</v>
      </c>
      <c r="U36" s="756" t="s">
        <v>450</v>
      </c>
      <c r="V36" s="755">
        <f>'[3]int.kiadások RM II'!X36</f>
        <v>46684</v>
      </c>
      <c r="W36" s="755"/>
      <c r="X36" s="755">
        <f>SUM(V36:W36)</f>
        <v>46684</v>
      </c>
      <c r="Y36" s="735">
        <f>'[3]int.kiadások RM II'!AA36</f>
        <v>0</v>
      </c>
      <c r="Z36" s="755"/>
      <c r="AA36" s="755">
        <f>SUM(Y36:Z36)</f>
        <v>0</v>
      </c>
      <c r="AB36" s="755">
        <f>'[3]int.kiadások RM II'!AD36</f>
        <v>0</v>
      </c>
      <c r="AC36" s="755"/>
      <c r="AD36" s="755">
        <f>SUM(AB36:AC36)</f>
        <v>0</v>
      </c>
      <c r="AE36" s="736">
        <f t="shared" si="19"/>
        <v>46684</v>
      </c>
      <c r="AF36" s="736">
        <f t="shared" si="19"/>
        <v>0</v>
      </c>
      <c r="AG36" s="736">
        <f t="shared" si="19"/>
        <v>46684</v>
      </c>
      <c r="AH36" s="736">
        <f>R36+AE36</f>
        <v>979854</v>
      </c>
      <c r="AI36" s="736">
        <f t="shared" si="20"/>
        <v>12079</v>
      </c>
      <c r="AJ36" s="736">
        <f t="shared" si="20"/>
        <v>991933</v>
      </c>
    </row>
    <row r="37" spans="1:136" s="785" customFormat="1" ht="61.5" customHeight="1" thickBot="1" x14ac:dyDescent="0.75">
      <c r="A37" s="758" t="s">
        <v>747</v>
      </c>
      <c r="B37" s="742">
        <f t="shared" ref="B37:J37" si="21">SUM(B33:B36)</f>
        <v>1639392</v>
      </c>
      <c r="C37" s="742">
        <f t="shared" si="21"/>
        <v>79000</v>
      </c>
      <c r="D37" s="742">
        <f t="shared" si="21"/>
        <v>1718392</v>
      </c>
      <c r="E37" s="742">
        <f t="shared" si="21"/>
        <v>222961</v>
      </c>
      <c r="F37" s="742">
        <f t="shared" si="21"/>
        <v>8000</v>
      </c>
      <c r="G37" s="742">
        <f t="shared" si="21"/>
        <v>230961</v>
      </c>
      <c r="H37" s="742">
        <f t="shared" si="21"/>
        <v>756679</v>
      </c>
      <c r="I37" s="742">
        <f t="shared" si="21"/>
        <v>143031</v>
      </c>
      <c r="J37" s="742">
        <f t="shared" si="21"/>
        <v>899710</v>
      </c>
      <c r="K37" s="758" t="s">
        <v>747</v>
      </c>
      <c r="L37" s="742">
        <f t="shared" ref="L37:T37" si="22">SUM(L33:L36)</f>
        <v>0</v>
      </c>
      <c r="M37" s="742">
        <f t="shared" si="22"/>
        <v>0</v>
      </c>
      <c r="N37" s="742">
        <f t="shared" si="22"/>
        <v>0</v>
      </c>
      <c r="O37" s="742">
        <f t="shared" si="22"/>
        <v>0</v>
      </c>
      <c r="P37" s="742">
        <f t="shared" si="22"/>
        <v>0</v>
      </c>
      <c r="Q37" s="742">
        <f t="shared" si="22"/>
        <v>0</v>
      </c>
      <c r="R37" s="742">
        <f t="shared" si="22"/>
        <v>2619032</v>
      </c>
      <c r="S37" s="742">
        <f t="shared" si="22"/>
        <v>230031</v>
      </c>
      <c r="T37" s="742">
        <f t="shared" si="22"/>
        <v>2849063</v>
      </c>
      <c r="U37" s="758" t="s">
        <v>747</v>
      </c>
      <c r="V37" s="742">
        <f t="shared" ref="V37:AJ37" si="23">SUM(V33:V36)</f>
        <v>62271</v>
      </c>
      <c r="W37" s="742">
        <f t="shared" si="23"/>
        <v>7200</v>
      </c>
      <c r="X37" s="742">
        <f t="shared" si="23"/>
        <v>69471</v>
      </c>
      <c r="Y37" s="742">
        <f t="shared" si="23"/>
        <v>0</v>
      </c>
      <c r="Z37" s="742">
        <f t="shared" si="23"/>
        <v>0</v>
      </c>
      <c r="AA37" s="742">
        <f t="shared" si="23"/>
        <v>0</v>
      </c>
      <c r="AB37" s="742">
        <f t="shared" si="23"/>
        <v>0</v>
      </c>
      <c r="AC37" s="742">
        <f t="shared" si="23"/>
        <v>0</v>
      </c>
      <c r="AD37" s="742">
        <f t="shared" si="23"/>
        <v>0</v>
      </c>
      <c r="AE37" s="742">
        <f t="shared" si="23"/>
        <v>62271</v>
      </c>
      <c r="AF37" s="742">
        <f t="shared" si="23"/>
        <v>7200</v>
      </c>
      <c r="AG37" s="742">
        <f t="shared" si="23"/>
        <v>69471</v>
      </c>
      <c r="AH37" s="742">
        <f t="shared" si="23"/>
        <v>2681303</v>
      </c>
      <c r="AI37" s="742">
        <f t="shared" si="23"/>
        <v>237231</v>
      </c>
      <c r="AJ37" s="742">
        <f t="shared" si="23"/>
        <v>2918534</v>
      </c>
    </row>
    <row r="38" spans="1:136" s="785" customFormat="1" ht="48.75" customHeight="1" x14ac:dyDescent="0.7">
      <c r="A38" s="759" t="s">
        <v>748</v>
      </c>
      <c r="B38" s="732"/>
      <c r="C38" s="732"/>
      <c r="D38" s="732"/>
      <c r="E38" s="732"/>
      <c r="F38" s="732"/>
      <c r="G38" s="732"/>
      <c r="H38" s="732"/>
      <c r="I38" s="732"/>
      <c r="J38" s="732"/>
      <c r="K38" s="759" t="s">
        <v>761</v>
      </c>
      <c r="L38" s="732"/>
      <c r="M38" s="732"/>
      <c r="N38" s="732"/>
      <c r="O38" s="732"/>
      <c r="P38" s="732"/>
      <c r="Q38" s="732"/>
      <c r="R38" s="732"/>
      <c r="S38" s="732"/>
      <c r="T38" s="732"/>
      <c r="U38" s="759" t="s">
        <v>761</v>
      </c>
      <c r="V38" s="732"/>
      <c r="W38" s="732"/>
      <c r="X38" s="732"/>
      <c r="Y38" s="732"/>
      <c r="Z38" s="732"/>
      <c r="AA38" s="732"/>
      <c r="AB38" s="732"/>
      <c r="AC38" s="732"/>
      <c r="AD38" s="732"/>
      <c r="AE38" s="732"/>
      <c r="AF38" s="732"/>
      <c r="AG38" s="732"/>
      <c r="AH38" s="732"/>
      <c r="AI38" s="732"/>
      <c r="AJ38" s="732"/>
    </row>
    <row r="39" spans="1:136" s="787" customFormat="1" ht="88.5" customHeight="1" thickBot="1" x14ac:dyDescent="0.75">
      <c r="A39" s="753" t="s">
        <v>465</v>
      </c>
      <c r="B39" s="760">
        <f>'[3]int.kiadások RM II'!D39</f>
        <v>1003715</v>
      </c>
      <c r="C39" s="760">
        <f>15465+65091</f>
        <v>80556</v>
      </c>
      <c r="D39" s="760">
        <f>SUM(B39:C39)</f>
        <v>1084271</v>
      </c>
      <c r="E39" s="760">
        <f>'[3]int.kiadások RM II'!G39</f>
        <v>158731</v>
      </c>
      <c r="F39" s="760">
        <v>7538</v>
      </c>
      <c r="G39" s="760">
        <f>SUM(E39:F39)</f>
        <v>166269</v>
      </c>
      <c r="H39" s="760">
        <f>'[3]int.kiadások RM II'!J39</f>
        <v>676541</v>
      </c>
      <c r="I39" s="760">
        <f>5478+4245</f>
        <v>9723</v>
      </c>
      <c r="J39" s="760">
        <f>SUM(H39:I39)</f>
        <v>686264</v>
      </c>
      <c r="K39" s="753" t="s">
        <v>465</v>
      </c>
      <c r="L39" s="760">
        <f>'[3]int.kiadások RM II'!N39</f>
        <v>0</v>
      </c>
      <c r="M39" s="760"/>
      <c r="N39" s="760">
        <f>SUM(L39:M39)</f>
        <v>0</v>
      </c>
      <c r="O39" s="760">
        <f>'[3]int.kiadások RM II'!Q39</f>
        <v>0</v>
      </c>
      <c r="P39" s="760">
        <v>30</v>
      </c>
      <c r="Q39" s="760">
        <f>SUM(O39:P39)</f>
        <v>30</v>
      </c>
      <c r="R39" s="754">
        <f>B39+E39+H39+L39+O39</f>
        <v>1838987</v>
      </c>
      <c r="S39" s="754">
        <f>C39+F39+I39+M39+P39</f>
        <v>97847</v>
      </c>
      <c r="T39" s="754">
        <f>D39+G39+J39+N39+Q39</f>
        <v>1936834</v>
      </c>
      <c r="U39" s="753" t="s">
        <v>465</v>
      </c>
      <c r="V39" s="760">
        <f>'[3]int.kiadások RM II'!X39</f>
        <v>10974</v>
      </c>
      <c r="W39" s="760">
        <v>18216</v>
      </c>
      <c r="X39" s="760">
        <f>SUM(V39:W39)</f>
        <v>29190</v>
      </c>
      <c r="Y39" s="760">
        <f>'[3]int.kiadások RM II'!AA39</f>
        <v>16843</v>
      </c>
      <c r="Z39" s="760">
        <v>14572</v>
      </c>
      <c r="AA39" s="760">
        <f>SUM(Y39:Z39)</f>
        <v>31415</v>
      </c>
      <c r="AB39" s="760">
        <f>'[3]int.kiadások RM II'!AD39</f>
        <v>0</v>
      </c>
      <c r="AC39" s="760"/>
      <c r="AD39" s="760">
        <f>SUM(AB39:AC39)</f>
        <v>0</v>
      </c>
      <c r="AE39" s="754">
        <f>V39+Y39+AB39</f>
        <v>27817</v>
      </c>
      <c r="AF39" s="754">
        <f>W39+Z39+AC39</f>
        <v>32788</v>
      </c>
      <c r="AG39" s="754">
        <f>X39+AA39+AD39</f>
        <v>60605</v>
      </c>
      <c r="AH39" s="754">
        <f>R39+AE39</f>
        <v>1866804</v>
      </c>
      <c r="AI39" s="754">
        <f>S39+AF39</f>
        <v>130635</v>
      </c>
      <c r="AJ39" s="754">
        <f>T39+AG39</f>
        <v>1997439</v>
      </c>
    </row>
    <row r="40" spans="1:136" s="785" customFormat="1" ht="48.75" customHeight="1" x14ac:dyDescent="0.7">
      <c r="A40" s="759" t="s">
        <v>749</v>
      </c>
      <c r="B40" s="732"/>
      <c r="C40" s="732"/>
      <c r="D40" s="732"/>
      <c r="E40" s="732"/>
      <c r="F40" s="732"/>
      <c r="G40" s="732"/>
      <c r="H40" s="732"/>
      <c r="I40" s="732"/>
      <c r="J40" s="732"/>
      <c r="K40" s="759" t="s">
        <v>749</v>
      </c>
      <c r="L40" s="732"/>
      <c r="M40" s="732"/>
      <c r="N40" s="732"/>
      <c r="O40" s="732"/>
      <c r="P40" s="732"/>
      <c r="Q40" s="732"/>
      <c r="R40" s="732"/>
      <c r="S40" s="732"/>
      <c r="T40" s="732"/>
      <c r="U40" s="759" t="s">
        <v>749</v>
      </c>
      <c r="V40" s="732"/>
      <c r="W40" s="732"/>
      <c r="X40" s="732"/>
      <c r="Y40" s="732"/>
      <c r="Z40" s="732"/>
      <c r="AA40" s="732"/>
      <c r="AB40" s="732"/>
      <c r="AC40" s="732"/>
      <c r="AD40" s="732"/>
      <c r="AE40" s="732"/>
      <c r="AF40" s="732"/>
      <c r="AG40" s="732"/>
      <c r="AH40" s="732"/>
      <c r="AI40" s="732"/>
      <c r="AJ40" s="732"/>
    </row>
    <row r="41" spans="1:136" s="785" customFormat="1" ht="49.5" customHeight="1" thickBot="1" x14ac:dyDescent="0.75">
      <c r="A41" s="766" t="s">
        <v>750</v>
      </c>
      <c r="B41" s="760">
        <f>'[3]int.kiadások RM II'!D41</f>
        <v>633739</v>
      </c>
      <c r="C41" s="760">
        <v>9265</v>
      </c>
      <c r="D41" s="760">
        <f>SUM(B41:C41)</f>
        <v>643004</v>
      </c>
      <c r="E41" s="760">
        <f>'[3]int.kiadások RM II'!G41</f>
        <v>94149</v>
      </c>
      <c r="F41" s="760">
        <v>1200</v>
      </c>
      <c r="G41" s="760">
        <f>SUM(E41:F41)</f>
        <v>95349</v>
      </c>
      <c r="H41" s="760">
        <f>'[3]int.kiadások RM II'!J41</f>
        <v>309315</v>
      </c>
      <c r="I41" s="760">
        <v>-8792</v>
      </c>
      <c r="J41" s="760">
        <f>SUM(H41:I41)</f>
        <v>300523</v>
      </c>
      <c r="K41" s="766" t="s">
        <v>750</v>
      </c>
      <c r="L41" s="760">
        <f>'[3]int.kiadások RM II'!N41</f>
        <v>0</v>
      </c>
      <c r="M41" s="760"/>
      <c r="N41" s="760">
        <f>SUM(L41:M41)</f>
        <v>0</v>
      </c>
      <c r="O41" s="760">
        <f>'[3]int.kiadások RM II'!Q41</f>
        <v>0</v>
      </c>
      <c r="P41" s="760">
        <v>27</v>
      </c>
      <c r="Q41" s="760">
        <f>SUM(O41:P41)</f>
        <v>27</v>
      </c>
      <c r="R41" s="754">
        <f>B41+E41+H41+L41+O41</f>
        <v>1037203</v>
      </c>
      <c r="S41" s="754">
        <f>C41+F41+I41+M41+P41</f>
        <v>1700</v>
      </c>
      <c r="T41" s="754">
        <f>D41+G41+J41+N41+Q41</f>
        <v>1038903</v>
      </c>
      <c r="U41" s="766" t="s">
        <v>750</v>
      </c>
      <c r="V41" s="760">
        <f>'[3]int.kiadások RM II'!X41</f>
        <v>6532</v>
      </c>
      <c r="W41" s="760">
        <v>7415</v>
      </c>
      <c r="X41" s="760">
        <f>SUM(V41:W41)</f>
        <v>13947</v>
      </c>
      <c r="Y41" s="760">
        <f>'[3]int.kiadások RM II'!AA41</f>
        <v>0</v>
      </c>
      <c r="Z41" s="760">
        <v>5450</v>
      </c>
      <c r="AA41" s="760">
        <f>SUM(Y41:Z41)</f>
        <v>5450</v>
      </c>
      <c r="AB41" s="760">
        <f>'[3]int.kiadások RM II'!AD41</f>
        <v>0</v>
      </c>
      <c r="AC41" s="760"/>
      <c r="AD41" s="760">
        <f>SUM(AB41:AC41)</f>
        <v>0</v>
      </c>
      <c r="AE41" s="754">
        <f>V41+Y41+AB41</f>
        <v>6532</v>
      </c>
      <c r="AF41" s="754">
        <f>W41+Z41+AC41</f>
        <v>12865</v>
      </c>
      <c r="AG41" s="754">
        <f>X41+AA41+AD41</f>
        <v>19397</v>
      </c>
      <c r="AH41" s="754">
        <f>R41+AE41</f>
        <v>1043735</v>
      </c>
      <c r="AI41" s="754">
        <f>S41+AF41</f>
        <v>14565</v>
      </c>
      <c r="AJ41" s="754">
        <f>T41+AG41</f>
        <v>1058300</v>
      </c>
    </row>
    <row r="42" spans="1:136" s="785" customFormat="1" ht="48" customHeight="1" x14ac:dyDescent="0.7">
      <c r="A42" s="752" t="s">
        <v>751</v>
      </c>
      <c r="B42" s="748"/>
      <c r="C42" s="748"/>
      <c r="D42" s="748"/>
      <c r="E42" s="748"/>
      <c r="F42" s="748"/>
      <c r="G42" s="748"/>
      <c r="H42" s="748"/>
      <c r="I42" s="748"/>
      <c r="J42" s="748"/>
      <c r="K42" s="752" t="s">
        <v>751</v>
      </c>
      <c r="L42" s="748"/>
      <c r="M42" s="748"/>
      <c r="N42" s="748"/>
      <c r="O42" s="748"/>
      <c r="P42" s="748"/>
      <c r="Q42" s="748"/>
      <c r="R42" s="748"/>
      <c r="S42" s="748"/>
      <c r="T42" s="748"/>
      <c r="U42" s="752" t="s">
        <v>751</v>
      </c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48"/>
      <c r="AH42" s="748"/>
      <c r="AI42" s="748"/>
      <c r="AJ42" s="748"/>
    </row>
    <row r="43" spans="1:136" s="785" customFormat="1" ht="48.75" customHeight="1" thickBot="1" x14ac:dyDescent="0.75">
      <c r="A43" s="768" t="s">
        <v>510</v>
      </c>
      <c r="B43" s="735">
        <f>'[3]int.kiadások RM II'!D43</f>
        <v>1529775</v>
      </c>
      <c r="C43" s="739">
        <f>625+10371</f>
        <v>10996</v>
      </c>
      <c r="D43" s="739">
        <f>SUM(B43:C43)</f>
        <v>1540771</v>
      </c>
      <c r="E43" s="735">
        <f>'[3]int.kiadások RM II'!G43</f>
        <v>230606</v>
      </c>
      <c r="F43" s="739">
        <v>1348</v>
      </c>
      <c r="G43" s="739">
        <f>SUM(E43:F43)</f>
        <v>231954</v>
      </c>
      <c r="H43" s="735">
        <f>'[3]int.kiadások RM II'!J43</f>
        <v>247173</v>
      </c>
      <c r="I43" s="739">
        <v>6496</v>
      </c>
      <c r="J43" s="739">
        <f>SUM(H43:I43)</f>
        <v>253669</v>
      </c>
      <c r="K43" s="768" t="s">
        <v>466</v>
      </c>
      <c r="L43" s="739">
        <f>'[3]int.kiadások RM II'!N43</f>
        <v>0</v>
      </c>
      <c r="M43" s="739"/>
      <c r="N43" s="739">
        <f>SUM(L43:M43)</f>
        <v>0</v>
      </c>
      <c r="O43" s="739">
        <f>'[3]int.kiadások RM II'!Q43</f>
        <v>0</v>
      </c>
      <c r="P43" s="739"/>
      <c r="Q43" s="739">
        <f>SUM(O43:P43)</f>
        <v>0</v>
      </c>
      <c r="R43" s="736">
        <f>B43+E43+H43+L43+O43</f>
        <v>2007554</v>
      </c>
      <c r="S43" s="736">
        <f>C43+F43+I43+M43+P43</f>
        <v>18840</v>
      </c>
      <c r="T43" s="736">
        <f>D43+G43+J43+N43+Q43</f>
        <v>2026394</v>
      </c>
      <c r="U43" s="768" t="s">
        <v>510</v>
      </c>
      <c r="V43" s="739">
        <f>'[3]int.kiadások RM II'!X43</f>
        <v>16785</v>
      </c>
      <c r="W43" s="739">
        <f>512+3163</f>
        <v>3675</v>
      </c>
      <c r="X43" s="739">
        <f>SUM(V43:W43)</f>
        <v>20460</v>
      </c>
      <c r="Y43" s="739">
        <f>'[3]int.kiadások RM II'!AA43</f>
        <v>6469</v>
      </c>
      <c r="Z43" s="739"/>
      <c r="AA43" s="739">
        <f>SUM(Y43:Z43)</f>
        <v>6469</v>
      </c>
      <c r="AB43" s="739">
        <f>'[3]int.kiadások RM II'!AD43</f>
        <v>0</v>
      </c>
      <c r="AC43" s="739"/>
      <c r="AD43" s="739">
        <f>SUM(AB43:AC43)</f>
        <v>0</v>
      </c>
      <c r="AE43" s="736">
        <f>V43+Y43+AB43</f>
        <v>23254</v>
      </c>
      <c r="AF43" s="736">
        <f>W43+Z43+AC43</f>
        <v>3675</v>
      </c>
      <c r="AG43" s="736">
        <f>X43+AA43+AD43</f>
        <v>26929</v>
      </c>
      <c r="AH43" s="736">
        <f>R43+AE43</f>
        <v>2030808</v>
      </c>
      <c r="AI43" s="736">
        <f>S43+AF43</f>
        <v>22515</v>
      </c>
      <c r="AJ43" s="736">
        <f>T43+AG43</f>
        <v>2053323</v>
      </c>
    </row>
    <row r="44" spans="1:136" s="785" customFormat="1" ht="48" customHeight="1" x14ac:dyDescent="0.7">
      <c r="A44" s="759" t="s">
        <v>752</v>
      </c>
      <c r="B44" s="732"/>
      <c r="C44" s="732"/>
      <c r="D44" s="732"/>
      <c r="E44" s="732"/>
      <c r="F44" s="732"/>
      <c r="G44" s="732"/>
      <c r="H44" s="732"/>
      <c r="I44" s="732"/>
      <c r="J44" s="732"/>
      <c r="K44" s="759" t="s">
        <v>762</v>
      </c>
      <c r="L44" s="732"/>
      <c r="M44" s="732"/>
      <c r="N44" s="732"/>
      <c r="O44" s="732"/>
      <c r="P44" s="732"/>
      <c r="Q44" s="732"/>
      <c r="R44" s="732"/>
      <c r="S44" s="732"/>
      <c r="T44" s="732"/>
      <c r="U44" s="759" t="s">
        <v>762</v>
      </c>
      <c r="V44" s="732"/>
      <c r="W44" s="732"/>
      <c r="X44" s="732"/>
      <c r="Y44" s="732"/>
      <c r="Z44" s="732"/>
      <c r="AA44" s="732"/>
      <c r="AB44" s="732"/>
      <c r="AC44" s="732"/>
      <c r="AD44" s="732"/>
      <c r="AE44" s="732"/>
      <c r="AF44" s="732"/>
      <c r="AG44" s="732"/>
      <c r="AH44" s="732"/>
      <c r="AI44" s="732"/>
      <c r="AJ44" s="732"/>
    </row>
    <row r="45" spans="1:136" s="785" customFormat="1" ht="48.75" customHeight="1" x14ac:dyDescent="0.7">
      <c r="A45" s="734" t="s">
        <v>467</v>
      </c>
      <c r="B45" s="735">
        <f>'[3]int.kiadások RM II'!D45</f>
        <v>86374</v>
      </c>
      <c r="C45" s="735"/>
      <c r="D45" s="735">
        <f>SUM(B45:C45)</f>
        <v>86374</v>
      </c>
      <c r="E45" s="735">
        <f>'[3]int.kiadások RM II'!G45</f>
        <v>11356</v>
      </c>
      <c r="F45" s="735"/>
      <c r="G45" s="735">
        <f>SUM(E45:F45)</f>
        <v>11356</v>
      </c>
      <c r="H45" s="735">
        <f>'[3]int.kiadások RM II'!J45</f>
        <v>131003</v>
      </c>
      <c r="I45" s="735"/>
      <c r="J45" s="735">
        <f>SUM(H45:I45)</f>
        <v>131003</v>
      </c>
      <c r="K45" s="734" t="s">
        <v>467</v>
      </c>
      <c r="L45" s="735">
        <f>'[3]int.kiadások RM II'!N45</f>
        <v>0</v>
      </c>
      <c r="M45" s="735"/>
      <c r="N45" s="735">
        <f>SUM(L45:M45)</f>
        <v>0</v>
      </c>
      <c r="O45" s="735">
        <f>'[3]int.kiadások RM II'!Q45</f>
        <v>0</v>
      </c>
      <c r="P45" s="791"/>
      <c r="Q45" s="735">
        <f>SUM(O45:P45)</f>
        <v>0</v>
      </c>
      <c r="R45" s="736">
        <f t="shared" ref="R45:T46" si="24">B45+E45+H45+L45+O45</f>
        <v>228733</v>
      </c>
      <c r="S45" s="736">
        <f t="shared" si="24"/>
        <v>0</v>
      </c>
      <c r="T45" s="736">
        <f t="shared" si="24"/>
        <v>228733</v>
      </c>
      <c r="U45" s="734" t="s">
        <v>467</v>
      </c>
      <c r="V45" s="735">
        <f>'[3]int.kiadások RM II'!X45</f>
        <v>7732</v>
      </c>
      <c r="W45" s="735"/>
      <c r="X45" s="735">
        <f>SUM(V45:W45)</f>
        <v>7732</v>
      </c>
      <c r="Y45" s="735">
        <f>'[3]int.kiadások RM II'!AA45</f>
        <v>0</v>
      </c>
      <c r="Z45" s="735"/>
      <c r="AA45" s="735">
        <f>SUM(Y45:Z45)</f>
        <v>0</v>
      </c>
      <c r="AB45" s="735">
        <f>'[3]int.kiadások RM II'!AD45</f>
        <v>0</v>
      </c>
      <c r="AC45" s="735"/>
      <c r="AD45" s="735">
        <f>SUM(AB45:AC45)</f>
        <v>0</v>
      </c>
      <c r="AE45" s="736">
        <f t="shared" ref="AE45:AG46" si="25">V45+Y45+AB45</f>
        <v>7732</v>
      </c>
      <c r="AF45" s="736">
        <f t="shared" si="25"/>
        <v>0</v>
      </c>
      <c r="AG45" s="736">
        <f t="shared" si="25"/>
        <v>7732</v>
      </c>
      <c r="AH45" s="736">
        <f t="shared" ref="AH45:AJ46" si="26">R45+AE45</f>
        <v>236465</v>
      </c>
      <c r="AI45" s="736">
        <f t="shared" si="26"/>
        <v>0</v>
      </c>
      <c r="AJ45" s="736">
        <f t="shared" si="26"/>
        <v>236465</v>
      </c>
      <c r="AK45" s="929"/>
    </row>
    <row r="46" spans="1:136" s="793" customFormat="1" ht="49.5" customHeight="1" thickBot="1" x14ac:dyDescent="0.75">
      <c r="A46" s="770" t="s">
        <v>4</v>
      </c>
      <c r="B46" s="771">
        <f>'[3]int.kiadások RM II'!D46</f>
        <v>2484844</v>
      </c>
      <c r="C46" s="771">
        <v>2993</v>
      </c>
      <c r="D46" s="771">
        <f>SUM(B46:C46)</f>
        <v>2487837</v>
      </c>
      <c r="E46" s="771">
        <f>'[3]int.kiadások RM II'!G46</f>
        <v>367428</v>
      </c>
      <c r="F46" s="771">
        <v>186</v>
      </c>
      <c r="G46" s="772">
        <f>SUM(E46:F46)</f>
        <v>367614</v>
      </c>
      <c r="H46" s="771">
        <f>'[3]int.kiadások RM II'!J46</f>
        <v>493894</v>
      </c>
      <c r="I46" s="772">
        <v>-9661</v>
      </c>
      <c r="J46" s="771">
        <f>SUM(H46:I46)</f>
        <v>484233</v>
      </c>
      <c r="K46" s="770" t="s">
        <v>4</v>
      </c>
      <c r="L46" s="771">
        <f>'[3]int.kiadások RM II'!N46</f>
        <v>0</v>
      </c>
      <c r="M46" s="772"/>
      <c r="N46" s="771">
        <f>SUM(L46:M46)</f>
        <v>0</v>
      </c>
      <c r="O46" s="772">
        <f>'[3]int.kiadások RM II'!Q46</f>
        <v>4000</v>
      </c>
      <c r="P46" s="771"/>
      <c r="Q46" s="792">
        <f>SUM(O46:P46)</f>
        <v>4000</v>
      </c>
      <c r="R46" s="740">
        <f t="shared" si="24"/>
        <v>3350166</v>
      </c>
      <c r="S46" s="773">
        <f t="shared" si="24"/>
        <v>-6482</v>
      </c>
      <c r="T46" s="740">
        <f t="shared" si="24"/>
        <v>3343684</v>
      </c>
      <c r="U46" s="770" t="s">
        <v>4</v>
      </c>
      <c r="V46" s="771">
        <f>'[3]int.kiadások RM II'!X46</f>
        <v>93286</v>
      </c>
      <c r="W46" s="772">
        <f>12500</f>
        <v>12500</v>
      </c>
      <c r="X46" s="771">
        <f>SUM(V46:W46)</f>
        <v>105786</v>
      </c>
      <c r="Y46" s="772">
        <f>'[3]int.kiadások RM II'!AA46</f>
        <v>0</v>
      </c>
      <c r="Z46" s="771"/>
      <c r="AA46" s="772">
        <f>SUM(Y46:Z46)</f>
        <v>0</v>
      </c>
      <c r="AB46" s="771">
        <f>'[3]int.kiadások RM II'!AD46</f>
        <v>0</v>
      </c>
      <c r="AC46" s="772"/>
      <c r="AD46" s="792">
        <f>SUM(AB46:AC46)</f>
        <v>0</v>
      </c>
      <c r="AE46" s="740">
        <f t="shared" si="25"/>
        <v>93286</v>
      </c>
      <c r="AF46" s="773">
        <f t="shared" si="25"/>
        <v>12500</v>
      </c>
      <c r="AG46" s="740">
        <f t="shared" si="25"/>
        <v>105786</v>
      </c>
      <c r="AH46" s="773">
        <f t="shared" si="26"/>
        <v>3443452</v>
      </c>
      <c r="AI46" s="740">
        <f t="shared" si="26"/>
        <v>6018</v>
      </c>
      <c r="AJ46" s="740">
        <f t="shared" si="26"/>
        <v>3449470</v>
      </c>
      <c r="AK46" s="929"/>
      <c r="AL46" s="785"/>
      <c r="AM46" s="785"/>
      <c r="AN46" s="785"/>
      <c r="AO46" s="785"/>
      <c r="AP46" s="785"/>
      <c r="AQ46" s="785"/>
      <c r="AR46" s="785"/>
      <c r="AS46" s="785"/>
      <c r="AT46" s="785"/>
      <c r="AU46" s="785"/>
      <c r="AV46" s="785"/>
      <c r="AW46" s="785"/>
      <c r="AX46" s="785"/>
      <c r="AY46" s="785"/>
      <c r="AZ46" s="785"/>
      <c r="BA46" s="785"/>
      <c r="BB46" s="785"/>
      <c r="BC46" s="785"/>
      <c r="BD46" s="785"/>
      <c r="BE46" s="785"/>
      <c r="BF46" s="785"/>
      <c r="BG46" s="785"/>
      <c r="BH46" s="785"/>
      <c r="BI46" s="785"/>
      <c r="BJ46" s="785"/>
      <c r="BK46" s="785"/>
      <c r="BL46" s="785"/>
      <c r="BM46" s="785"/>
      <c r="BN46" s="785"/>
      <c r="BO46" s="785"/>
      <c r="BP46" s="785"/>
      <c r="BQ46" s="785"/>
      <c r="BR46" s="785"/>
      <c r="BS46" s="785"/>
      <c r="BT46" s="785"/>
      <c r="BU46" s="785"/>
      <c r="BV46" s="785"/>
      <c r="BW46" s="785"/>
      <c r="BX46" s="785"/>
      <c r="BY46" s="785"/>
      <c r="BZ46" s="785"/>
      <c r="CA46" s="785"/>
      <c r="CB46" s="785"/>
      <c r="CC46" s="785"/>
      <c r="CD46" s="785"/>
      <c r="CE46" s="785"/>
      <c r="CF46" s="785"/>
      <c r="CG46" s="785"/>
      <c r="CH46" s="785"/>
      <c r="CI46" s="785"/>
      <c r="CJ46" s="785"/>
      <c r="CK46" s="785"/>
      <c r="CL46" s="785"/>
      <c r="CM46" s="785"/>
      <c r="CN46" s="785"/>
      <c r="CO46" s="785"/>
      <c r="CP46" s="785"/>
      <c r="CQ46" s="785"/>
      <c r="CR46" s="785"/>
      <c r="CS46" s="785"/>
      <c r="CT46" s="785"/>
      <c r="CU46" s="785"/>
      <c r="CV46" s="785"/>
      <c r="CW46" s="785"/>
      <c r="CX46" s="785"/>
      <c r="CY46" s="785"/>
      <c r="CZ46" s="785"/>
      <c r="DA46" s="785"/>
      <c r="DB46" s="785"/>
      <c r="DC46" s="785"/>
      <c r="DD46" s="785"/>
      <c r="DE46" s="785"/>
      <c r="DF46" s="785"/>
      <c r="DG46" s="785"/>
      <c r="DH46" s="785"/>
      <c r="DI46" s="785"/>
      <c r="DJ46" s="785"/>
      <c r="DK46" s="785"/>
      <c r="DL46" s="785"/>
      <c r="DM46" s="785"/>
      <c r="DN46" s="785"/>
      <c r="DO46" s="785"/>
      <c r="DP46" s="785"/>
      <c r="DQ46" s="785"/>
      <c r="DR46" s="785"/>
      <c r="DS46" s="785"/>
      <c r="DT46" s="785"/>
      <c r="DU46" s="785"/>
      <c r="DV46" s="785"/>
      <c r="DW46" s="785"/>
      <c r="DX46" s="785"/>
      <c r="DY46" s="785"/>
      <c r="DZ46" s="785"/>
      <c r="EA46" s="785"/>
      <c r="EB46" s="785"/>
      <c r="EC46" s="785"/>
      <c r="ED46" s="785"/>
      <c r="EE46" s="785"/>
      <c r="EF46" s="785"/>
    </row>
    <row r="47" spans="1:136" s="785" customFormat="1" ht="61.5" customHeight="1" thickBot="1" x14ac:dyDescent="0.75">
      <c r="A47" s="794" t="s">
        <v>753</v>
      </c>
      <c r="B47" s="754">
        <f t="shared" ref="B47:J47" si="27">SUM(B45:B46)</f>
        <v>2571218</v>
      </c>
      <c r="C47" s="754">
        <f t="shared" si="27"/>
        <v>2993</v>
      </c>
      <c r="D47" s="754">
        <f t="shared" si="27"/>
        <v>2574211</v>
      </c>
      <c r="E47" s="754">
        <f t="shared" si="27"/>
        <v>378784</v>
      </c>
      <c r="F47" s="754">
        <f t="shared" si="27"/>
        <v>186</v>
      </c>
      <c r="G47" s="754">
        <f t="shared" si="27"/>
        <v>378970</v>
      </c>
      <c r="H47" s="754">
        <f t="shared" si="27"/>
        <v>624897</v>
      </c>
      <c r="I47" s="754">
        <f t="shared" si="27"/>
        <v>-9661</v>
      </c>
      <c r="J47" s="754">
        <f t="shared" si="27"/>
        <v>615236</v>
      </c>
      <c r="K47" s="794" t="s">
        <v>753</v>
      </c>
      <c r="L47" s="754">
        <f t="shared" ref="L47:T47" si="28">SUM(L45:L46)</f>
        <v>0</v>
      </c>
      <c r="M47" s="754">
        <f t="shared" si="28"/>
        <v>0</v>
      </c>
      <c r="N47" s="754">
        <f t="shared" si="28"/>
        <v>0</v>
      </c>
      <c r="O47" s="754">
        <f t="shared" si="28"/>
        <v>4000</v>
      </c>
      <c r="P47" s="754">
        <f t="shared" si="28"/>
        <v>0</v>
      </c>
      <c r="Q47" s="754">
        <f t="shared" si="28"/>
        <v>4000</v>
      </c>
      <c r="R47" s="754">
        <f t="shared" si="28"/>
        <v>3578899</v>
      </c>
      <c r="S47" s="754">
        <f t="shared" si="28"/>
        <v>-6482</v>
      </c>
      <c r="T47" s="754">
        <f t="shared" si="28"/>
        <v>3572417</v>
      </c>
      <c r="U47" s="794" t="s">
        <v>753</v>
      </c>
      <c r="V47" s="754">
        <f t="shared" ref="V47:AJ47" si="29">SUM(V45:V46)</f>
        <v>101018</v>
      </c>
      <c r="W47" s="754">
        <f t="shared" si="29"/>
        <v>12500</v>
      </c>
      <c r="X47" s="754">
        <f t="shared" si="29"/>
        <v>113518</v>
      </c>
      <c r="Y47" s="754">
        <f t="shared" si="29"/>
        <v>0</v>
      </c>
      <c r="Z47" s="754">
        <f t="shared" si="29"/>
        <v>0</v>
      </c>
      <c r="AA47" s="754">
        <f t="shared" si="29"/>
        <v>0</v>
      </c>
      <c r="AB47" s="754">
        <f t="shared" si="29"/>
        <v>0</v>
      </c>
      <c r="AC47" s="754">
        <f t="shared" si="29"/>
        <v>0</v>
      </c>
      <c r="AD47" s="754">
        <f t="shared" si="29"/>
        <v>0</v>
      </c>
      <c r="AE47" s="754">
        <f t="shared" si="29"/>
        <v>101018</v>
      </c>
      <c r="AF47" s="754">
        <f t="shared" si="29"/>
        <v>12500</v>
      </c>
      <c r="AG47" s="754">
        <f t="shared" si="29"/>
        <v>113518</v>
      </c>
      <c r="AH47" s="754">
        <f t="shared" si="29"/>
        <v>3679917</v>
      </c>
      <c r="AI47" s="754">
        <f t="shared" si="29"/>
        <v>6018</v>
      </c>
      <c r="AJ47" s="754">
        <f t="shared" si="29"/>
        <v>3685935</v>
      </c>
    </row>
    <row r="48" spans="1:136" s="785" customFormat="1" ht="61.5" customHeight="1" thickBot="1" x14ac:dyDescent="0.75">
      <c r="A48" s="794" t="s">
        <v>754</v>
      </c>
      <c r="B48" s="740">
        <f t="shared" ref="B48:J48" si="30">B37+B39+B41+B43+B47</f>
        <v>7377839</v>
      </c>
      <c r="C48" s="740">
        <f t="shared" si="30"/>
        <v>182810</v>
      </c>
      <c r="D48" s="740">
        <f t="shared" si="30"/>
        <v>7560649</v>
      </c>
      <c r="E48" s="740">
        <f t="shared" si="30"/>
        <v>1085231</v>
      </c>
      <c r="F48" s="740">
        <f t="shared" si="30"/>
        <v>18272</v>
      </c>
      <c r="G48" s="740">
        <f t="shared" si="30"/>
        <v>1103503</v>
      </c>
      <c r="H48" s="740">
        <f t="shared" si="30"/>
        <v>2614605</v>
      </c>
      <c r="I48" s="740">
        <f t="shared" si="30"/>
        <v>140797</v>
      </c>
      <c r="J48" s="740">
        <f t="shared" si="30"/>
        <v>2755402</v>
      </c>
      <c r="K48" s="794" t="s">
        <v>754</v>
      </c>
      <c r="L48" s="740">
        <f t="shared" ref="L48:T48" si="31">L37+L39+L41+L43+L47</f>
        <v>0</v>
      </c>
      <c r="M48" s="740">
        <f t="shared" si="31"/>
        <v>0</v>
      </c>
      <c r="N48" s="740">
        <f t="shared" si="31"/>
        <v>0</v>
      </c>
      <c r="O48" s="740">
        <f t="shared" si="31"/>
        <v>4000</v>
      </c>
      <c r="P48" s="740">
        <f t="shared" si="31"/>
        <v>57</v>
      </c>
      <c r="Q48" s="740">
        <f t="shared" si="31"/>
        <v>4057</v>
      </c>
      <c r="R48" s="740">
        <f t="shared" si="31"/>
        <v>11081675</v>
      </c>
      <c r="S48" s="740">
        <f t="shared" si="31"/>
        <v>341936</v>
      </c>
      <c r="T48" s="740">
        <f t="shared" si="31"/>
        <v>11423611</v>
      </c>
      <c r="U48" s="794" t="s">
        <v>754</v>
      </c>
      <c r="V48" s="740">
        <f t="shared" ref="V48:AJ48" si="32">V37+V39+V41+V43+V47</f>
        <v>197580</v>
      </c>
      <c r="W48" s="740">
        <f t="shared" si="32"/>
        <v>49006</v>
      </c>
      <c r="X48" s="740">
        <f t="shared" si="32"/>
        <v>246586</v>
      </c>
      <c r="Y48" s="740">
        <f t="shared" si="32"/>
        <v>23312</v>
      </c>
      <c r="Z48" s="740">
        <f t="shared" si="32"/>
        <v>20022</v>
      </c>
      <c r="AA48" s="740">
        <f t="shared" si="32"/>
        <v>43334</v>
      </c>
      <c r="AB48" s="740">
        <f t="shared" si="32"/>
        <v>0</v>
      </c>
      <c r="AC48" s="740">
        <f t="shared" si="32"/>
        <v>0</v>
      </c>
      <c r="AD48" s="740">
        <f t="shared" si="32"/>
        <v>0</v>
      </c>
      <c r="AE48" s="740">
        <f t="shared" si="32"/>
        <v>220892</v>
      </c>
      <c r="AF48" s="740">
        <f t="shared" si="32"/>
        <v>69028</v>
      </c>
      <c r="AG48" s="740">
        <f t="shared" si="32"/>
        <v>289920</v>
      </c>
      <c r="AH48" s="740">
        <f t="shared" si="32"/>
        <v>11302567</v>
      </c>
      <c r="AI48" s="740">
        <f t="shared" si="32"/>
        <v>410964</v>
      </c>
      <c r="AJ48" s="740">
        <f t="shared" si="32"/>
        <v>11713531</v>
      </c>
    </row>
    <row r="49" spans="1:36" s="785" customFormat="1" ht="61.5" customHeight="1" thickBot="1" x14ac:dyDescent="0.75">
      <c r="A49" s="776" t="s">
        <v>755</v>
      </c>
      <c r="B49" s="742">
        <f t="shared" ref="B49:J49" si="33">B30+B48</f>
        <v>10854735</v>
      </c>
      <c r="C49" s="742">
        <f t="shared" si="33"/>
        <v>169135</v>
      </c>
      <c r="D49" s="742">
        <f t="shared" si="33"/>
        <v>11023870</v>
      </c>
      <c r="E49" s="742">
        <f t="shared" si="33"/>
        <v>1566391</v>
      </c>
      <c r="F49" s="742">
        <f t="shared" si="33"/>
        <v>16451</v>
      </c>
      <c r="G49" s="742">
        <f t="shared" si="33"/>
        <v>1582842</v>
      </c>
      <c r="H49" s="742">
        <f t="shared" si="33"/>
        <v>4850175</v>
      </c>
      <c r="I49" s="742">
        <f t="shared" si="33"/>
        <v>160639</v>
      </c>
      <c r="J49" s="742">
        <f t="shared" si="33"/>
        <v>5010814</v>
      </c>
      <c r="K49" s="776" t="s">
        <v>755</v>
      </c>
      <c r="L49" s="742">
        <f t="shared" ref="L49:T49" si="34">L30+L48</f>
        <v>0</v>
      </c>
      <c r="M49" s="742">
        <f t="shared" si="34"/>
        <v>0</v>
      </c>
      <c r="N49" s="742">
        <f t="shared" si="34"/>
        <v>0</v>
      </c>
      <c r="O49" s="742">
        <f t="shared" si="34"/>
        <v>4000</v>
      </c>
      <c r="P49" s="742">
        <f t="shared" si="34"/>
        <v>57</v>
      </c>
      <c r="Q49" s="742">
        <f t="shared" si="34"/>
        <v>4057</v>
      </c>
      <c r="R49" s="742">
        <f t="shared" si="34"/>
        <v>17275301</v>
      </c>
      <c r="S49" s="742">
        <f t="shared" si="34"/>
        <v>346282</v>
      </c>
      <c r="T49" s="742">
        <f t="shared" si="34"/>
        <v>17621583</v>
      </c>
      <c r="U49" s="776" t="s">
        <v>755</v>
      </c>
      <c r="V49" s="742">
        <f t="shared" ref="V49:AJ49" si="35">V30+V48</f>
        <v>227417</v>
      </c>
      <c r="W49" s="742">
        <f t="shared" si="35"/>
        <v>72384</v>
      </c>
      <c r="X49" s="742">
        <f t="shared" si="35"/>
        <v>299801</v>
      </c>
      <c r="Y49" s="742">
        <f t="shared" si="35"/>
        <v>54765</v>
      </c>
      <c r="Z49" s="742">
        <f t="shared" si="35"/>
        <v>20212</v>
      </c>
      <c r="AA49" s="742">
        <f t="shared" si="35"/>
        <v>74977</v>
      </c>
      <c r="AB49" s="742">
        <f t="shared" si="35"/>
        <v>0</v>
      </c>
      <c r="AC49" s="742">
        <f t="shared" si="35"/>
        <v>0</v>
      </c>
      <c r="AD49" s="742">
        <f t="shared" si="35"/>
        <v>0</v>
      </c>
      <c r="AE49" s="742">
        <f t="shared" si="35"/>
        <v>282182</v>
      </c>
      <c r="AF49" s="742">
        <f t="shared" si="35"/>
        <v>92596</v>
      </c>
      <c r="AG49" s="742">
        <f t="shared" si="35"/>
        <v>374778</v>
      </c>
      <c r="AH49" s="742">
        <f t="shared" si="35"/>
        <v>17557483</v>
      </c>
      <c r="AI49" s="742">
        <f t="shared" si="35"/>
        <v>438878</v>
      </c>
      <c r="AJ49" s="742">
        <f t="shared" si="35"/>
        <v>17996361</v>
      </c>
    </row>
    <row r="50" spans="1:36" ht="26.45" customHeight="1" x14ac:dyDescent="0.6">
      <c r="A50" s="779"/>
      <c r="K50" s="779"/>
      <c r="U50" s="779"/>
    </row>
  </sheetData>
  <mergeCells count="20">
    <mergeCell ref="A5:A6"/>
    <mergeCell ref="B5:D7"/>
    <mergeCell ref="E5:G7"/>
    <mergeCell ref="H5:J7"/>
    <mergeCell ref="K5:K6"/>
    <mergeCell ref="L5:N7"/>
    <mergeCell ref="B2:J2"/>
    <mergeCell ref="L2:T2"/>
    <mergeCell ref="V2:AJ2"/>
    <mergeCell ref="B3:J3"/>
    <mergeCell ref="L3:T3"/>
    <mergeCell ref="V3:AJ3"/>
    <mergeCell ref="AE5:AG7"/>
    <mergeCell ref="AH5:AJ7"/>
    <mergeCell ref="O5:Q7"/>
    <mergeCell ref="R5:T7"/>
    <mergeCell ref="U5:U6"/>
    <mergeCell ref="V5:X7"/>
    <mergeCell ref="Y5:AA7"/>
    <mergeCell ref="AB5:AD7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&amp;L&amp;14
&amp;F &amp;A&amp;R&amp;"-,Félkövér"&amp;36
 6.  melléklet a 20/2025.(IX.30.) önkormányzati rendelethez
"6. melléklet a 4/2025.(II.28.) önkormányzati rendelethez"</oddHeader>
    <oddFooter xml:space="preserve">&amp;C &amp;R
&amp;36 &amp;10
</oddFooter>
  </headerFooter>
  <colBreaks count="2" manualBreakCount="2">
    <brk id="10" max="50" man="1"/>
    <brk id="20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3"/>
  <sheetViews>
    <sheetView view="pageLayout" zoomScaleNormal="40" zoomScaleSheetLayoutView="50" workbookViewId="0">
      <selection activeCell="I15" sqref="I15"/>
    </sheetView>
  </sheetViews>
  <sheetFormatPr defaultColWidth="12" defaultRowHeight="33.75" x14ac:dyDescent="0.5"/>
  <cols>
    <col min="1" max="1" width="151" style="796" customWidth="1"/>
    <col min="2" max="3" width="50" style="796" customWidth="1"/>
    <col min="4" max="5" width="49.83203125" style="800" customWidth="1"/>
    <col min="6" max="7" width="50" style="800" customWidth="1"/>
    <col min="8" max="12" width="49.83203125" style="800" customWidth="1"/>
    <col min="13" max="13" width="50" style="800" customWidth="1"/>
    <col min="14" max="14" width="49.83203125" style="800" customWidth="1"/>
    <col min="15" max="16384" width="12" style="800"/>
  </cols>
  <sheetData>
    <row r="1" spans="1:16" s="796" customFormat="1" ht="45" customHeight="1" x14ac:dyDescent="0.6">
      <c r="A1" s="1057" t="s">
        <v>764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1057"/>
    </row>
    <row r="2" spans="1:16" s="796" customFormat="1" ht="44.25" customHeight="1" x14ac:dyDescent="0.6">
      <c r="A2" s="1057" t="s">
        <v>765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</row>
    <row r="3" spans="1:16" ht="44.25" customHeight="1" thickBot="1" x14ac:dyDescent="0.55000000000000004">
      <c r="A3" s="797"/>
      <c r="B3" s="797"/>
      <c r="C3" s="797"/>
      <c r="D3" s="798"/>
      <c r="E3" s="798"/>
      <c r="F3" s="798"/>
      <c r="G3" s="798"/>
      <c r="H3" s="798"/>
      <c r="I3" s="798"/>
      <c r="J3" s="798"/>
      <c r="K3" s="798"/>
      <c r="L3" s="798"/>
      <c r="M3" s="798"/>
      <c r="N3" s="799" t="s">
        <v>766</v>
      </c>
    </row>
    <row r="4" spans="1:16" s="796" customFormat="1" ht="45.75" customHeight="1" thickBot="1" x14ac:dyDescent="0.55000000000000004">
      <c r="A4" s="801" t="s">
        <v>767</v>
      </c>
      <c r="B4" s="802"/>
      <c r="C4" s="802"/>
      <c r="D4" s="1058" t="s">
        <v>768</v>
      </c>
      <c r="E4" s="1058" t="s">
        <v>717</v>
      </c>
      <c r="F4" s="1061" t="s">
        <v>718</v>
      </c>
      <c r="G4" s="1058" t="s">
        <v>719</v>
      </c>
      <c r="H4" s="1063" t="s">
        <v>769</v>
      </c>
      <c r="I4" s="1064"/>
      <c r="J4" s="1064"/>
      <c r="K4" s="1064"/>
      <c r="L4" s="1064"/>
      <c r="M4" s="1064"/>
      <c r="N4" s="1065"/>
    </row>
    <row r="5" spans="1:16" s="796" customFormat="1" ht="149.25" customHeight="1" thickBot="1" x14ac:dyDescent="0.55000000000000004">
      <c r="A5" s="803"/>
      <c r="B5" s="804" t="s">
        <v>770</v>
      </c>
      <c r="C5" s="804" t="s">
        <v>771</v>
      </c>
      <c r="D5" s="1059"/>
      <c r="E5" s="1059"/>
      <c r="F5" s="1062"/>
      <c r="G5" s="1059"/>
      <c r="H5" s="805" t="s">
        <v>772</v>
      </c>
      <c r="I5" s="806" t="s">
        <v>773</v>
      </c>
      <c r="J5" s="806" t="s">
        <v>774</v>
      </c>
      <c r="K5" s="807" t="s">
        <v>775</v>
      </c>
      <c r="L5" s="1066" t="s">
        <v>776</v>
      </c>
      <c r="M5" s="1067"/>
      <c r="N5" s="808" t="s">
        <v>777</v>
      </c>
    </row>
    <row r="6" spans="1:16" s="796" customFormat="1" ht="87.75" customHeight="1" thickBot="1" x14ac:dyDescent="0.55000000000000004">
      <c r="A6" s="809"/>
      <c r="B6" s="809"/>
      <c r="C6" s="809"/>
      <c r="D6" s="1060"/>
      <c r="E6" s="1060"/>
      <c r="F6" s="810"/>
      <c r="G6" s="1060"/>
      <c r="H6" s="811"/>
      <c r="I6" s="812"/>
      <c r="J6" s="813"/>
      <c r="K6" s="814"/>
      <c r="L6" s="813"/>
      <c r="M6" s="815" t="s">
        <v>778</v>
      </c>
      <c r="N6" s="808"/>
    </row>
    <row r="7" spans="1:16" s="817" customFormat="1" ht="145.5" customHeight="1" x14ac:dyDescent="0.5">
      <c r="A7" s="816" t="s">
        <v>779</v>
      </c>
      <c r="B7" s="930"/>
      <c r="C7" s="930"/>
      <c r="D7" s="931"/>
      <c r="E7" s="932"/>
      <c r="F7" s="933"/>
      <c r="G7" s="931"/>
      <c r="H7" s="934"/>
      <c r="I7" s="935"/>
      <c r="J7" s="932"/>
      <c r="K7" s="932"/>
      <c r="L7" s="932"/>
      <c r="M7" s="932"/>
      <c r="N7" s="934"/>
      <c r="O7" s="936"/>
      <c r="P7" s="936"/>
    </row>
    <row r="8" spans="1:16" s="819" customFormat="1" ht="45.75" customHeight="1" x14ac:dyDescent="0.55000000000000004">
      <c r="A8" s="818" t="s">
        <v>721</v>
      </c>
      <c r="B8" s="937">
        <f>'[4]7.létszám ei zárás 2024 év'!G9</f>
        <v>34</v>
      </c>
      <c r="C8" s="937">
        <f>'[5]2025 évi nyitó létszám'!G8</f>
        <v>34</v>
      </c>
      <c r="D8" s="938">
        <f>'[5]létszám ei mód RM I.'!O9</f>
        <v>34</v>
      </c>
      <c r="E8" s="939">
        <f>'[5]létszám ei mód RM II.'!P9</f>
        <v>34</v>
      </c>
      <c r="F8" s="940"/>
      <c r="G8" s="941">
        <f>E8+F8</f>
        <v>34</v>
      </c>
      <c r="H8" s="942"/>
      <c r="I8" s="943"/>
      <c r="J8" s="943"/>
      <c r="K8" s="943">
        <v>33</v>
      </c>
      <c r="L8" s="943">
        <v>1</v>
      </c>
      <c r="M8" s="943"/>
      <c r="N8" s="942"/>
      <c r="O8" s="944"/>
      <c r="P8" s="944"/>
    </row>
    <row r="9" spans="1:16" s="819" customFormat="1" ht="45.75" customHeight="1" x14ac:dyDescent="0.55000000000000004">
      <c r="A9" s="820" t="s">
        <v>722</v>
      </c>
      <c r="B9" s="945">
        <f>'[4]7.létszám ei zárás 2024 év'!G10</f>
        <v>24</v>
      </c>
      <c r="C9" s="945">
        <f>'[5]2025 évi nyitó létszám'!G9</f>
        <v>24</v>
      </c>
      <c r="D9" s="946">
        <f>'[5]létszám ei mód RM I.'!O10</f>
        <v>24</v>
      </c>
      <c r="E9" s="947">
        <f>'[5]létszám ei mód RM II.'!P10</f>
        <v>24</v>
      </c>
      <c r="F9" s="948"/>
      <c r="G9" s="949">
        <f t="shared" ref="G9:G25" si="0">E9+F9</f>
        <v>24</v>
      </c>
      <c r="H9" s="950"/>
      <c r="I9" s="951"/>
      <c r="J9" s="951"/>
      <c r="K9" s="951">
        <v>23</v>
      </c>
      <c r="L9" s="952">
        <v>1</v>
      </c>
      <c r="M9" s="953"/>
      <c r="N9" s="952"/>
      <c r="O9" s="944"/>
      <c r="P9" s="944"/>
    </row>
    <row r="10" spans="1:16" s="819" customFormat="1" ht="45.75" customHeight="1" x14ac:dyDescent="0.55000000000000004">
      <c r="A10" s="820" t="s">
        <v>723</v>
      </c>
      <c r="B10" s="937">
        <f>'[4]7.létszám ei zárás 2024 év'!G11</f>
        <v>24</v>
      </c>
      <c r="C10" s="937">
        <f>'[5]2025 évi nyitó létszám'!G10</f>
        <v>24</v>
      </c>
      <c r="D10" s="938">
        <f>'[5]létszám ei mód RM I.'!O11</f>
        <v>24</v>
      </c>
      <c r="E10" s="947">
        <f>'[5]létszám ei mód RM II.'!P11</f>
        <v>24</v>
      </c>
      <c r="F10" s="954"/>
      <c r="G10" s="955">
        <f t="shared" si="0"/>
        <v>24</v>
      </c>
      <c r="H10" s="956"/>
      <c r="I10" s="957"/>
      <c r="J10" s="953"/>
      <c r="K10" s="953">
        <v>23</v>
      </c>
      <c r="L10" s="943">
        <v>1</v>
      </c>
      <c r="M10" s="943"/>
      <c r="N10" s="942"/>
      <c r="O10" s="944"/>
      <c r="P10" s="944"/>
    </row>
    <row r="11" spans="1:16" s="819" customFormat="1" ht="45.75" customHeight="1" x14ac:dyDescent="0.55000000000000004">
      <c r="A11" s="820" t="s">
        <v>724</v>
      </c>
      <c r="B11" s="945">
        <f>'[4]7.létszám ei zárás 2024 év'!G12</f>
        <v>29</v>
      </c>
      <c r="C11" s="945">
        <f>'[5]2025 évi nyitó létszám'!G11</f>
        <v>29</v>
      </c>
      <c r="D11" s="946">
        <f>'[5]létszám ei mód RM I.'!O12</f>
        <v>29</v>
      </c>
      <c r="E11" s="947">
        <f>'[5]létszám ei mód RM II.'!P12</f>
        <v>29</v>
      </c>
      <c r="F11" s="940"/>
      <c r="G11" s="941">
        <f t="shared" si="0"/>
        <v>29</v>
      </c>
      <c r="H11" s="942"/>
      <c r="I11" s="943"/>
      <c r="J11" s="943"/>
      <c r="K11" s="943">
        <v>28</v>
      </c>
      <c r="L11" s="952">
        <v>1</v>
      </c>
      <c r="M11" s="953"/>
      <c r="N11" s="952"/>
      <c r="O11" s="944"/>
      <c r="P11" s="944"/>
    </row>
    <row r="12" spans="1:16" s="819" customFormat="1" ht="45.75" customHeight="1" x14ac:dyDescent="0.55000000000000004">
      <c r="A12" s="820" t="s">
        <v>725</v>
      </c>
      <c r="B12" s="945">
        <f>'[4]7.létszám ei zárás 2024 év'!G13</f>
        <v>27</v>
      </c>
      <c r="C12" s="945">
        <f>'[5]2025 évi nyitó létszám'!G12</f>
        <v>27</v>
      </c>
      <c r="D12" s="946">
        <f>'[5]létszám ei mód RM I.'!O13</f>
        <v>27</v>
      </c>
      <c r="E12" s="947">
        <f>'[5]létszám ei mód RM II.'!P13</f>
        <v>28</v>
      </c>
      <c r="F12" s="948"/>
      <c r="G12" s="949">
        <f t="shared" si="0"/>
        <v>28</v>
      </c>
      <c r="H12" s="950"/>
      <c r="I12" s="951"/>
      <c r="J12" s="951"/>
      <c r="K12" s="951">
        <v>27</v>
      </c>
      <c r="L12" s="952">
        <v>1</v>
      </c>
      <c r="M12" s="943"/>
      <c r="N12" s="952"/>
      <c r="O12" s="944"/>
      <c r="P12" s="944"/>
    </row>
    <row r="13" spans="1:16" s="819" customFormat="1" ht="45.75" customHeight="1" x14ac:dyDescent="0.55000000000000004">
      <c r="A13" s="820" t="s">
        <v>726</v>
      </c>
      <c r="B13" s="945">
        <f>'[4]7.létszám ei zárás 2024 év'!G14</f>
        <v>24</v>
      </c>
      <c r="C13" s="945">
        <f>'[5]2025 évi nyitó létszám'!G13</f>
        <v>24</v>
      </c>
      <c r="D13" s="946">
        <f>'[5]létszám ei mód RM I.'!O14</f>
        <v>24</v>
      </c>
      <c r="E13" s="947">
        <f>'[5]létszám ei mód RM II.'!P14</f>
        <v>24</v>
      </c>
      <c r="F13" s="954"/>
      <c r="G13" s="955">
        <f t="shared" si="0"/>
        <v>24</v>
      </c>
      <c r="H13" s="952"/>
      <c r="I13" s="953"/>
      <c r="J13" s="953"/>
      <c r="K13" s="953">
        <v>23</v>
      </c>
      <c r="L13" s="952">
        <v>1</v>
      </c>
      <c r="M13" s="953"/>
      <c r="N13" s="952"/>
      <c r="O13" s="944"/>
      <c r="P13" s="944"/>
    </row>
    <row r="14" spans="1:16" s="819" customFormat="1" ht="45.75" customHeight="1" x14ac:dyDescent="0.55000000000000004">
      <c r="A14" s="820" t="s">
        <v>727</v>
      </c>
      <c r="B14" s="945">
        <f>'[4]7.létszám ei zárás 2024 év'!G15</f>
        <v>20</v>
      </c>
      <c r="C14" s="945">
        <f>'[5]2025 évi nyitó létszám'!G14</f>
        <v>19</v>
      </c>
      <c r="D14" s="946">
        <f>'[5]létszám ei mód RM I.'!O15</f>
        <v>19</v>
      </c>
      <c r="E14" s="947">
        <f>'[5]létszám ei mód RM II.'!P15</f>
        <v>19</v>
      </c>
      <c r="F14" s="948"/>
      <c r="G14" s="949">
        <f t="shared" si="0"/>
        <v>19</v>
      </c>
      <c r="H14" s="950"/>
      <c r="I14" s="951"/>
      <c r="J14" s="951"/>
      <c r="K14" s="951">
        <v>18</v>
      </c>
      <c r="L14" s="952">
        <v>1</v>
      </c>
      <c r="M14" s="943"/>
      <c r="N14" s="952"/>
      <c r="O14" s="944"/>
      <c r="P14" s="944"/>
    </row>
    <row r="15" spans="1:16" s="819" customFormat="1" ht="45.75" customHeight="1" x14ac:dyDescent="0.55000000000000004">
      <c r="A15" s="820" t="s">
        <v>729</v>
      </c>
      <c r="B15" s="945">
        <f>'[4]7.létszám ei zárás 2024 év'!G16</f>
        <v>19</v>
      </c>
      <c r="C15" s="945">
        <f>'[5]2025 évi nyitó létszám'!G15</f>
        <v>19</v>
      </c>
      <c r="D15" s="946">
        <f>'[5]létszám ei mód RM I.'!O16</f>
        <v>19</v>
      </c>
      <c r="E15" s="947">
        <f>'[5]létszám ei mód RM II.'!P16</f>
        <v>19</v>
      </c>
      <c r="F15" s="954"/>
      <c r="G15" s="955">
        <f t="shared" si="0"/>
        <v>19</v>
      </c>
      <c r="H15" s="952"/>
      <c r="I15" s="953"/>
      <c r="J15" s="953"/>
      <c r="K15" s="953">
        <v>18</v>
      </c>
      <c r="L15" s="952">
        <v>1</v>
      </c>
      <c r="M15" s="953"/>
      <c r="N15" s="952"/>
      <c r="O15" s="944"/>
      <c r="P15" s="944"/>
    </row>
    <row r="16" spans="1:16" s="819" customFormat="1" ht="45.75" customHeight="1" x14ac:dyDescent="0.55000000000000004">
      <c r="A16" s="820" t="s">
        <v>780</v>
      </c>
      <c r="B16" s="945">
        <f>'[4]7.létszám ei zárás 2024 év'!G17</f>
        <v>28</v>
      </c>
      <c r="C16" s="945">
        <f>'[5]2025 évi nyitó létszám'!G16</f>
        <v>28</v>
      </c>
      <c r="D16" s="946">
        <f>'[5]létszám ei mód RM I.'!O17</f>
        <v>28</v>
      </c>
      <c r="E16" s="947">
        <f>'[5]létszám ei mód RM II.'!P17</f>
        <v>28</v>
      </c>
      <c r="F16" s="948"/>
      <c r="G16" s="949">
        <f t="shared" si="0"/>
        <v>28</v>
      </c>
      <c r="H16" s="958"/>
      <c r="I16" s="959"/>
      <c r="J16" s="951"/>
      <c r="K16" s="951">
        <v>27</v>
      </c>
      <c r="L16" s="952">
        <v>1</v>
      </c>
      <c r="M16" s="943"/>
      <c r="N16" s="952"/>
      <c r="O16" s="944"/>
      <c r="P16" s="944"/>
    </row>
    <row r="17" spans="1:16" s="819" customFormat="1" ht="45.75" customHeight="1" x14ac:dyDescent="0.55000000000000004">
      <c r="A17" s="820" t="s">
        <v>731</v>
      </c>
      <c r="B17" s="945">
        <f>'[4]7.létszám ei zárás 2024 év'!G18</f>
        <v>31</v>
      </c>
      <c r="C17" s="945">
        <f>'[5]2025 évi nyitó létszám'!G17</f>
        <v>31</v>
      </c>
      <c r="D17" s="946">
        <f>'[5]létszám ei mód RM I.'!O18</f>
        <v>31</v>
      </c>
      <c r="E17" s="947">
        <f>'[5]létszám ei mód RM II.'!P18</f>
        <v>31</v>
      </c>
      <c r="F17" s="954"/>
      <c r="G17" s="955">
        <f t="shared" si="0"/>
        <v>31</v>
      </c>
      <c r="H17" s="952"/>
      <c r="I17" s="953"/>
      <c r="J17" s="953"/>
      <c r="K17" s="953">
        <v>30</v>
      </c>
      <c r="L17" s="952">
        <v>1</v>
      </c>
      <c r="M17" s="953"/>
      <c r="N17" s="952"/>
      <c r="O17" s="944"/>
      <c r="P17" s="944"/>
    </row>
    <row r="18" spans="1:16" s="819" customFormat="1" ht="45.75" customHeight="1" x14ac:dyDescent="0.55000000000000004">
      <c r="A18" s="820" t="s">
        <v>732</v>
      </c>
      <c r="B18" s="945">
        <f>'[4]7.létszám ei zárás 2024 év'!G19</f>
        <v>16</v>
      </c>
      <c r="C18" s="945">
        <f>'[5]2025 évi nyitó létszám'!G18</f>
        <v>16</v>
      </c>
      <c r="D18" s="946">
        <f>'[5]létszám ei mód RM I.'!O19</f>
        <v>16</v>
      </c>
      <c r="E18" s="947">
        <f>'[5]létszám ei mód RM II.'!P19</f>
        <v>16</v>
      </c>
      <c r="F18" s="948"/>
      <c r="G18" s="949">
        <f t="shared" si="0"/>
        <v>16</v>
      </c>
      <c r="H18" s="950"/>
      <c r="I18" s="951"/>
      <c r="J18" s="951"/>
      <c r="K18" s="951">
        <v>15</v>
      </c>
      <c r="L18" s="952">
        <v>1</v>
      </c>
      <c r="M18" s="943"/>
      <c r="N18" s="952"/>
      <c r="O18" s="944"/>
      <c r="P18" s="944"/>
    </row>
    <row r="19" spans="1:16" s="819" customFormat="1" ht="45.75" customHeight="1" x14ac:dyDescent="0.55000000000000004">
      <c r="A19" s="820" t="s">
        <v>733</v>
      </c>
      <c r="B19" s="945">
        <f>'[4]7.létszám ei zárás 2024 év'!G20</f>
        <v>15</v>
      </c>
      <c r="C19" s="945">
        <f>'[5]2025 évi nyitó létszám'!G19</f>
        <v>15</v>
      </c>
      <c r="D19" s="946">
        <f>'[5]létszám ei mód RM I.'!O20</f>
        <v>15</v>
      </c>
      <c r="E19" s="947">
        <f>'[5]létszám ei mód RM II.'!P20</f>
        <v>15</v>
      </c>
      <c r="F19" s="960"/>
      <c r="G19" s="955">
        <f t="shared" si="0"/>
        <v>15</v>
      </c>
      <c r="H19" s="952"/>
      <c r="I19" s="953"/>
      <c r="J19" s="953"/>
      <c r="K19" s="951">
        <v>13</v>
      </c>
      <c r="L19" s="952">
        <v>2</v>
      </c>
      <c r="M19" s="953"/>
      <c r="N19" s="961"/>
      <c r="O19" s="944"/>
      <c r="P19" s="944"/>
    </row>
    <row r="20" spans="1:16" s="819" customFormat="1" ht="45.75" customHeight="1" x14ac:dyDescent="0.55000000000000004">
      <c r="A20" s="820" t="s">
        <v>734</v>
      </c>
      <c r="B20" s="945">
        <f>'[4]7.létszám ei zárás 2024 év'!G21</f>
        <v>20</v>
      </c>
      <c r="C20" s="945">
        <f>'[5]2025 évi nyitó létszám'!G20</f>
        <v>20</v>
      </c>
      <c r="D20" s="946">
        <f>'[5]létszám ei mód RM I.'!O21</f>
        <v>20</v>
      </c>
      <c r="E20" s="947">
        <f>'[5]létszám ei mód RM II.'!P21</f>
        <v>20</v>
      </c>
      <c r="F20" s="948"/>
      <c r="G20" s="949">
        <f t="shared" si="0"/>
        <v>20</v>
      </c>
      <c r="H20" s="950"/>
      <c r="I20" s="951"/>
      <c r="J20" s="951"/>
      <c r="K20" s="951">
        <v>19</v>
      </c>
      <c r="L20" s="952">
        <v>1</v>
      </c>
      <c r="M20" s="943"/>
      <c r="N20" s="952"/>
      <c r="O20" s="944"/>
      <c r="P20" s="944"/>
    </row>
    <row r="21" spans="1:16" s="819" customFormat="1" ht="45.75" customHeight="1" x14ac:dyDescent="0.55000000000000004">
      <c r="A21" s="820" t="s">
        <v>735</v>
      </c>
      <c r="B21" s="945">
        <f>'[4]7.létszám ei zárás 2024 év'!G22</f>
        <v>21</v>
      </c>
      <c r="C21" s="945">
        <f>'[5]2025 évi nyitó létszám'!G21</f>
        <v>21</v>
      </c>
      <c r="D21" s="946">
        <f>'[5]létszám ei mód RM I.'!O22</f>
        <v>21</v>
      </c>
      <c r="E21" s="947">
        <f>'[5]létszám ei mód RM II.'!P22</f>
        <v>21</v>
      </c>
      <c r="F21" s="954"/>
      <c r="G21" s="955">
        <f t="shared" si="0"/>
        <v>21</v>
      </c>
      <c r="H21" s="952"/>
      <c r="I21" s="953"/>
      <c r="J21" s="953"/>
      <c r="K21" s="953">
        <v>20</v>
      </c>
      <c r="L21" s="952">
        <v>1</v>
      </c>
      <c r="M21" s="952"/>
      <c r="N21" s="952"/>
      <c r="O21" s="944"/>
      <c r="P21" s="944"/>
    </row>
    <row r="22" spans="1:16" s="819" customFormat="1" ht="45.75" customHeight="1" x14ac:dyDescent="0.55000000000000004">
      <c r="A22" s="820" t="s">
        <v>736</v>
      </c>
      <c r="B22" s="945">
        <f>'[4]7.létszám ei zárás 2024 év'!G23</f>
        <v>31</v>
      </c>
      <c r="C22" s="945">
        <f>'[5]2025 évi nyitó létszám'!G22</f>
        <v>32</v>
      </c>
      <c r="D22" s="946">
        <f>'[5]létszám ei mód RM I.'!O23</f>
        <v>32</v>
      </c>
      <c r="E22" s="947">
        <f>'[5]létszám ei mód RM II.'!P23</f>
        <v>32</v>
      </c>
      <c r="F22" s="948"/>
      <c r="G22" s="949">
        <f t="shared" si="0"/>
        <v>32</v>
      </c>
      <c r="H22" s="950"/>
      <c r="I22" s="951"/>
      <c r="J22" s="951"/>
      <c r="K22" s="951">
        <v>31</v>
      </c>
      <c r="L22" s="952">
        <v>1</v>
      </c>
      <c r="M22" s="953"/>
      <c r="N22" s="952"/>
      <c r="O22" s="944"/>
      <c r="P22" s="944"/>
    </row>
    <row r="23" spans="1:16" s="819" customFormat="1" ht="45.75" customHeight="1" x14ac:dyDescent="0.55000000000000004">
      <c r="A23" s="820" t="s">
        <v>737</v>
      </c>
      <c r="B23" s="945">
        <f>'[4]7.létszám ei zárás 2024 év'!G24</f>
        <v>24</v>
      </c>
      <c r="C23" s="945">
        <f>'[5]2025 évi nyitó létszám'!G23</f>
        <v>24</v>
      </c>
      <c r="D23" s="946">
        <f>'[5]létszám ei mód RM I.'!O24</f>
        <v>24</v>
      </c>
      <c r="E23" s="947">
        <f>'[5]létszám ei mód RM II.'!P24</f>
        <v>24</v>
      </c>
      <c r="F23" s="954"/>
      <c r="G23" s="955">
        <f t="shared" si="0"/>
        <v>24</v>
      </c>
      <c r="H23" s="952"/>
      <c r="I23" s="953"/>
      <c r="J23" s="953"/>
      <c r="K23" s="953">
        <v>23</v>
      </c>
      <c r="L23" s="952">
        <v>1</v>
      </c>
      <c r="M23" s="943"/>
      <c r="N23" s="952"/>
      <c r="O23" s="944"/>
      <c r="P23" s="944"/>
    </row>
    <row r="24" spans="1:16" s="819" customFormat="1" ht="45.75" customHeight="1" x14ac:dyDescent="0.55000000000000004">
      <c r="A24" s="818" t="s">
        <v>738</v>
      </c>
      <c r="B24" s="962">
        <f>'[4]7.létszám ei zárás 2024 év'!G25</f>
        <v>18</v>
      </c>
      <c r="C24" s="962">
        <f>'[5]2025 évi nyitó létszám'!G24</f>
        <v>18</v>
      </c>
      <c r="D24" s="946">
        <f>'[5]létszám ei mód RM I.'!O25</f>
        <v>18</v>
      </c>
      <c r="E24" s="946">
        <f>'[5]létszám ei mód RM II.'!P25</f>
        <v>18</v>
      </c>
      <c r="F24" s="963"/>
      <c r="G24" s="964">
        <f t="shared" si="0"/>
        <v>18</v>
      </c>
      <c r="H24" s="965"/>
      <c r="I24" s="966"/>
      <c r="J24" s="966"/>
      <c r="K24" s="966">
        <v>17</v>
      </c>
      <c r="L24" s="952">
        <v>1</v>
      </c>
      <c r="M24" s="953"/>
      <c r="N24" s="952"/>
      <c r="O24" s="944"/>
      <c r="P24" s="944"/>
    </row>
    <row r="25" spans="1:16" s="819" customFormat="1" ht="45.75" customHeight="1" thickBot="1" x14ac:dyDescent="0.6">
      <c r="A25" s="821" t="s">
        <v>739</v>
      </c>
      <c r="B25" s="937">
        <f>'[4]7.létszám ei zárás 2024 év'!G26</f>
        <v>13</v>
      </c>
      <c r="C25" s="937">
        <f>'[5]2025 évi nyitó létszám'!G25</f>
        <v>13</v>
      </c>
      <c r="D25" s="938">
        <f>'[5]létszám ei mód RM I.'!O26</f>
        <v>13</v>
      </c>
      <c r="E25" s="939">
        <f>'[5]létszám ei mód RM II.'!P26</f>
        <v>13</v>
      </c>
      <c r="F25" s="967"/>
      <c r="G25" s="941">
        <f t="shared" si="0"/>
        <v>13</v>
      </c>
      <c r="H25" s="968"/>
      <c r="I25" s="943"/>
      <c r="J25" s="943"/>
      <c r="K25" s="966">
        <v>12</v>
      </c>
      <c r="L25" s="952">
        <v>1</v>
      </c>
      <c r="M25" s="943"/>
      <c r="N25" s="969"/>
      <c r="O25" s="944"/>
      <c r="P25" s="944"/>
    </row>
    <row r="26" spans="1:16" s="819" customFormat="1" ht="45.75" customHeight="1" thickBot="1" x14ac:dyDescent="0.6">
      <c r="A26" s="822" t="s">
        <v>781</v>
      </c>
      <c r="B26" s="970">
        <f t="shared" ref="B26:N26" si="1">SUM(B8:B25)</f>
        <v>418</v>
      </c>
      <c r="C26" s="970">
        <f t="shared" si="1"/>
        <v>418</v>
      </c>
      <c r="D26" s="970">
        <f t="shared" si="1"/>
        <v>418</v>
      </c>
      <c r="E26" s="970">
        <f t="shared" si="1"/>
        <v>419</v>
      </c>
      <c r="F26" s="971">
        <f t="shared" si="1"/>
        <v>0</v>
      </c>
      <c r="G26" s="972">
        <f t="shared" ref="G26" si="2">SUM(G8:G25)</f>
        <v>419</v>
      </c>
      <c r="H26" s="972">
        <f t="shared" si="1"/>
        <v>0</v>
      </c>
      <c r="I26" s="972">
        <f t="shared" si="1"/>
        <v>0</v>
      </c>
      <c r="J26" s="972">
        <f t="shared" si="1"/>
        <v>0</v>
      </c>
      <c r="K26" s="972">
        <f t="shared" si="1"/>
        <v>400</v>
      </c>
      <c r="L26" s="972">
        <f t="shared" si="1"/>
        <v>19</v>
      </c>
      <c r="M26" s="972">
        <f t="shared" si="1"/>
        <v>0</v>
      </c>
      <c r="N26" s="972">
        <f t="shared" si="1"/>
        <v>0</v>
      </c>
      <c r="O26" s="944"/>
      <c r="P26" s="944"/>
    </row>
    <row r="27" spans="1:16" s="819" customFormat="1" ht="44.25" customHeight="1" thickBot="1" x14ac:dyDescent="0.6">
      <c r="A27" s="823" t="s">
        <v>741</v>
      </c>
      <c r="B27" s="938">
        <f>'[4]7.létszám ei zárás 2024 év'!G28</f>
        <v>44</v>
      </c>
      <c r="C27" s="938">
        <f>'[5]2025 évi nyitó létszám'!G27</f>
        <v>44</v>
      </c>
      <c r="D27" s="938">
        <f>'[5]létszám ei mód RM I.'!O28</f>
        <v>44</v>
      </c>
      <c r="E27" s="939">
        <f>'[5]létszám ei mód RM II.'!P28</f>
        <v>44</v>
      </c>
      <c r="F27" s="973"/>
      <c r="G27" s="949">
        <f>E27+F27</f>
        <v>44</v>
      </c>
      <c r="H27" s="943"/>
      <c r="I27" s="943"/>
      <c r="J27" s="943">
        <v>44</v>
      </c>
      <c r="K27" s="943"/>
      <c r="L27" s="966"/>
      <c r="M27" s="974"/>
      <c r="N27" s="966"/>
      <c r="O27" s="944"/>
      <c r="P27" s="944"/>
    </row>
    <row r="28" spans="1:16" s="819" customFormat="1" ht="42.75" customHeight="1" thickBot="1" x14ac:dyDescent="0.6">
      <c r="A28" s="822" t="s">
        <v>782</v>
      </c>
      <c r="B28" s="975">
        <f t="shared" ref="B28:C28" si="3">SUM(B26:B27)</f>
        <v>462</v>
      </c>
      <c r="C28" s="975">
        <f t="shared" si="3"/>
        <v>462</v>
      </c>
      <c r="D28" s="975">
        <f>SUM(D26:D27)</f>
        <v>462</v>
      </c>
      <c r="E28" s="975">
        <f>SUM(E26:E27)</f>
        <v>463</v>
      </c>
      <c r="F28" s="976">
        <f>F27+F26</f>
        <v>0</v>
      </c>
      <c r="G28" s="972">
        <f t="shared" ref="G28" si="4">G27+G26</f>
        <v>463</v>
      </c>
      <c r="H28" s="977">
        <f>H27+H26</f>
        <v>0</v>
      </c>
      <c r="I28" s="977">
        <f>I27+I26</f>
        <v>0</v>
      </c>
      <c r="J28" s="977">
        <f>SUM(J26:J27)</f>
        <v>44</v>
      </c>
      <c r="K28" s="977">
        <f>SUM(K26:K27)</f>
        <v>400</v>
      </c>
      <c r="L28" s="977">
        <f t="shared" ref="L28:N28" si="5">L27+L26</f>
        <v>19</v>
      </c>
      <c r="M28" s="977">
        <f t="shared" si="5"/>
        <v>0</v>
      </c>
      <c r="N28" s="977">
        <f t="shared" si="5"/>
        <v>0</v>
      </c>
      <c r="O28" s="944"/>
      <c r="P28" s="944"/>
    </row>
    <row r="29" spans="1:16" s="819" customFormat="1" ht="42.75" customHeight="1" x14ac:dyDescent="0.55000000000000004">
      <c r="A29" s="824" t="s">
        <v>783</v>
      </c>
      <c r="B29" s="978"/>
      <c r="C29" s="978"/>
      <c r="D29" s="979"/>
      <c r="E29" s="980"/>
      <c r="F29" s="981"/>
      <c r="G29" s="941"/>
      <c r="H29" s="982"/>
      <c r="I29" s="982"/>
      <c r="J29" s="982"/>
      <c r="K29" s="982"/>
      <c r="L29" s="982"/>
      <c r="M29" s="982"/>
      <c r="N29" s="982"/>
      <c r="O29" s="944"/>
      <c r="P29" s="944"/>
    </row>
    <row r="30" spans="1:16" s="819" customFormat="1" ht="45.75" customHeight="1" x14ac:dyDescent="0.55000000000000004">
      <c r="A30" s="816" t="s">
        <v>784</v>
      </c>
      <c r="B30" s="983"/>
      <c r="C30" s="983"/>
      <c r="D30" s="984"/>
      <c r="E30" s="980"/>
      <c r="F30" s="981"/>
      <c r="G30" s="941"/>
      <c r="H30" s="982"/>
      <c r="I30" s="982"/>
      <c r="J30" s="982"/>
      <c r="K30" s="982"/>
      <c r="L30" s="964"/>
      <c r="M30" s="985"/>
      <c r="N30" s="982"/>
      <c r="O30" s="944"/>
      <c r="P30" s="944"/>
    </row>
    <row r="31" spans="1:16" s="819" customFormat="1" ht="44.25" customHeight="1" x14ac:dyDescent="0.55000000000000004">
      <c r="A31" s="820" t="s">
        <v>98</v>
      </c>
      <c r="B31" s="945">
        <f>'[4]7.létszám ei zárás 2024 év'!G32</f>
        <v>20</v>
      </c>
      <c r="C31" s="945">
        <f>'[5]2025 évi nyitó létszám'!G31</f>
        <v>20</v>
      </c>
      <c r="D31" s="946">
        <f>'[5]létszám ei mód RM I.'!O32</f>
        <v>20</v>
      </c>
      <c r="E31" s="947">
        <f>'[5]létszám ei mód RM II.'!P32</f>
        <v>20</v>
      </c>
      <c r="F31" s="986"/>
      <c r="G31" s="955">
        <f t="shared" ref="G31:G34" si="6">E31+F31</f>
        <v>20</v>
      </c>
      <c r="H31" s="953"/>
      <c r="I31" s="953"/>
      <c r="J31" s="953"/>
      <c r="K31" s="953"/>
      <c r="L31" s="943">
        <v>20</v>
      </c>
      <c r="M31" s="943"/>
      <c r="N31" s="953"/>
      <c r="O31" s="944"/>
      <c r="P31" s="944"/>
    </row>
    <row r="32" spans="1:16" s="819" customFormat="1" ht="44.25" customHeight="1" x14ac:dyDescent="0.55000000000000004">
      <c r="A32" s="820" t="s">
        <v>745</v>
      </c>
      <c r="B32" s="945">
        <f>'[4]7.létszám ei zárás 2024 év'!G33</f>
        <v>84</v>
      </c>
      <c r="C32" s="945">
        <f>'[5]2025 évi nyitó létszám'!G32</f>
        <v>84</v>
      </c>
      <c r="D32" s="946">
        <f>'[5]létszám ei mód RM I.'!O33</f>
        <v>84</v>
      </c>
      <c r="E32" s="947">
        <f>'[5]létszám ei mód RM II.'!P33</f>
        <v>84</v>
      </c>
      <c r="F32" s="986"/>
      <c r="G32" s="955">
        <f t="shared" si="6"/>
        <v>84</v>
      </c>
      <c r="H32" s="953"/>
      <c r="I32" s="953"/>
      <c r="J32" s="953"/>
      <c r="K32" s="953"/>
      <c r="L32" s="952">
        <v>84</v>
      </c>
      <c r="M32" s="953"/>
      <c r="N32" s="952"/>
      <c r="O32" s="944"/>
      <c r="P32" s="944"/>
    </row>
    <row r="33" spans="1:16" s="819" customFormat="1" ht="44.25" customHeight="1" x14ac:dyDescent="0.55000000000000004">
      <c r="A33" s="820" t="s">
        <v>746</v>
      </c>
      <c r="B33" s="945">
        <f>'[4]7.létszám ei zárás 2024 év'!G34</f>
        <v>46</v>
      </c>
      <c r="C33" s="945">
        <f>'[5]2025 évi nyitó létszám'!G33</f>
        <v>46</v>
      </c>
      <c r="D33" s="946">
        <f>'[5]létszám ei mód RM I.'!O34</f>
        <v>46</v>
      </c>
      <c r="E33" s="987">
        <f>'[5]létszám ei mód RM II.'!P34</f>
        <v>46</v>
      </c>
      <c r="F33" s="986"/>
      <c r="G33" s="955">
        <f t="shared" si="6"/>
        <v>46</v>
      </c>
      <c r="H33" s="953"/>
      <c r="I33" s="953"/>
      <c r="J33" s="953"/>
      <c r="K33" s="953"/>
      <c r="L33" s="952">
        <v>46</v>
      </c>
      <c r="M33" s="953"/>
      <c r="N33" s="953"/>
      <c r="O33" s="944"/>
      <c r="P33" s="944"/>
    </row>
    <row r="34" spans="1:16" s="819" customFormat="1" ht="44.25" customHeight="1" thickBot="1" x14ac:dyDescent="0.6">
      <c r="A34" s="825" t="s">
        <v>450</v>
      </c>
      <c r="B34" s="988">
        <f>'[4]7.létszám ei zárás 2024 év'!G35</f>
        <v>101</v>
      </c>
      <c r="C34" s="988">
        <f>'[5]2025 évi nyitó létszám'!G34</f>
        <v>101</v>
      </c>
      <c r="D34" s="989">
        <f>'[5]létszám ei mód RM I.'!O35</f>
        <v>101</v>
      </c>
      <c r="E34" s="939">
        <f>'[5]létszám ei mód RM II.'!P35</f>
        <v>101</v>
      </c>
      <c r="F34" s="973"/>
      <c r="G34" s="941">
        <f t="shared" si="6"/>
        <v>101</v>
      </c>
      <c r="H34" s="943"/>
      <c r="I34" s="943"/>
      <c r="J34" s="943"/>
      <c r="K34" s="943"/>
      <c r="L34" s="943">
        <v>101</v>
      </c>
      <c r="M34" s="943"/>
      <c r="N34" s="943"/>
      <c r="O34" s="944"/>
      <c r="P34" s="944"/>
    </row>
    <row r="35" spans="1:16" s="819" customFormat="1" ht="44.25" customHeight="1" thickBot="1" x14ac:dyDescent="0.6">
      <c r="A35" s="822" t="s">
        <v>785</v>
      </c>
      <c r="B35" s="975">
        <f t="shared" ref="B35:N35" si="7">SUM(B31:B34)</f>
        <v>251</v>
      </c>
      <c r="C35" s="975">
        <f t="shared" si="7"/>
        <v>251</v>
      </c>
      <c r="D35" s="975">
        <f t="shared" si="7"/>
        <v>251</v>
      </c>
      <c r="E35" s="975">
        <f t="shared" si="7"/>
        <v>251</v>
      </c>
      <c r="F35" s="976">
        <f t="shared" si="7"/>
        <v>0</v>
      </c>
      <c r="G35" s="972">
        <f t="shared" ref="G35" si="8">SUM(G31:G34)</f>
        <v>251</v>
      </c>
      <c r="H35" s="977">
        <f t="shared" si="7"/>
        <v>0</v>
      </c>
      <c r="I35" s="977">
        <f t="shared" si="7"/>
        <v>0</v>
      </c>
      <c r="J35" s="977">
        <f t="shared" si="7"/>
        <v>0</v>
      </c>
      <c r="K35" s="977">
        <f t="shared" si="7"/>
        <v>0</v>
      </c>
      <c r="L35" s="977">
        <f t="shared" si="7"/>
        <v>251</v>
      </c>
      <c r="M35" s="977">
        <f t="shared" si="7"/>
        <v>0</v>
      </c>
      <c r="N35" s="972">
        <f t="shared" si="7"/>
        <v>0</v>
      </c>
      <c r="O35" s="944"/>
      <c r="P35" s="944"/>
    </row>
    <row r="36" spans="1:16" s="819" customFormat="1" ht="45.75" customHeight="1" x14ac:dyDescent="0.55000000000000004">
      <c r="A36" s="824" t="s">
        <v>748</v>
      </c>
      <c r="B36" s="990"/>
      <c r="C36" s="990"/>
      <c r="D36" s="991"/>
      <c r="E36" s="991"/>
      <c r="F36" s="992"/>
      <c r="G36" s="993"/>
      <c r="H36" s="994"/>
      <c r="I36" s="994"/>
      <c r="J36" s="994"/>
      <c r="K36" s="994"/>
      <c r="L36" s="994"/>
      <c r="M36" s="994"/>
      <c r="N36" s="994"/>
      <c r="O36" s="944"/>
      <c r="P36" s="944"/>
    </row>
    <row r="37" spans="1:16" s="819" customFormat="1" ht="69" thickBot="1" x14ac:dyDescent="0.6">
      <c r="A37" s="826" t="s">
        <v>465</v>
      </c>
      <c r="B37" s="995">
        <f>'[4]7.létszám ei zárás 2024 év'!G38</f>
        <v>183</v>
      </c>
      <c r="C37" s="995">
        <f>'[5]2025 évi nyitó létszám'!G37</f>
        <v>183</v>
      </c>
      <c r="D37" s="938">
        <f>'[5]létszám ei mód RM I.'!O38</f>
        <v>183</v>
      </c>
      <c r="E37" s="939">
        <f>'[5]létszám ei mód RM II.'!P38</f>
        <v>183</v>
      </c>
      <c r="F37" s="996"/>
      <c r="G37" s="964">
        <f>E37+F37</f>
        <v>183</v>
      </c>
      <c r="H37" s="966"/>
      <c r="I37" s="966"/>
      <c r="J37" s="966">
        <v>183</v>
      </c>
      <c r="K37" s="966"/>
      <c r="L37" s="943"/>
      <c r="M37" s="943"/>
      <c r="N37" s="997"/>
      <c r="O37" s="944"/>
      <c r="P37" s="944"/>
    </row>
    <row r="38" spans="1:16" s="819" customFormat="1" ht="44.25" customHeight="1" x14ac:dyDescent="0.55000000000000004">
      <c r="A38" s="824" t="s">
        <v>749</v>
      </c>
      <c r="B38" s="990"/>
      <c r="C38" s="990"/>
      <c r="D38" s="991"/>
      <c r="E38" s="991"/>
      <c r="F38" s="992"/>
      <c r="G38" s="993"/>
      <c r="H38" s="994"/>
      <c r="I38" s="994"/>
      <c r="J38" s="994"/>
      <c r="K38" s="994"/>
      <c r="L38" s="994"/>
      <c r="M38" s="994"/>
      <c r="N38" s="994"/>
      <c r="O38" s="944"/>
      <c r="P38" s="944"/>
    </row>
    <row r="39" spans="1:16" s="819" customFormat="1" ht="45.75" customHeight="1" thickBot="1" x14ac:dyDescent="0.6">
      <c r="A39" s="827" t="s">
        <v>750</v>
      </c>
      <c r="B39" s="937">
        <f>'[4]7.létszám ei zárás 2024 év'!G40</f>
        <v>75</v>
      </c>
      <c r="C39" s="937">
        <f>'[5]2025 évi nyitó létszám'!G39</f>
        <v>72</v>
      </c>
      <c r="D39" s="998">
        <f>'[5]létszám ei mód RM I.'!O40</f>
        <v>72</v>
      </c>
      <c r="E39" s="999">
        <f>'[5]létszám ei mód RM II.'!P40</f>
        <v>72</v>
      </c>
      <c r="F39" s="1000"/>
      <c r="G39" s="1001">
        <f>E39+F39</f>
        <v>72</v>
      </c>
      <c r="H39" s="997"/>
      <c r="I39" s="997">
        <v>58</v>
      </c>
      <c r="J39" s="997">
        <v>14</v>
      </c>
      <c r="K39" s="997"/>
      <c r="L39" s="968"/>
      <c r="M39" s="997"/>
      <c r="N39" s="997"/>
      <c r="O39" s="944"/>
      <c r="P39" s="944"/>
    </row>
    <row r="40" spans="1:16" s="819" customFormat="1" ht="45" customHeight="1" x14ac:dyDescent="0.55000000000000004">
      <c r="A40" s="824" t="s">
        <v>751</v>
      </c>
      <c r="B40" s="990"/>
      <c r="C40" s="990"/>
      <c r="D40" s="991"/>
      <c r="E40" s="991"/>
      <c r="F40" s="992"/>
      <c r="G40" s="993"/>
      <c r="H40" s="994"/>
      <c r="I40" s="994"/>
      <c r="J40" s="994"/>
      <c r="K40" s="994"/>
      <c r="L40" s="994"/>
      <c r="M40" s="994"/>
      <c r="N40" s="994"/>
      <c r="O40" s="944"/>
      <c r="P40" s="944"/>
    </row>
    <row r="41" spans="1:16" s="819" customFormat="1" ht="44.25" customHeight="1" thickBot="1" x14ac:dyDescent="0.6">
      <c r="A41" s="827" t="s">
        <v>466</v>
      </c>
      <c r="B41" s="937">
        <f>'[4]7.létszám ei zárás 2024 év'!G42</f>
        <v>201</v>
      </c>
      <c r="C41" s="937">
        <f>'[5]2025 évi nyitó létszám'!G41</f>
        <v>202</v>
      </c>
      <c r="D41" s="998">
        <f>'[5]létszám ei mód RM I.'!O42</f>
        <v>202</v>
      </c>
      <c r="E41" s="999">
        <f>'[5]létszám ei mód RM II.'!P42</f>
        <v>202</v>
      </c>
      <c r="F41" s="1000"/>
      <c r="G41" s="1001">
        <f>E41+F41</f>
        <v>202</v>
      </c>
      <c r="H41" s="997"/>
      <c r="I41" s="997"/>
      <c r="J41" s="997">
        <v>135</v>
      </c>
      <c r="K41" s="997">
        <v>67</v>
      </c>
      <c r="L41" s="968"/>
      <c r="M41" s="997"/>
      <c r="N41" s="997"/>
      <c r="O41" s="944"/>
      <c r="P41" s="944"/>
    </row>
    <row r="42" spans="1:16" s="819" customFormat="1" ht="45.75" customHeight="1" x14ac:dyDescent="0.55000000000000004">
      <c r="A42" s="824" t="s">
        <v>752</v>
      </c>
      <c r="B42" s="990"/>
      <c r="C42" s="990"/>
      <c r="D42" s="991"/>
      <c r="E42" s="991"/>
      <c r="F42" s="992"/>
      <c r="G42" s="993"/>
      <c r="H42" s="994"/>
      <c r="I42" s="994"/>
      <c r="J42" s="994"/>
      <c r="K42" s="994"/>
      <c r="L42" s="994"/>
      <c r="M42" s="994"/>
      <c r="N42" s="994"/>
      <c r="O42" s="944"/>
      <c r="P42" s="944"/>
    </row>
    <row r="43" spans="1:16" s="819" customFormat="1" ht="44.25" customHeight="1" x14ac:dyDescent="0.55000000000000004">
      <c r="A43" s="827" t="s">
        <v>763</v>
      </c>
      <c r="B43" s="1002">
        <f>'[4]7.létszám ei zárás 2024 év'!G44</f>
        <v>14</v>
      </c>
      <c r="C43" s="1002">
        <f>'[5]2025 évi nyitó létszám'!G43</f>
        <v>14</v>
      </c>
      <c r="D43" s="939">
        <f>'[5]létszám ei mód RM I.'!O44</f>
        <v>14</v>
      </c>
      <c r="E43" s="939">
        <f>'[5]létszám ei mód RM II.'!P44</f>
        <v>14</v>
      </c>
      <c r="F43" s="1003"/>
      <c r="G43" s="941">
        <f t="shared" ref="G43:G44" si="9">E43+F43</f>
        <v>14</v>
      </c>
      <c r="H43" s="1004"/>
      <c r="I43" s="1004"/>
      <c r="J43" s="943">
        <v>14</v>
      </c>
      <c r="K43" s="943"/>
      <c r="L43" s="943"/>
      <c r="M43" s="943"/>
      <c r="N43" s="982"/>
      <c r="O43" s="944"/>
      <c r="P43" s="944"/>
    </row>
    <row r="44" spans="1:16" s="819" customFormat="1" ht="44.25" customHeight="1" thickBot="1" x14ac:dyDescent="0.6">
      <c r="A44" s="828" t="s">
        <v>4</v>
      </c>
      <c r="B44" s="988">
        <f>'[4]7.létszám ei zárás 2024 év'!G45</f>
        <v>285</v>
      </c>
      <c r="C44" s="988">
        <f>'[5]2025 évi nyitó létszám'!G44</f>
        <v>302</v>
      </c>
      <c r="D44" s="989">
        <f>'[5]létszám ei mód RM I.'!O45</f>
        <v>302</v>
      </c>
      <c r="E44" s="1005">
        <f>'[5]létszám ei mód RM II.'!P45</f>
        <v>302</v>
      </c>
      <c r="F44" s="1006"/>
      <c r="G44" s="1007">
        <f t="shared" si="9"/>
        <v>302</v>
      </c>
      <c r="H44" s="1008">
        <v>256</v>
      </c>
      <c r="I44" s="1008"/>
      <c r="J44" s="1008"/>
      <c r="K44" s="1008"/>
      <c r="L44" s="1008">
        <v>46</v>
      </c>
      <c r="M44" s="1008"/>
      <c r="N44" s="1009"/>
      <c r="O44" s="944"/>
      <c r="P44" s="944"/>
    </row>
    <row r="45" spans="1:16" s="819" customFormat="1" ht="44.25" customHeight="1" thickBot="1" x14ac:dyDescent="0.6">
      <c r="A45" s="822" t="s">
        <v>786</v>
      </c>
      <c r="B45" s="1010">
        <f t="shared" ref="B45:C45" si="10">SUM(B43:B44)</f>
        <v>299</v>
      </c>
      <c r="C45" s="1010">
        <f t="shared" si="10"/>
        <v>316</v>
      </c>
      <c r="D45" s="1010">
        <f t="shared" ref="D45:N45" si="11">SUM(D43:D44)</f>
        <v>316</v>
      </c>
      <c r="E45" s="1010">
        <f t="shared" si="11"/>
        <v>316</v>
      </c>
      <c r="F45" s="1011">
        <f t="shared" si="11"/>
        <v>0</v>
      </c>
      <c r="G45" s="1001">
        <f t="shared" si="11"/>
        <v>316</v>
      </c>
      <c r="H45" s="1012">
        <f t="shared" si="11"/>
        <v>256</v>
      </c>
      <c r="I45" s="1012">
        <f>SUM(I43:I44)</f>
        <v>0</v>
      </c>
      <c r="J45" s="1012">
        <f t="shared" si="11"/>
        <v>14</v>
      </c>
      <c r="K45" s="1012">
        <f t="shared" si="11"/>
        <v>0</v>
      </c>
      <c r="L45" s="972">
        <f t="shared" si="11"/>
        <v>46</v>
      </c>
      <c r="M45" s="1012">
        <f t="shared" si="11"/>
        <v>0</v>
      </c>
      <c r="N45" s="1012">
        <f t="shared" si="11"/>
        <v>0</v>
      </c>
      <c r="O45" s="944"/>
      <c r="P45" s="944"/>
    </row>
    <row r="46" spans="1:16" s="819" customFormat="1" ht="44.25" customHeight="1" thickBot="1" x14ac:dyDescent="0.6">
      <c r="A46" s="829" t="s">
        <v>754</v>
      </c>
      <c r="B46" s="1010">
        <f t="shared" ref="B46:N46" si="12">B35+B37+B39+B41+B45</f>
        <v>1009</v>
      </c>
      <c r="C46" s="1010">
        <f t="shared" si="12"/>
        <v>1024</v>
      </c>
      <c r="D46" s="1010">
        <f t="shared" si="12"/>
        <v>1024</v>
      </c>
      <c r="E46" s="1010">
        <f t="shared" si="12"/>
        <v>1024</v>
      </c>
      <c r="F46" s="1011">
        <f t="shared" si="12"/>
        <v>0</v>
      </c>
      <c r="G46" s="1001">
        <f t="shared" si="12"/>
        <v>1024</v>
      </c>
      <c r="H46" s="1012">
        <f t="shared" si="12"/>
        <v>256</v>
      </c>
      <c r="I46" s="1012">
        <f>I35+I37+I39+I41+I45</f>
        <v>58</v>
      </c>
      <c r="J46" s="1012">
        <f t="shared" si="12"/>
        <v>346</v>
      </c>
      <c r="K46" s="1012">
        <f t="shared" si="12"/>
        <v>67</v>
      </c>
      <c r="L46" s="1012">
        <f t="shared" si="12"/>
        <v>297</v>
      </c>
      <c r="M46" s="1012">
        <f t="shared" si="12"/>
        <v>0</v>
      </c>
      <c r="N46" s="1012">
        <f t="shared" si="12"/>
        <v>0</v>
      </c>
      <c r="O46" s="944"/>
      <c r="P46" s="944"/>
    </row>
    <row r="47" spans="1:16" s="819" customFormat="1" ht="42.75" customHeight="1" thickBot="1" x14ac:dyDescent="0.6">
      <c r="A47" s="830" t="s">
        <v>755</v>
      </c>
      <c r="B47" s="1010">
        <f t="shared" ref="B47:N47" si="13">B28+B46</f>
        <v>1471</v>
      </c>
      <c r="C47" s="1010">
        <f t="shared" si="13"/>
        <v>1486</v>
      </c>
      <c r="D47" s="1010">
        <f t="shared" si="13"/>
        <v>1486</v>
      </c>
      <c r="E47" s="1010">
        <f t="shared" si="13"/>
        <v>1487</v>
      </c>
      <c r="F47" s="1011">
        <f t="shared" si="13"/>
        <v>0</v>
      </c>
      <c r="G47" s="1001">
        <f t="shared" si="13"/>
        <v>1487</v>
      </c>
      <c r="H47" s="1012">
        <f t="shared" si="13"/>
        <v>256</v>
      </c>
      <c r="I47" s="1012">
        <f>I28+I46</f>
        <v>58</v>
      </c>
      <c r="J47" s="1012">
        <f t="shared" si="13"/>
        <v>390</v>
      </c>
      <c r="K47" s="1012">
        <f t="shared" si="13"/>
        <v>467</v>
      </c>
      <c r="L47" s="1012">
        <f t="shared" si="13"/>
        <v>316</v>
      </c>
      <c r="M47" s="1012">
        <f t="shared" si="13"/>
        <v>0</v>
      </c>
      <c r="N47" s="1012">
        <f t="shared" si="13"/>
        <v>0</v>
      </c>
      <c r="O47" s="944"/>
      <c r="P47" s="944"/>
    </row>
    <row r="48" spans="1:16" s="819" customFormat="1" ht="44.25" customHeight="1" thickBot="1" x14ac:dyDescent="0.6">
      <c r="A48" s="829" t="s">
        <v>302</v>
      </c>
      <c r="B48" s="1010">
        <v>18</v>
      </c>
      <c r="C48" s="1010">
        <v>18</v>
      </c>
      <c r="D48" s="1010">
        <v>18</v>
      </c>
      <c r="E48" s="1010">
        <v>18</v>
      </c>
      <c r="F48" s="1011"/>
      <c r="G48" s="1001">
        <v>18</v>
      </c>
      <c r="H48" s="1012"/>
      <c r="I48" s="1012"/>
      <c r="J48" s="1012"/>
      <c r="K48" s="1012"/>
      <c r="L48" s="1012"/>
      <c r="M48" s="1012"/>
      <c r="N48" s="1012">
        <v>18</v>
      </c>
      <c r="O48" s="944"/>
      <c r="P48" s="944"/>
    </row>
    <row r="49" spans="1:16" s="819" customFormat="1" ht="42.75" customHeight="1" thickBot="1" x14ac:dyDescent="0.6">
      <c r="A49" s="830" t="s">
        <v>218</v>
      </c>
      <c r="B49" s="1010">
        <f>B47+B48</f>
        <v>1489</v>
      </c>
      <c r="C49" s="1010">
        <f t="shared" ref="C49:N49" si="14">C47+C48</f>
        <v>1504</v>
      </c>
      <c r="D49" s="1010">
        <f t="shared" si="14"/>
        <v>1504</v>
      </c>
      <c r="E49" s="1010">
        <f t="shared" si="14"/>
        <v>1505</v>
      </c>
      <c r="F49" s="1010">
        <f t="shared" si="14"/>
        <v>0</v>
      </c>
      <c r="G49" s="1012">
        <f t="shared" si="14"/>
        <v>1505</v>
      </c>
      <c r="H49" s="1012">
        <f t="shared" si="14"/>
        <v>256</v>
      </c>
      <c r="I49" s="1012">
        <f t="shared" si="14"/>
        <v>58</v>
      </c>
      <c r="J49" s="1012">
        <f t="shared" si="14"/>
        <v>390</v>
      </c>
      <c r="K49" s="1012">
        <f t="shared" si="14"/>
        <v>467</v>
      </c>
      <c r="L49" s="1012">
        <f t="shared" si="14"/>
        <v>316</v>
      </c>
      <c r="M49" s="1012">
        <f t="shared" si="14"/>
        <v>0</v>
      </c>
      <c r="N49" s="1012">
        <f t="shared" si="14"/>
        <v>18</v>
      </c>
      <c r="O49" s="944"/>
      <c r="P49" s="944"/>
    </row>
    <row r="50" spans="1:16" s="819" customFormat="1" x14ac:dyDescent="0.5">
      <c r="A50" s="833"/>
      <c r="B50" s="1013"/>
      <c r="C50" s="1013"/>
      <c r="D50" s="1014"/>
      <c r="E50" s="1014"/>
      <c r="F50" s="1014"/>
      <c r="G50" s="1014"/>
      <c r="H50" s="1014"/>
      <c r="I50" s="1014"/>
      <c r="J50" s="1014"/>
      <c r="K50" s="1015"/>
      <c r="L50" s="1015"/>
      <c r="M50" s="1015"/>
      <c r="N50" s="1015"/>
      <c r="O50" s="944"/>
      <c r="P50" s="944"/>
    </row>
    <row r="51" spans="1:16" s="819" customFormat="1" x14ac:dyDescent="0.5">
      <c r="A51" s="833"/>
      <c r="B51" s="1013"/>
      <c r="C51" s="1013"/>
      <c r="D51" s="1014"/>
      <c r="E51" s="1014"/>
      <c r="F51" s="1014"/>
      <c r="G51" s="1014"/>
      <c r="H51" s="1014"/>
      <c r="I51" s="1014"/>
      <c r="J51" s="1014"/>
      <c r="K51" s="1015"/>
      <c r="L51" s="1015"/>
      <c r="M51" s="1015"/>
      <c r="N51" s="1015"/>
      <c r="O51" s="944"/>
      <c r="P51" s="944"/>
    </row>
    <row r="52" spans="1:16" s="819" customFormat="1" x14ac:dyDescent="0.5">
      <c r="A52" s="834"/>
      <c r="B52" s="834"/>
      <c r="C52" s="834"/>
      <c r="D52" s="832"/>
      <c r="E52" s="832"/>
      <c r="F52" s="832"/>
      <c r="G52" s="832"/>
      <c r="H52" s="832"/>
      <c r="I52" s="832"/>
      <c r="J52" s="832"/>
    </row>
    <row r="53" spans="1:16" s="819" customFormat="1" x14ac:dyDescent="0.5">
      <c r="A53" s="796"/>
      <c r="B53" s="796"/>
      <c r="C53" s="796"/>
    </row>
    <row r="54" spans="1:16" s="819" customFormat="1" x14ac:dyDescent="0.5">
      <c r="A54" s="796"/>
      <c r="B54" s="796"/>
      <c r="C54" s="796"/>
    </row>
    <row r="55" spans="1:16" s="819" customFormat="1" x14ac:dyDescent="0.5">
      <c r="A55" s="797"/>
      <c r="B55" s="797"/>
      <c r="C55" s="797"/>
      <c r="D55" s="831"/>
      <c r="E55" s="831"/>
      <c r="F55" s="831"/>
      <c r="G55" s="831"/>
      <c r="H55" s="831"/>
      <c r="I55" s="831"/>
      <c r="J55" s="831"/>
      <c r="K55" s="831"/>
      <c r="L55" s="831"/>
      <c r="M55" s="831"/>
      <c r="N55" s="831"/>
    </row>
    <row r="56" spans="1:16" s="819" customFormat="1" x14ac:dyDescent="0.5">
      <c r="A56" s="797"/>
      <c r="B56" s="797"/>
      <c r="C56" s="797"/>
      <c r="D56" s="831"/>
      <c r="E56" s="831"/>
      <c r="F56" s="831"/>
      <c r="G56" s="831"/>
      <c r="H56" s="831"/>
      <c r="I56" s="831"/>
      <c r="J56" s="831"/>
      <c r="K56" s="831"/>
      <c r="L56" s="831"/>
      <c r="M56" s="831"/>
      <c r="N56" s="831"/>
    </row>
    <row r="57" spans="1:16" s="819" customFormat="1" x14ac:dyDescent="0.5">
      <c r="A57" s="797"/>
      <c r="B57" s="797"/>
      <c r="C57" s="797"/>
      <c r="D57" s="831"/>
      <c r="E57" s="831"/>
      <c r="F57" s="831"/>
      <c r="G57" s="831"/>
      <c r="H57" s="831"/>
      <c r="I57" s="831"/>
      <c r="J57" s="831"/>
      <c r="K57" s="831"/>
      <c r="L57" s="831"/>
      <c r="M57" s="831"/>
      <c r="N57" s="831"/>
    </row>
    <row r="58" spans="1:16" s="819" customFormat="1" x14ac:dyDescent="0.5">
      <c r="A58" s="797"/>
      <c r="B58" s="797"/>
      <c r="C58" s="797"/>
      <c r="D58" s="831"/>
      <c r="E58" s="831"/>
      <c r="F58" s="831"/>
      <c r="G58" s="831"/>
      <c r="H58" s="831"/>
      <c r="I58" s="831"/>
      <c r="J58" s="831"/>
      <c r="K58" s="831"/>
      <c r="L58" s="831"/>
      <c r="M58" s="831"/>
      <c r="N58" s="831"/>
    </row>
    <row r="59" spans="1:16" s="819" customFormat="1" x14ac:dyDescent="0.5">
      <c r="A59" s="797"/>
      <c r="B59" s="797"/>
      <c r="C59" s="797"/>
      <c r="D59" s="831"/>
      <c r="E59" s="831"/>
      <c r="F59" s="831"/>
      <c r="G59" s="831"/>
      <c r="H59" s="831"/>
      <c r="I59" s="831"/>
      <c r="J59" s="831"/>
      <c r="K59" s="831"/>
      <c r="L59" s="831"/>
      <c r="M59" s="831"/>
      <c r="N59" s="831"/>
    </row>
    <row r="60" spans="1:16" s="819" customFormat="1" x14ac:dyDescent="0.5">
      <c r="A60" s="797"/>
      <c r="B60" s="797"/>
      <c r="C60" s="797"/>
      <c r="D60" s="831"/>
      <c r="E60" s="831"/>
      <c r="F60" s="831"/>
      <c r="G60" s="831"/>
      <c r="H60" s="831"/>
      <c r="I60" s="831"/>
      <c r="J60" s="831"/>
      <c r="K60" s="831"/>
      <c r="L60" s="831"/>
      <c r="M60" s="831"/>
      <c r="N60" s="831"/>
    </row>
    <row r="61" spans="1:16" s="819" customFormat="1" x14ac:dyDescent="0.5">
      <c r="A61" s="797"/>
      <c r="B61" s="797"/>
      <c r="C61" s="797"/>
      <c r="D61" s="831"/>
      <c r="E61" s="831"/>
      <c r="F61" s="831"/>
      <c r="G61" s="831"/>
      <c r="H61" s="831"/>
      <c r="I61" s="831"/>
      <c r="J61" s="831"/>
      <c r="K61" s="831"/>
      <c r="L61" s="831"/>
      <c r="M61" s="831"/>
      <c r="N61" s="831"/>
    </row>
    <row r="62" spans="1:16" s="819" customFormat="1" x14ac:dyDescent="0.5">
      <c r="A62" s="797"/>
      <c r="B62" s="797"/>
      <c r="C62" s="797"/>
      <c r="D62" s="831"/>
      <c r="E62" s="831"/>
      <c r="F62" s="831"/>
      <c r="G62" s="831"/>
      <c r="H62" s="831"/>
      <c r="I62" s="831"/>
      <c r="J62" s="831"/>
      <c r="K62" s="831"/>
      <c r="L62" s="831"/>
      <c r="M62" s="831"/>
      <c r="N62" s="831"/>
    </row>
    <row r="63" spans="1:16" x14ac:dyDescent="0.5">
      <c r="A63" s="797"/>
      <c r="B63" s="797"/>
      <c r="C63" s="797"/>
      <c r="D63" s="835"/>
      <c r="E63" s="835"/>
      <c r="F63" s="835"/>
      <c r="G63" s="835"/>
      <c r="H63" s="835"/>
      <c r="I63" s="835"/>
      <c r="J63" s="835"/>
      <c r="K63" s="835"/>
      <c r="L63" s="835"/>
      <c r="M63" s="835"/>
      <c r="N63" s="835"/>
    </row>
  </sheetData>
  <mergeCells count="8">
    <mergeCell ref="A1:N1"/>
    <mergeCell ref="A2:N2"/>
    <mergeCell ref="D4:D6"/>
    <mergeCell ref="E4:E6"/>
    <mergeCell ref="F4:F5"/>
    <mergeCell ref="G4:G6"/>
    <mergeCell ref="H4:N4"/>
    <mergeCell ref="L5:M5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r:id="rId1"/>
  <headerFooter alignWithMargins="0">
    <oddHeader>&amp;L&amp;20&amp;F &amp;A&amp;R&amp;"Arial,Félkövér"&amp;32 7.  melléklet a  20/2025.(IX.30.) önkormányzati rendelethez
"7. melléklet a 4/2025.(II.28.)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/>
  <dimension ref="A1:N39"/>
  <sheetViews>
    <sheetView zoomScale="91" zoomScaleNormal="91" zoomScaleSheetLayoutView="62" workbookViewId="0">
      <selection activeCell="B52" sqref="B52"/>
    </sheetView>
  </sheetViews>
  <sheetFormatPr defaultRowHeight="15" customHeight="1" x14ac:dyDescent="0.25"/>
  <cols>
    <col min="1" max="1" width="108.33203125" style="25" bestFit="1" customWidth="1"/>
    <col min="2" max="2" width="28.33203125" style="25" bestFit="1" customWidth="1"/>
    <col min="3" max="3" width="29.6640625" style="25" customWidth="1"/>
    <col min="4" max="4" width="30" style="25" customWidth="1"/>
    <col min="5" max="5" width="28.33203125" style="25" customWidth="1"/>
    <col min="6" max="6" width="34.33203125" style="25" bestFit="1" customWidth="1"/>
    <col min="7" max="7" width="31" style="26" customWidth="1"/>
    <col min="8" max="8" width="15" style="25" bestFit="1" customWidth="1"/>
    <col min="9" max="9" width="10.6640625" style="25" bestFit="1" customWidth="1"/>
    <col min="10" max="10" width="32" style="25" customWidth="1"/>
    <col min="11" max="16384" width="9.33203125" style="25"/>
  </cols>
  <sheetData>
    <row r="1" spans="1:14" ht="15" customHeight="1" x14ac:dyDescent="0.25">
      <c r="A1" s="23"/>
      <c r="B1" s="23"/>
      <c r="C1" s="23"/>
      <c r="D1" s="23"/>
      <c r="E1" s="23"/>
      <c r="F1" s="23"/>
      <c r="G1" s="24"/>
    </row>
    <row r="2" spans="1:14" s="568" customFormat="1" ht="26.25" x14ac:dyDescent="0.4">
      <c r="A2" s="1021" t="s">
        <v>51</v>
      </c>
      <c r="B2" s="1021"/>
      <c r="C2" s="1021"/>
      <c r="D2" s="1021"/>
      <c r="E2" s="1021"/>
      <c r="F2" s="1021"/>
      <c r="G2" s="1021"/>
      <c r="H2" s="531"/>
      <c r="I2" s="531"/>
      <c r="J2" s="531"/>
      <c r="K2" s="531"/>
      <c r="L2" s="531"/>
      <c r="M2" s="531"/>
      <c r="N2" s="531"/>
    </row>
    <row r="3" spans="1:14" ht="15" customHeight="1" x14ac:dyDescent="0.25">
      <c r="A3" s="23"/>
      <c r="B3" s="23"/>
      <c r="C3" s="23"/>
      <c r="D3" s="23"/>
      <c r="E3" s="23"/>
      <c r="F3" s="23"/>
      <c r="G3" s="24"/>
      <c r="H3" s="26"/>
      <c r="I3" s="26"/>
      <c r="J3" s="26"/>
      <c r="K3" s="26"/>
      <c r="L3" s="26"/>
      <c r="M3" s="26"/>
      <c r="N3" s="26"/>
    </row>
    <row r="4" spans="1:14" ht="24" thickBot="1" x14ac:dyDescent="0.4">
      <c r="A4" s="416" t="s">
        <v>36</v>
      </c>
      <c r="B4" s="5"/>
      <c r="C4" s="5"/>
      <c r="D4" s="5"/>
      <c r="E4" s="5"/>
      <c r="F4" s="5"/>
      <c r="G4" s="69" t="s">
        <v>203</v>
      </c>
      <c r="H4" s="26"/>
      <c r="I4" s="26"/>
      <c r="J4" s="26"/>
      <c r="K4" s="26"/>
      <c r="L4" s="26"/>
      <c r="M4" s="26"/>
      <c r="N4" s="26"/>
    </row>
    <row r="5" spans="1:14" ht="20.100000000000001" customHeight="1" x14ac:dyDescent="0.25">
      <c r="A5" s="70" t="s">
        <v>156</v>
      </c>
      <c r="B5" s="13" t="s">
        <v>577</v>
      </c>
      <c r="C5" s="13" t="s">
        <v>578</v>
      </c>
      <c r="D5" s="13" t="s">
        <v>554</v>
      </c>
      <c r="E5" s="13" t="s">
        <v>560</v>
      </c>
      <c r="F5" s="13" t="s">
        <v>553</v>
      </c>
      <c r="G5" s="13" t="s">
        <v>580</v>
      </c>
      <c r="H5" s="26"/>
      <c r="I5" s="26"/>
      <c r="J5" s="26"/>
      <c r="K5" s="26"/>
      <c r="L5" s="26"/>
      <c r="M5" s="26"/>
      <c r="N5" s="26"/>
    </row>
    <row r="6" spans="1:14" ht="16.5" thickBot="1" x14ac:dyDescent="0.3">
      <c r="A6" s="71"/>
      <c r="B6" s="35"/>
      <c r="C6" s="35" t="s">
        <v>335</v>
      </c>
      <c r="D6" s="35" t="s">
        <v>348</v>
      </c>
      <c r="E6" s="35" t="s">
        <v>348</v>
      </c>
      <c r="F6" s="35" t="s">
        <v>552</v>
      </c>
      <c r="G6" s="35" t="s">
        <v>348</v>
      </c>
      <c r="H6" s="26"/>
      <c r="I6" s="26"/>
      <c r="J6" s="26"/>
      <c r="K6" s="26"/>
      <c r="L6" s="26"/>
      <c r="M6" s="26"/>
      <c r="N6" s="26"/>
    </row>
    <row r="7" spans="1:14" ht="30" customHeight="1" x14ac:dyDescent="0.4">
      <c r="A7" s="418" t="s">
        <v>180</v>
      </c>
      <c r="B7" s="556">
        <v>2935221</v>
      </c>
      <c r="C7" s="556">
        <v>3540900</v>
      </c>
      <c r="D7" s="556">
        <v>3540900</v>
      </c>
      <c r="E7" s="556">
        <v>3642886</v>
      </c>
      <c r="F7" s="556">
        <f>18720-17555+100+3690</f>
        <v>4955</v>
      </c>
      <c r="G7" s="556">
        <f>SUM(E7:F7)</f>
        <v>3647841</v>
      </c>
      <c r="I7" s="26"/>
      <c r="J7" s="26"/>
      <c r="K7" s="26"/>
      <c r="L7" s="26"/>
      <c r="M7" s="26"/>
      <c r="N7" s="26"/>
    </row>
    <row r="8" spans="1:14" ht="30" customHeight="1" thickBot="1" x14ac:dyDescent="0.45">
      <c r="A8" s="419" t="s">
        <v>81</v>
      </c>
      <c r="B8" s="557">
        <v>2262119</v>
      </c>
      <c r="C8" s="557">
        <v>2495269</v>
      </c>
      <c r="D8" s="557">
        <v>2495269</v>
      </c>
      <c r="E8" s="557">
        <v>2550740</v>
      </c>
      <c r="F8" s="557">
        <f>-1057+448</f>
        <v>-609</v>
      </c>
      <c r="G8" s="556">
        <f>SUM(E8:F8)</f>
        <v>2550131</v>
      </c>
      <c r="I8" s="26"/>
      <c r="J8" s="26"/>
      <c r="K8" s="26"/>
      <c r="L8" s="26"/>
      <c r="M8" s="26"/>
      <c r="N8" s="26"/>
    </row>
    <row r="9" spans="1:14" ht="30" customHeight="1" thickBot="1" x14ac:dyDescent="0.45">
      <c r="A9" s="420" t="s">
        <v>193</v>
      </c>
      <c r="B9" s="558">
        <f t="shared" ref="B9:D9" si="0">SUM(B7:B8)</f>
        <v>5197340</v>
      </c>
      <c r="C9" s="558">
        <f t="shared" si="0"/>
        <v>6036169</v>
      </c>
      <c r="D9" s="558">
        <f t="shared" si="0"/>
        <v>6036169</v>
      </c>
      <c r="E9" s="558">
        <f>SUM(E7:E8)</f>
        <v>6193626</v>
      </c>
      <c r="F9" s="558">
        <f t="shared" ref="F9:G9" si="1">SUM(F7:F8)</f>
        <v>4346</v>
      </c>
      <c r="G9" s="558">
        <f t="shared" si="1"/>
        <v>6197972</v>
      </c>
      <c r="I9" s="26"/>
      <c r="J9" s="26"/>
      <c r="K9" s="26"/>
      <c r="L9" s="26"/>
      <c r="M9" s="26"/>
      <c r="N9" s="26"/>
    </row>
    <row r="10" spans="1:14" ht="30" customHeight="1" x14ac:dyDescent="0.4">
      <c r="A10" s="418" t="s">
        <v>343</v>
      </c>
      <c r="B10" s="556"/>
      <c r="C10" s="556"/>
      <c r="D10" s="556">
        <v>0</v>
      </c>
      <c r="E10" s="556">
        <v>1894</v>
      </c>
      <c r="F10" s="559"/>
      <c r="G10" s="556">
        <f t="shared" ref="G10:G16" si="2">SUM(E10:F10)</f>
        <v>1894</v>
      </c>
      <c r="I10" s="26"/>
      <c r="J10" s="26"/>
      <c r="K10" s="26"/>
      <c r="L10" s="26"/>
      <c r="M10" s="26"/>
      <c r="N10" s="26"/>
    </row>
    <row r="11" spans="1:14" ht="30" customHeight="1" x14ac:dyDescent="0.4">
      <c r="A11" s="421" t="s">
        <v>416</v>
      </c>
      <c r="B11" s="382">
        <v>7152</v>
      </c>
      <c r="C11" s="382"/>
      <c r="D11" s="382">
        <v>0</v>
      </c>
      <c r="E11" s="382">
        <v>7152</v>
      </c>
      <c r="F11" s="382"/>
      <c r="G11" s="382">
        <f t="shared" si="2"/>
        <v>7152</v>
      </c>
      <c r="I11" s="26"/>
      <c r="J11" s="26"/>
      <c r="K11" s="26"/>
      <c r="L11" s="26"/>
      <c r="M11" s="26"/>
      <c r="N11" s="26"/>
    </row>
    <row r="12" spans="1:14" ht="30" customHeight="1" x14ac:dyDescent="0.4">
      <c r="A12" s="421" t="s">
        <v>333</v>
      </c>
      <c r="B12" s="382"/>
      <c r="C12" s="382">
        <v>800</v>
      </c>
      <c r="D12" s="382">
        <v>800</v>
      </c>
      <c r="E12" s="382">
        <v>800</v>
      </c>
      <c r="F12" s="382"/>
      <c r="G12" s="382">
        <f t="shared" si="2"/>
        <v>800</v>
      </c>
      <c r="H12" s="26"/>
      <c r="I12" s="26"/>
      <c r="J12" s="26"/>
      <c r="K12" s="26"/>
      <c r="L12" s="26"/>
      <c r="M12" s="26"/>
      <c r="N12" s="26"/>
    </row>
    <row r="13" spans="1:14" ht="30" customHeight="1" x14ac:dyDescent="0.4">
      <c r="A13" s="112" t="s">
        <v>111</v>
      </c>
      <c r="B13" s="382"/>
      <c r="C13" s="382">
        <v>500</v>
      </c>
      <c r="D13" s="382">
        <v>500</v>
      </c>
      <c r="E13" s="382">
        <v>1000</v>
      </c>
      <c r="F13" s="382"/>
      <c r="G13" s="382">
        <f t="shared" si="2"/>
        <v>1000</v>
      </c>
      <c r="I13" s="26"/>
      <c r="J13" s="26"/>
      <c r="K13" s="26"/>
      <c r="L13" s="26"/>
      <c r="M13" s="26"/>
      <c r="N13" s="26"/>
    </row>
    <row r="14" spans="1:14" ht="43.5" customHeight="1" x14ac:dyDescent="0.4">
      <c r="A14" s="421" t="s">
        <v>423</v>
      </c>
      <c r="B14" s="382">
        <v>1322</v>
      </c>
      <c r="C14" s="382">
        <v>1800</v>
      </c>
      <c r="D14" s="382">
        <v>1800</v>
      </c>
      <c r="E14" s="382">
        <v>2278</v>
      </c>
      <c r="F14" s="382"/>
      <c r="G14" s="382">
        <f t="shared" si="2"/>
        <v>2278</v>
      </c>
      <c r="I14" s="26"/>
      <c r="J14" s="26"/>
      <c r="K14" s="26"/>
      <c r="L14" s="26"/>
      <c r="M14" s="26"/>
      <c r="N14" s="26"/>
    </row>
    <row r="15" spans="1:14" ht="30" customHeight="1" x14ac:dyDescent="0.4">
      <c r="A15" s="418" t="s">
        <v>112</v>
      </c>
      <c r="B15" s="556"/>
      <c r="C15" s="556">
        <v>10000</v>
      </c>
      <c r="D15" s="556">
        <v>10000</v>
      </c>
      <c r="E15" s="556">
        <v>0</v>
      </c>
      <c r="F15" s="556"/>
      <c r="G15" s="556">
        <f t="shared" si="2"/>
        <v>0</v>
      </c>
      <c r="H15" s="26"/>
      <c r="I15" s="26"/>
      <c r="J15" s="26"/>
      <c r="K15" s="26"/>
      <c r="L15" s="26"/>
      <c r="M15" s="26"/>
      <c r="N15" s="26"/>
    </row>
    <row r="16" spans="1:14" ht="30" customHeight="1" x14ac:dyDescent="0.4">
      <c r="A16" s="112" t="s">
        <v>438</v>
      </c>
      <c r="B16" s="382">
        <v>6569</v>
      </c>
      <c r="C16" s="382">
        <v>6000</v>
      </c>
      <c r="D16" s="382">
        <v>6000</v>
      </c>
      <c r="E16" s="382">
        <v>6000</v>
      </c>
      <c r="F16" s="382">
        <v>800</v>
      </c>
      <c r="G16" s="382">
        <f t="shared" si="2"/>
        <v>6800</v>
      </c>
      <c r="J16" s="26"/>
    </row>
    <row r="17" spans="1:10" ht="30" customHeight="1" x14ac:dyDescent="0.4">
      <c r="A17" s="112" t="s">
        <v>387</v>
      </c>
      <c r="B17" s="382">
        <v>4452</v>
      </c>
      <c r="C17" s="382">
        <v>4842</v>
      </c>
      <c r="D17" s="382">
        <v>4842</v>
      </c>
      <c r="E17" s="382">
        <v>5232</v>
      </c>
      <c r="F17" s="382"/>
      <c r="G17" s="382">
        <f t="shared" ref="G17:G24" si="3">SUM(E17:F17)</f>
        <v>5232</v>
      </c>
      <c r="J17" s="26"/>
    </row>
    <row r="18" spans="1:10" ht="30" customHeight="1" x14ac:dyDescent="0.4">
      <c r="A18" s="112" t="s">
        <v>131</v>
      </c>
      <c r="B18" s="382">
        <v>187</v>
      </c>
      <c r="C18" s="382">
        <v>1250</v>
      </c>
      <c r="D18" s="382">
        <v>1250</v>
      </c>
      <c r="E18" s="382">
        <v>1250</v>
      </c>
      <c r="F18" s="382"/>
      <c r="G18" s="382">
        <f t="shared" si="3"/>
        <v>1250</v>
      </c>
      <c r="J18" s="26"/>
    </row>
    <row r="19" spans="1:10" ht="30" customHeight="1" x14ac:dyDescent="0.4">
      <c r="A19" s="112" t="s">
        <v>70</v>
      </c>
      <c r="B19" s="382">
        <v>2780</v>
      </c>
      <c r="C19" s="382">
        <v>3000</v>
      </c>
      <c r="D19" s="382">
        <v>3000</v>
      </c>
      <c r="E19" s="382">
        <v>3220</v>
      </c>
      <c r="F19" s="382"/>
      <c r="G19" s="382">
        <f t="shared" si="3"/>
        <v>3220</v>
      </c>
      <c r="J19" s="26"/>
    </row>
    <row r="20" spans="1:10" ht="30" customHeight="1" x14ac:dyDescent="0.4">
      <c r="A20" s="112" t="s">
        <v>54</v>
      </c>
      <c r="B20" s="382">
        <v>250</v>
      </c>
      <c r="C20" s="382">
        <v>300</v>
      </c>
      <c r="D20" s="382">
        <v>300</v>
      </c>
      <c r="E20" s="382">
        <v>350</v>
      </c>
      <c r="F20" s="382"/>
      <c r="G20" s="382">
        <f t="shared" si="3"/>
        <v>350</v>
      </c>
      <c r="J20" s="26"/>
    </row>
    <row r="21" spans="1:10" ht="30" customHeight="1" x14ac:dyDescent="0.4">
      <c r="A21" s="112" t="s">
        <v>374</v>
      </c>
      <c r="B21" s="382">
        <v>1027</v>
      </c>
      <c r="C21" s="382">
        <v>1500</v>
      </c>
      <c r="D21" s="382">
        <v>1500</v>
      </c>
      <c r="E21" s="382">
        <v>1873</v>
      </c>
      <c r="F21" s="382">
        <v>-100</v>
      </c>
      <c r="G21" s="382">
        <f t="shared" si="3"/>
        <v>1773</v>
      </c>
      <c r="J21" s="26"/>
    </row>
    <row r="22" spans="1:10" ht="44.25" customHeight="1" x14ac:dyDescent="0.4">
      <c r="A22" s="422" t="s">
        <v>334</v>
      </c>
      <c r="B22" s="382">
        <v>1124</v>
      </c>
      <c r="C22" s="382">
        <v>1000</v>
      </c>
      <c r="D22" s="382">
        <v>1000</v>
      </c>
      <c r="E22" s="382">
        <v>1626</v>
      </c>
      <c r="F22" s="382"/>
      <c r="G22" s="382">
        <f t="shared" si="3"/>
        <v>1626</v>
      </c>
      <c r="J22" s="26"/>
    </row>
    <row r="23" spans="1:10" ht="39.75" customHeight="1" x14ac:dyDescent="0.4">
      <c r="A23" s="422" t="s">
        <v>406</v>
      </c>
      <c r="B23" s="382">
        <v>400</v>
      </c>
      <c r="C23" s="382">
        <v>2900</v>
      </c>
      <c r="D23" s="382">
        <v>2900</v>
      </c>
      <c r="E23" s="382">
        <v>2900</v>
      </c>
      <c r="F23" s="382"/>
      <c r="G23" s="382">
        <f t="shared" si="3"/>
        <v>2900</v>
      </c>
      <c r="J23" s="26"/>
    </row>
    <row r="24" spans="1:10" ht="50.25" customHeight="1" x14ac:dyDescent="0.4">
      <c r="A24" s="423" t="s">
        <v>568</v>
      </c>
      <c r="B24" s="560"/>
      <c r="C24" s="560"/>
      <c r="D24" s="560"/>
      <c r="E24" s="560">
        <v>1000</v>
      </c>
      <c r="F24" s="560"/>
      <c r="G24" s="382">
        <f t="shared" si="3"/>
        <v>1000</v>
      </c>
      <c r="J24" s="26"/>
    </row>
    <row r="25" spans="1:10" ht="30" customHeight="1" thickBot="1" x14ac:dyDescent="0.45">
      <c r="A25" s="424" t="s">
        <v>42</v>
      </c>
      <c r="B25" s="561">
        <f t="shared" ref="B25:D25" si="4">SUM(B10:B24)</f>
        <v>25263</v>
      </c>
      <c r="C25" s="561">
        <f t="shared" si="4"/>
        <v>33892</v>
      </c>
      <c r="D25" s="561">
        <f t="shared" si="4"/>
        <v>33892</v>
      </c>
      <c r="E25" s="561">
        <f>SUM(E10:E24)</f>
        <v>36575</v>
      </c>
      <c r="F25" s="561">
        <f>SUM(F10:F24)</f>
        <v>700</v>
      </c>
      <c r="G25" s="562">
        <f>SUM(G10:G24)</f>
        <v>37275</v>
      </c>
      <c r="J25" s="26"/>
    </row>
    <row r="26" spans="1:10" ht="30" customHeight="1" thickBot="1" x14ac:dyDescent="0.45">
      <c r="A26" s="424" t="s">
        <v>272</v>
      </c>
      <c r="B26" s="561">
        <f t="shared" ref="B26:D26" si="5">+B25+B9</f>
        <v>5222603</v>
      </c>
      <c r="C26" s="561">
        <f t="shared" si="5"/>
        <v>6070061</v>
      </c>
      <c r="D26" s="561">
        <f t="shared" si="5"/>
        <v>6070061</v>
      </c>
      <c r="E26" s="561">
        <f>+E25+E9</f>
        <v>6230201</v>
      </c>
      <c r="F26" s="561">
        <f>+F25+F9</f>
        <v>5046</v>
      </c>
      <c r="G26" s="562">
        <f>+G25+G9</f>
        <v>6235247</v>
      </c>
      <c r="J26" s="26"/>
    </row>
    <row r="27" spans="1:10" s="29" customFormat="1" ht="30" customHeight="1" x14ac:dyDescent="0.25">
      <c r="G27" s="75"/>
      <c r="J27" s="26"/>
    </row>
    <row r="28" spans="1:10" s="29" customFormat="1" ht="30" customHeight="1" thickBot="1" x14ac:dyDescent="0.4">
      <c r="A28" s="416" t="s">
        <v>80</v>
      </c>
      <c r="B28" s="5"/>
      <c r="C28" s="5"/>
      <c r="D28" s="5"/>
      <c r="E28" s="5"/>
      <c r="F28" s="5"/>
      <c r="G28" s="17"/>
      <c r="J28" s="26"/>
    </row>
    <row r="29" spans="1:10" s="29" customFormat="1" ht="30" customHeight="1" x14ac:dyDescent="0.25">
      <c r="A29" s="76" t="s">
        <v>156</v>
      </c>
      <c r="B29" s="13" t="s">
        <v>577</v>
      </c>
      <c r="C29" s="13" t="s">
        <v>578</v>
      </c>
      <c r="D29" s="13" t="s">
        <v>554</v>
      </c>
      <c r="E29" s="13" t="s">
        <v>560</v>
      </c>
      <c r="F29" s="13" t="s">
        <v>553</v>
      </c>
      <c r="G29" s="13" t="s">
        <v>580</v>
      </c>
      <c r="J29" s="26"/>
    </row>
    <row r="30" spans="1:10" s="29" customFormat="1" ht="30" customHeight="1" thickBot="1" x14ac:dyDescent="0.3">
      <c r="A30" s="77"/>
      <c r="B30" s="35"/>
      <c r="C30" s="35" t="s">
        <v>335</v>
      </c>
      <c r="D30" s="35" t="s">
        <v>348</v>
      </c>
      <c r="E30" s="35" t="s">
        <v>348</v>
      </c>
      <c r="F30" s="35" t="s">
        <v>552</v>
      </c>
      <c r="G30" s="35" t="s">
        <v>348</v>
      </c>
      <c r="J30" s="26"/>
    </row>
    <row r="31" spans="1:10" s="29" customFormat="1" ht="30" customHeight="1" x14ac:dyDescent="0.4">
      <c r="A31" s="425" t="s">
        <v>180</v>
      </c>
      <c r="B31" s="559">
        <v>35413</v>
      </c>
      <c r="C31" s="559"/>
      <c r="D31" s="559"/>
      <c r="E31" s="559">
        <v>10641</v>
      </c>
      <c r="F31" s="559">
        <v>20695</v>
      </c>
      <c r="G31" s="559">
        <f>SUM(E31:F31)</f>
        <v>31336</v>
      </c>
      <c r="H31" s="25"/>
      <c r="J31" s="26"/>
    </row>
    <row r="32" spans="1:10" s="29" customFormat="1" ht="30" customHeight="1" x14ac:dyDescent="0.4">
      <c r="A32" s="419" t="s">
        <v>81</v>
      </c>
      <c r="B32" s="563">
        <v>46188</v>
      </c>
      <c r="C32" s="563"/>
      <c r="D32" s="563"/>
      <c r="E32" s="563">
        <v>50649</v>
      </c>
      <c r="F32" s="556">
        <f>2301+572</f>
        <v>2873</v>
      </c>
      <c r="G32" s="556">
        <f>SUM(E32:F32)</f>
        <v>53522</v>
      </c>
      <c r="H32" s="25"/>
      <c r="J32" s="26"/>
    </row>
    <row r="33" spans="1:10" s="29" customFormat="1" ht="30" customHeight="1" thickBot="1" x14ac:dyDescent="0.45">
      <c r="A33" s="426" t="s">
        <v>273</v>
      </c>
      <c r="B33" s="564">
        <f t="shared" ref="B33:D33" si="6">SUM(B31:B32)</f>
        <v>81601</v>
      </c>
      <c r="C33" s="564">
        <f t="shared" si="6"/>
        <v>0</v>
      </c>
      <c r="D33" s="564">
        <f t="shared" si="6"/>
        <v>0</v>
      </c>
      <c r="E33" s="564">
        <f>SUM(E31:E32)</f>
        <v>61290</v>
      </c>
      <c r="F33" s="564">
        <f>SUM(F31:F32)</f>
        <v>23568</v>
      </c>
      <c r="G33" s="410">
        <f>SUM(G31:G32)</f>
        <v>84858</v>
      </c>
      <c r="J33" s="26"/>
    </row>
    <row r="34" spans="1:10" s="29" customFormat="1" ht="30" customHeight="1" thickBot="1" x14ac:dyDescent="0.45">
      <c r="B34" s="565"/>
      <c r="C34" s="565"/>
      <c r="D34" s="565"/>
      <c r="E34" s="565"/>
      <c r="F34" s="565"/>
      <c r="G34" s="566"/>
      <c r="J34" s="26"/>
    </row>
    <row r="35" spans="1:10" s="29" customFormat="1" ht="30" customHeight="1" thickBot="1" x14ac:dyDescent="0.45">
      <c r="A35" s="63" t="s">
        <v>274</v>
      </c>
      <c r="B35" s="394">
        <f t="shared" ref="B35:D35" si="7">B26+B33</f>
        <v>5304204</v>
      </c>
      <c r="C35" s="394">
        <f t="shared" si="7"/>
        <v>6070061</v>
      </c>
      <c r="D35" s="394">
        <f t="shared" si="7"/>
        <v>6070061</v>
      </c>
      <c r="E35" s="394">
        <f>E26+E33</f>
        <v>6291491</v>
      </c>
      <c r="F35" s="394">
        <f t="shared" ref="F35:G35" si="8">F26+F33</f>
        <v>28614</v>
      </c>
      <c r="G35" s="394">
        <f t="shared" si="8"/>
        <v>6320105</v>
      </c>
      <c r="J35" s="26"/>
    </row>
    <row r="36" spans="1:10" s="29" customFormat="1" ht="26.25" x14ac:dyDescent="0.4">
      <c r="B36" s="565"/>
      <c r="C36" s="565"/>
      <c r="D36" s="565"/>
      <c r="E36" s="565"/>
      <c r="F36" s="565"/>
      <c r="G36" s="566"/>
      <c r="J36" s="26"/>
    </row>
    <row r="37" spans="1:10" s="29" customFormat="1" ht="26.25" x14ac:dyDescent="0.4">
      <c r="A37" s="29" t="s">
        <v>72</v>
      </c>
      <c r="B37" s="565"/>
      <c r="C37" s="565"/>
      <c r="D37" s="565"/>
      <c r="E37" s="565"/>
      <c r="F37" s="565"/>
      <c r="G37" s="567"/>
      <c r="J37" s="26"/>
    </row>
    <row r="38" spans="1:10" s="29" customFormat="1" ht="26.25" x14ac:dyDescent="0.4">
      <c r="A38" s="29" t="s">
        <v>73</v>
      </c>
      <c r="B38" s="565"/>
      <c r="C38" s="565"/>
      <c r="D38" s="565"/>
      <c r="E38" s="565"/>
      <c r="F38" s="565"/>
      <c r="G38" s="566"/>
      <c r="J38" s="26"/>
    </row>
    <row r="39" spans="1:10" s="29" customFormat="1" ht="26.25" x14ac:dyDescent="0.4">
      <c r="B39" s="565"/>
      <c r="C39" s="565"/>
      <c r="D39" s="565"/>
      <c r="E39" s="565"/>
      <c r="F39" s="565"/>
      <c r="G39" s="566"/>
      <c r="J39" s="26"/>
    </row>
  </sheetData>
  <customSheetViews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43" orientation="portrait" r:id="rId3"/>
  <headerFooter alignWithMargins="0">
    <oddHeader xml:space="preserve">&amp;R&amp;"-,Félkövér"&amp;12 
8. melléklet a 20/2025. (IX.30.) önkormányzati rendelethez
"8. melléklet a 4/2025. (II.28) önkormányzati rendelethez"&amp;"Times New Roman CE,Félkövér"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0"/>
  <dimension ref="A1:G82"/>
  <sheetViews>
    <sheetView zoomScale="110" zoomScaleNormal="110" workbookViewId="0">
      <selection activeCell="A93" sqref="A93"/>
    </sheetView>
  </sheetViews>
  <sheetFormatPr defaultRowHeight="21" customHeight="1" x14ac:dyDescent="0.25"/>
  <cols>
    <col min="1" max="1" width="121" style="25" customWidth="1"/>
    <col min="2" max="5" width="29.5" style="26" customWidth="1"/>
    <col min="6" max="6" width="34.6640625" style="26" bestFit="1" customWidth="1"/>
    <col min="7" max="7" width="29.5" style="26" bestFit="1" customWidth="1"/>
    <col min="8" max="16384" width="9.33203125" style="25"/>
  </cols>
  <sheetData>
    <row r="1" spans="1:7" ht="21" customHeight="1" x14ac:dyDescent="0.25">
      <c r="A1" s="23"/>
      <c r="B1" s="24"/>
      <c r="C1" s="24"/>
      <c r="D1" s="24"/>
      <c r="E1" s="24"/>
      <c r="F1" s="24"/>
      <c r="G1" s="24"/>
    </row>
    <row r="2" spans="1:7" s="568" customFormat="1" ht="21" customHeight="1" x14ac:dyDescent="0.4">
      <c r="A2" s="1021" t="s">
        <v>275</v>
      </c>
      <c r="B2" s="1021"/>
      <c r="C2" s="1021"/>
      <c r="D2" s="1021"/>
      <c r="E2" s="1021"/>
      <c r="F2" s="1021"/>
      <c r="G2" s="1021"/>
    </row>
    <row r="3" spans="1:7" ht="21" customHeight="1" x14ac:dyDescent="0.3">
      <c r="A3" s="79"/>
      <c r="B3" s="11"/>
      <c r="C3" s="11"/>
      <c r="D3" s="11"/>
      <c r="E3" s="11"/>
      <c r="F3" s="11"/>
      <c r="G3" s="11"/>
    </row>
    <row r="4" spans="1:7" ht="21" customHeight="1" thickBot="1" x14ac:dyDescent="0.35">
      <c r="A4" s="5" t="s">
        <v>36</v>
      </c>
      <c r="B4" s="17"/>
      <c r="C4" s="17"/>
      <c r="D4" s="17"/>
      <c r="E4" s="17"/>
      <c r="F4" s="17"/>
      <c r="G4" s="69" t="s">
        <v>203</v>
      </c>
    </row>
    <row r="5" spans="1:7" ht="21" customHeight="1" x14ac:dyDescent="0.25">
      <c r="A5" s="70" t="s">
        <v>156</v>
      </c>
      <c r="B5" s="13" t="s">
        <v>577</v>
      </c>
      <c r="C5" s="13" t="s">
        <v>578</v>
      </c>
      <c r="D5" s="13" t="s">
        <v>554</v>
      </c>
      <c r="E5" s="13" t="s">
        <v>560</v>
      </c>
      <c r="F5" s="13" t="s">
        <v>553</v>
      </c>
      <c r="G5" s="13" t="s">
        <v>580</v>
      </c>
    </row>
    <row r="6" spans="1:7" ht="16.5" thickBot="1" x14ac:dyDescent="0.3">
      <c r="A6" s="80"/>
      <c r="B6" s="35"/>
      <c r="C6" s="35" t="s">
        <v>335</v>
      </c>
      <c r="D6" s="35" t="s">
        <v>348</v>
      </c>
      <c r="E6" s="35" t="s">
        <v>348</v>
      </c>
      <c r="F6" s="35" t="s">
        <v>552</v>
      </c>
      <c r="G6" s="35" t="s">
        <v>348</v>
      </c>
    </row>
    <row r="7" spans="1:7" ht="26.25" x14ac:dyDescent="0.4">
      <c r="A7" s="237" t="s">
        <v>472</v>
      </c>
      <c r="B7" s="569"/>
      <c r="C7" s="569"/>
      <c r="D7" s="569"/>
      <c r="E7" s="569"/>
      <c r="F7" s="569"/>
      <c r="G7" s="569"/>
    </row>
    <row r="8" spans="1:7" ht="27" thickBot="1" x14ac:dyDescent="0.45">
      <c r="A8" s="256" t="s">
        <v>505</v>
      </c>
      <c r="B8" s="413">
        <v>216483</v>
      </c>
      <c r="C8" s="413">
        <v>162526</v>
      </c>
      <c r="D8" s="413">
        <v>162526</v>
      </c>
      <c r="E8" s="413">
        <v>263787</v>
      </c>
      <c r="F8" s="413">
        <f>-67805+67805</f>
        <v>0</v>
      </c>
      <c r="G8" s="413">
        <f>SUM(E8:F8)</f>
        <v>263787</v>
      </c>
    </row>
    <row r="9" spans="1:7" ht="27" thickBot="1" x14ac:dyDescent="0.45">
      <c r="A9" s="254" t="s">
        <v>506</v>
      </c>
      <c r="B9" s="570">
        <v>798578</v>
      </c>
      <c r="C9" s="570">
        <v>581360</v>
      </c>
      <c r="D9" s="570">
        <v>581360</v>
      </c>
      <c r="E9" s="570">
        <v>900142</v>
      </c>
      <c r="F9" s="570">
        <v>212952</v>
      </c>
      <c r="G9" s="413">
        <f>SUM(E9:F9)</f>
        <v>1113094</v>
      </c>
    </row>
    <row r="10" spans="1:7" ht="27" thickBot="1" x14ac:dyDescent="0.45">
      <c r="A10" s="255" t="s">
        <v>332</v>
      </c>
      <c r="B10" s="571">
        <v>540849</v>
      </c>
      <c r="C10" s="571">
        <v>324895</v>
      </c>
      <c r="D10" s="571">
        <v>324895</v>
      </c>
      <c r="E10" s="571">
        <v>521933</v>
      </c>
      <c r="F10" s="571">
        <v>5000</v>
      </c>
      <c r="G10" s="571">
        <f>SUM(E10:F10)</f>
        <v>526933</v>
      </c>
    </row>
    <row r="11" spans="1:7" ht="27" thickBot="1" x14ac:dyDescent="0.45">
      <c r="A11" s="255" t="s">
        <v>450</v>
      </c>
      <c r="B11" s="571">
        <v>842210</v>
      </c>
      <c r="C11" s="571">
        <v>756427</v>
      </c>
      <c r="D11" s="571">
        <v>756427</v>
      </c>
      <c r="E11" s="571">
        <v>933170</v>
      </c>
      <c r="F11" s="571">
        <v>12079</v>
      </c>
      <c r="G11" s="571">
        <f>SUM(E11:F11)</f>
        <v>945249</v>
      </c>
    </row>
    <row r="12" spans="1:7" ht="27" thickBot="1" x14ac:dyDescent="0.45">
      <c r="A12" s="236" t="s">
        <v>507</v>
      </c>
      <c r="B12" s="394">
        <f t="shared" ref="B12:D12" si="0">SUM(B8:B11)</f>
        <v>2398120</v>
      </c>
      <c r="C12" s="394">
        <f t="shared" si="0"/>
        <v>1825208</v>
      </c>
      <c r="D12" s="394">
        <f t="shared" si="0"/>
        <v>1825208</v>
      </c>
      <c r="E12" s="394">
        <f>SUM(E8:E11)</f>
        <v>2619032</v>
      </c>
      <c r="F12" s="394">
        <f t="shared" ref="F12:G12" si="1">SUM(F8:F11)</f>
        <v>230031</v>
      </c>
      <c r="G12" s="394">
        <f t="shared" si="1"/>
        <v>2849063</v>
      </c>
    </row>
    <row r="13" spans="1:7" ht="26.25" x14ac:dyDescent="0.4">
      <c r="A13" s="222" t="s">
        <v>473</v>
      </c>
      <c r="B13" s="553"/>
      <c r="C13" s="553"/>
      <c r="D13" s="553"/>
      <c r="E13" s="553"/>
      <c r="F13" s="553"/>
      <c r="G13" s="553"/>
    </row>
    <row r="14" spans="1:7" ht="26.25" x14ac:dyDescent="0.4">
      <c r="A14" s="9" t="s">
        <v>469</v>
      </c>
      <c r="B14" s="382">
        <v>324146</v>
      </c>
      <c r="C14" s="382">
        <v>373897</v>
      </c>
      <c r="D14" s="382">
        <v>373897</v>
      </c>
      <c r="E14" s="382">
        <v>347387</v>
      </c>
      <c r="F14" s="382"/>
      <c r="G14" s="382">
        <f>SUM(E14:F14)</f>
        <v>347387</v>
      </c>
    </row>
    <row r="15" spans="1:7" ht="26.25" x14ac:dyDescent="0.4">
      <c r="A15" s="84" t="s">
        <v>471</v>
      </c>
      <c r="B15" s="382">
        <v>302075</v>
      </c>
      <c r="C15" s="382">
        <v>373897</v>
      </c>
      <c r="D15" s="382">
        <v>373897</v>
      </c>
      <c r="E15" s="382">
        <v>347387</v>
      </c>
      <c r="F15" s="382">
        <v>-271868</v>
      </c>
      <c r="G15" s="382">
        <f>SUM(E15:F15)</f>
        <v>75519</v>
      </c>
    </row>
    <row r="16" spans="1:7" ht="34.5" thickBot="1" x14ac:dyDescent="0.45">
      <c r="A16" s="247" t="s">
        <v>561</v>
      </c>
      <c r="B16" s="391"/>
      <c r="C16" s="391"/>
      <c r="D16" s="391"/>
      <c r="E16" s="391">
        <v>71822</v>
      </c>
      <c r="F16" s="391"/>
      <c r="G16" s="382">
        <f>SUM(E16:F16)</f>
        <v>71822</v>
      </c>
    </row>
    <row r="17" spans="1:7" s="29" customFormat="1" ht="27" thickBot="1" x14ac:dyDescent="0.45">
      <c r="A17" s="85" t="s">
        <v>470</v>
      </c>
      <c r="B17" s="394">
        <f t="shared" ref="B17:D17" si="2">SUM(B14:B16)</f>
        <v>626221</v>
      </c>
      <c r="C17" s="394">
        <f t="shared" si="2"/>
        <v>747794</v>
      </c>
      <c r="D17" s="394">
        <f t="shared" si="2"/>
        <v>747794</v>
      </c>
      <c r="E17" s="394">
        <f>SUM(E14:E16)</f>
        <v>766596</v>
      </c>
      <c r="F17" s="394">
        <f t="shared" ref="F17:G17" si="3">SUM(F14:F16)</f>
        <v>-271868</v>
      </c>
      <c r="G17" s="394">
        <f t="shared" si="3"/>
        <v>494728</v>
      </c>
    </row>
    <row r="18" spans="1:7" ht="26.25" x14ac:dyDescent="0.4">
      <c r="A18" s="241" t="s">
        <v>474</v>
      </c>
      <c r="B18" s="534">
        <v>63651</v>
      </c>
      <c r="C18" s="534">
        <v>48651</v>
      </c>
      <c r="D18" s="534">
        <v>48651</v>
      </c>
      <c r="E18" s="534">
        <v>55405</v>
      </c>
      <c r="F18" s="534"/>
      <c r="G18" s="534">
        <f>SUM(E18:F18)</f>
        <v>55405</v>
      </c>
    </row>
    <row r="19" spans="1:7" ht="26.25" x14ac:dyDescent="0.4">
      <c r="A19" s="241" t="s">
        <v>509</v>
      </c>
      <c r="B19" s="534">
        <v>564255</v>
      </c>
      <c r="C19" s="534">
        <v>384000</v>
      </c>
      <c r="D19" s="534">
        <v>384000</v>
      </c>
      <c r="E19" s="534">
        <v>429570</v>
      </c>
      <c r="F19" s="534"/>
      <c r="G19" s="534">
        <f>SUM(E19:F19)</f>
        <v>429570</v>
      </c>
    </row>
    <row r="20" spans="1:7" s="29" customFormat="1" ht="27" thickBot="1" x14ac:dyDescent="0.45">
      <c r="A20" s="82" t="s">
        <v>475</v>
      </c>
      <c r="B20" s="549">
        <f t="shared" ref="B20:D20" si="4">B17+B18+B19</f>
        <v>1254127</v>
      </c>
      <c r="C20" s="549">
        <f t="shared" si="4"/>
        <v>1180445</v>
      </c>
      <c r="D20" s="549">
        <f t="shared" si="4"/>
        <v>1180445</v>
      </c>
      <c r="E20" s="549">
        <f>E17+E18+E19</f>
        <v>1251571</v>
      </c>
      <c r="F20" s="549">
        <f t="shared" ref="F20:G20" si="5">F17+F18+F19</f>
        <v>-271868</v>
      </c>
      <c r="G20" s="549">
        <f t="shared" si="5"/>
        <v>979703</v>
      </c>
    </row>
    <row r="21" spans="1:7" ht="42.75" customHeight="1" thickBot="1" x14ac:dyDescent="0.45">
      <c r="A21" s="223" t="s">
        <v>476</v>
      </c>
      <c r="B21" s="394">
        <f t="shared" ref="B21:D21" si="6">B12+B20</f>
        <v>3652247</v>
      </c>
      <c r="C21" s="394">
        <f t="shared" si="6"/>
        <v>3005653</v>
      </c>
      <c r="D21" s="394">
        <f t="shared" si="6"/>
        <v>3005653</v>
      </c>
      <c r="E21" s="394">
        <f>E12+E20</f>
        <v>3870603</v>
      </c>
      <c r="F21" s="394">
        <f t="shared" ref="F21:G21" si="7">F12+F20</f>
        <v>-41837</v>
      </c>
      <c r="G21" s="394">
        <f t="shared" si="7"/>
        <v>3828766</v>
      </c>
    </row>
    <row r="22" spans="1:7" ht="26.25" x14ac:dyDescent="0.4">
      <c r="A22" s="224" t="s">
        <v>477</v>
      </c>
      <c r="B22" s="553"/>
      <c r="C22" s="553"/>
      <c r="D22" s="553"/>
      <c r="E22" s="553"/>
      <c r="F22" s="553"/>
      <c r="G22" s="553"/>
    </row>
    <row r="23" spans="1:7" ht="26.25" x14ac:dyDescent="0.4">
      <c r="A23" s="221" t="s">
        <v>478</v>
      </c>
      <c r="B23" s="533"/>
      <c r="C23" s="533"/>
      <c r="D23" s="533"/>
      <c r="E23" s="533"/>
      <c r="F23" s="533"/>
      <c r="G23" s="533"/>
    </row>
    <row r="24" spans="1:7" ht="26.25" x14ac:dyDescent="0.4">
      <c r="A24" s="9" t="s">
        <v>133</v>
      </c>
      <c r="B24" s="382">
        <v>3000</v>
      </c>
      <c r="C24" s="382">
        <v>3000</v>
      </c>
      <c r="D24" s="382">
        <v>3000</v>
      </c>
      <c r="E24" s="382">
        <v>3000</v>
      </c>
      <c r="F24" s="382"/>
      <c r="G24" s="382">
        <f>SUM(E24:F24)</f>
        <v>3000</v>
      </c>
    </row>
    <row r="25" spans="1:7" ht="26.25" x14ac:dyDescent="0.4">
      <c r="A25" s="84" t="s">
        <v>55</v>
      </c>
      <c r="B25" s="382">
        <v>1200</v>
      </c>
      <c r="C25" s="382">
        <v>1200</v>
      </c>
      <c r="D25" s="382">
        <v>1200</v>
      </c>
      <c r="E25" s="382">
        <v>1200</v>
      </c>
      <c r="F25" s="382"/>
      <c r="G25" s="382">
        <f t="shared" ref="G25:G46" si="8">SUM(E25:F25)</f>
        <v>1200</v>
      </c>
    </row>
    <row r="26" spans="1:7" ht="26.25" x14ac:dyDescent="0.4">
      <c r="A26" s="84" t="s">
        <v>405</v>
      </c>
      <c r="B26" s="382">
        <v>3000</v>
      </c>
      <c r="C26" s="382">
        <v>3000</v>
      </c>
      <c r="D26" s="382">
        <v>3000</v>
      </c>
      <c r="E26" s="382">
        <v>3000</v>
      </c>
      <c r="F26" s="382"/>
      <c r="G26" s="382">
        <f t="shared" si="8"/>
        <v>3000</v>
      </c>
    </row>
    <row r="27" spans="1:7" ht="26.25" x14ac:dyDescent="0.4">
      <c r="A27" s="84" t="s">
        <v>38</v>
      </c>
      <c r="B27" s="382">
        <v>4000</v>
      </c>
      <c r="C27" s="382">
        <v>4000</v>
      </c>
      <c r="D27" s="382">
        <v>4000</v>
      </c>
      <c r="E27" s="382">
        <v>4000</v>
      </c>
      <c r="F27" s="382"/>
      <c r="G27" s="382">
        <f t="shared" si="8"/>
        <v>4000</v>
      </c>
    </row>
    <row r="28" spans="1:7" ht="26.25" x14ac:dyDescent="0.4">
      <c r="A28" s="84" t="s">
        <v>39</v>
      </c>
      <c r="B28" s="382">
        <v>13000</v>
      </c>
      <c r="C28" s="382">
        <v>13000</v>
      </c>
      <c r="D28" s="382">
        <v>13000</v>
      </c>
      <c r="E28" s="382">
        <v>13000</v>
      </c>
      <c r="F28" s="382"/>
      <c r="G28" s="382">
        <f t="shared" si="8"/>
        <v>13000</v>
      </c>
    </row>
    <row r="29" spans="1:7" ht="26.25" x14ac:dyDescent="0.4">
      <c r="A29" s="84" t="s">
        <v>40</v>
      </c>
      <c r="B29" s="382">
        <v>1000</v>
      </c>
      <c r="C29" s="382">
        <v>1000</v>
      </c>
      <c r="D29" s="382">
        <v>1000</v>
      </c>
      <c r="E29" s="382">
        <v>1000</v>
      </c>
      <c r="F29" s="382"/>
      <c r="G29" s="382">
        <f t="shared" si="8"/>
        <v>1000</v>
      </c>
    </row>
    <row r="30" spans="1:7" ht="26.25" x14ac:dyDescent="0.4">
      <c r="A30" s="84" t="s">
        <v>545</v>
      </c>
      <c r="B30" s="382">
        <v>5000</v>
      </c>
      <c r="C30" s="382">
        <v>3000</v>
      </c>
      <c r="D30" s="382">
        <v>3000</v>
      </c>
      <c r="E30" s="382">
        <v>3000</v>
      </c>
      <c r="F30" s="382"/>
      <c r="G30" s="382">
        <f t="shared" si="8"/>
        <v>3000</v>
      </c>
    </row>
    <row r="31" spans="1:7" ht="26.25" x14ac:dyDescent="0.4">
      <c r="A31" s="84" t="s">
        <v>336</v>
      </c>
      <c r="B31" s="382">
        <v>2000</v>
      </c>
      <c r="C31" s="382">
        <v>2000</v>
      </c>
      <c r="D31" s="382">
        <v>2000</v>
      </c>
      <c r="E31" s="382">
        <v>2000</v>
      </c>
      <c r="F31" s="382"/>
      <c r="G31" s="382">
        <f t="shared" si="8"/>
        <v>2000</v>
      </c>
    </row>
    <row r="32" spans="1:7" ht="26.25" x14ac:dyDescent="0.4">
      <c r="A32" s="84" t="s">
        <v>56</v>
      </c>
      <c r="B32" s="382">
        <v>650</v>
      </c>
      <c r="C32" s="382">
        <v>650</v>
      </c>
      <c r="D32" s="382">
        <v>650</v>
      </c>
      <c r="E32" s="382">
        <v>650</v>
      </c>
      <c r="F32" s="382"/>
      <c r="G32" s="382">
        <f t="shared" si="8"/>
        <v>650</v>
      </c>
    </row>
    <row r="33" spans="1:7" ht="26.25" x14ac:dyDescent="0.4">
      <c r="A33" s="84" t="s">
        <v>196</v>
      </c>
      <c r="B33" s="382">
        <v>2000</v>
      </c>
      <c r="C33" s="382">
        <v>2000</v>
      </c>
      <c r="D33" s="382">
        <v>2000</v>
      </c>
      <c r="E33" s="382">
        <v>2000</v>
      </c>
      <c r="F33" s="382"/>
      <c r="G33" s="382">
        <f t="shared" si="8"/>
        <v>2000</v>
      </c>
    </row>
    <row r="34" spans="1:7" ht="26.25" x14ac:dyDescent="0.4">
      <c r="A34" s="84" t="s">
        <v>328</v>
      </c>
      <c r="B34" s="382">
        <v>6000</v>
      </c>
      <c r="C34" s="382">
        <v>6000</v>
      </c>
      <c r="D34" s="382">
        <v>6000</v>
      </c>
      <c r="E34" s="382">
        <v>6000</v>
      </c>
      <c r="F34" s="382"/>
      <c r="G34" s="382">
        <f t="shared" si="8"/>
        <v>6000</v>
      </c>
    </row>
    <row r="35" spans="1:7" ht="26.25" x14ac:dyDescent="0.4">
      <c r="A35" s="84" t="s">
        <v>389</v>
      </c>
      <c r="B35" s="382">
        <v>2000</v>
      </c>
      <c r="C35" s="382">
        <v>2000</v>
      </c>
      <c r="D35" s="382">
        <v>2000</v>
      </c>
      <c r="E35" s="382">
        <v>2000</v>
      </c>
      <c r="F35" s="382"/>
      <c r="G35" s="382">
        <f t="shared" si="8"/>
        <v>2000</v>
      </c>
    </row>
    <row r="36" spans="1:7" ht="26.25" x14ac:dyDescent="0.4">
      <c r="A36" s="84" t="s">
        <v>125</v>
      </c>
      <c r="B36" s="382">
        <v>2000</v>
      </c>
      <c r="C36" s="382">
        <v>2000</v>
      </c>
      <c r="D36" s="382">
        <v>2000</v>
      </c>
      <c r="E36" s="382">
        <v>2000</v>
      </c>
      <c r="F36" s="382"/>
      <c r="G36" s="382">
        <f t="shared" si="8"/>
        <v>2000</v>
      </c>
    </row>
    <row r="37" spans="1:7" ht="26.25" x14ac:dyDescent="0.4">
      <c r="A37" s="84" t="s">
        <v>194</v>
      </c>
      <c r="B37" s="382">
        <v>1750</v>
      </c>
      <c r="C37" s="382">
        <v>1600</v>
      </c>
      <c r="D37" s="382">
        <v>1600</v>
      </c>
      <c r="E37" s="382">
        <v>1600</v>
      </c>
      <c r="F37" s="382"/>
      <c r="G37" s="382">
        <f t="shared" si="8"/>
        <v>1600</v>
      </c>
    </row>
    <row r="38" spans="1:7" ht="46.5" customHeight="1" x14ac:dyDescent="0.4">
      <c r="A38" s="86" t="s">
        <v>195</v>
      </c>
      <c r="B38" s="382">
        <v>3580</v>
      </c>
      <c r="C38" s="382">
        <v>3500</v>
      </c>
      <c r="D38" s="382">
        <v>3500</v>
      </c>
      <c r="E38" s="382">
        <v>3500</v>
      </c>
      <c r="F38" s="382"/>
      <c r="G38" s="382">
        <f t="shared" si="8"/>
        <v>3500</v>
      </c>
    </row>
    <row r="39" spans="1:7" ht="33.6" customHeight="1" x14ac:dyDescent="0.4">
      <c r="A39" s="73" t="s">
        <v>337</v>
      </c>
      <c r="B39" s="382">
        <v>1200</v>
      </c>
      <c r="C39" s="382">
        <v>1200</v>
      </c>
      <c r="D39" s="382">
        <v>1200</v>
      </c>
      <c r="E39" s="382">
        <v>1200</v>
      </c>
      <c r="F39" s="382"/>
      <c r="G39" s="382">
        <f t="shared" si="8"/>
        <v>1200</v>
      </c>
    </row>
    <row r="40" spans="1:7" ht="26.25" x14ac:dyDescent="0.4">
      <c r="A40" s="87" t="s">
        <v>341</v>
      </c>
      <c r="B40" s="382">
        <v>1500</v>
      </c>
      <c r="C40" s="382">
        <v>1500</v>
      </c>
      <c r="D40" s="382">
        <v>1500</v>
      </c>
      <c r="E40" s="382">
        <v>1500</v>
      </c>
      <c r="F40" s="382"/>
      <c r="G40" s="382">
        <f t="shared" si="8"/>
        <v>1500</v>
      </c>
    </row>
    <row r="41" spans="1:7" ht="26.25" x14ac:dyDescent="0.4">
      <c r="A41" s="74" t="s">
        <v>329</v>
      </c>
      <c r="B41" s="382">
        <v>1000</v>
      </c>
      <c r="C41" s="382">
        <v>1000</v>
      </c>
      <c r="D41" s="382">
        <v>1000</v>
      </c>
      <c r="E41" s="382">
        <v>1000</v>
      </c>
      <c r="F41" s="382"/>
      <c r="G41" s="382">
        <f t="shared" si="8"/>
        <v>1000</v>
      </c>
    </row>
    <row r="42" spans="1:7" ht="26.25" x14ac:dyDescent="0.4">
      <c r="A42" s="74" t="s">
        <v>458</v>
      </c>
      <c r="B42" s="382">
        <v>1000</v>
      </c>
      <c r="C42" s="382">
        <v>1000</v>
      </c>
      <c r="D42" s="382">
        <v>1000</v>
      </c>
      <c r="E42" s="382">
        <v>1000</v>
      </c>
      <c r="F42" s="382"/>
      <c r="G42" s="382">
        <f t="shared" si="8"/>
        <v>1000</v>
      </c>
    </row>
    <row r="43" spans="1:7" ht="26.25" x14ac:dyDescent="0.4">
      <c r="A43" s="74" t="s">
        <v>459</v>
      </c>
      <c r="B43" s="382">
        <v>1000</v>
      </c>
      <c r="C43" s="382">
        <v>1000</v>
      </c>
      <c r="D43" s="382">
        <v>1000</v>
      </c>
      <c r="E43" s="382">
        <v>1000</v>
      </c>
      <c r="F43" s="382"/>
      <c r="G43" s="382">
        <f t="shared" si="8"/>
        <v>1000</v>
      </c>
    </row>
    <row r="44" spans="1:7" ht="26.25" x14ac:dyDescent="0.4">
      <c r="A44" s="74" t="s">
        <v>608</v>
      </c>
      <c r="B44" s="382">
        <v>800</v>
      </c>
      <c r="C44" s="382"/>
      <c r="D44" s="382"/>
      <c r="E44" s="382"/>
      <c r="F44" s="382"/>
      <c r="G44" s="382"/>
    </row>
    <row r="45" spans="1:7" ht="26.25" x14ac:dyDescent="0.4">
      <c r="A45" s="74" t="s">
        <v>434</v>
      </c>
      <c r="B45" s="382">
        <v>1000</v>
      </c>
      <c r="C45" s="382">
        <v>1000</v>
      </c>
      <c r="D45" s="382">
        <v>1000</v>
      </c>
      <c r="E45" s="382">
        <v>1000</v>
      </c>
      <c r="F45" s="382"/>
      <c r="G45" s="382">
        <f t="shared" si="8"/>
        <v>1000</v>
      </c>
    </row>
    <row r="46" spans="1:7" ht="27" thickBot="1" x14ac:dyDescent="0.45">
      <c r="A46" s="90" t="s">
        <v>204</v>
      </c>
      <c r="B46" s="572"/>
      <c r="C46" s="572">
        <v>300</v>
      </c>
      <c r="D46" s="572">
        <v>300</v>
      </c>
      <c r="E46" s="572">
        <v>300</v>
      </c>
      <c r="F46" s="572"/>
      <c r="G46" s="572">
        <f t="shared" si="8"/>
        <v>300</v>
      </c>
    </row>
    <row r="47" spans="1:7" ht="27" thickBot="1" x14ac:dyDescent="0.45">
      <c r="A47" s="225" t="s">
        <v>479</v>
      </c>
      <c r="B47" s="549">
        <f t="shared" ref="B47:D47" si="9">SUM(B24:B46)</f>
        <v>57680</v>
      </c>
      <c r="C47" s="549">
        <f t="shared" si="9"/>
        <v>54950</v>
      </c>
      <c r="D47" s="549">
        <f t="shared" si="9"/>
        <v>54950</v>
      </c>
      <c r="E47" s="549">
        <f>SUM(E24:E46)</f>
        <v>54950</v>
      </c>
      <c r="F47" s="549">
        <f>SUM(F24:F46)</f>
        <v>0</v>
      </c>
      <c r="G47" s="549">
        <f>SUM(G24:G46)</f>
        <v>54950</v>
      </c>
    </row>
    <row r="48" spans="1:7" ht="27" thickBot="1" x14ac:dyDescent="0.45">
      <c r="A48" s="226" t="s">
        <v>480</v>
      </c>
      <c r="B48" s="410">
        <v>11050</v>
      </c>
      <c r="C48" s="410"/>
      <c r="D48" s="410"/>
      <c r="E48" s="410">
        <v>2050</v>
      </c>
      <c r="F48" s="410">
        <v>6000</v>
      </c>
      <c r="G48" s="410">
        <f>SUM(E48:F48)</f>
        <v>8050</v>
      </c>
    </row>
    <row r="49" spans="1:7" ht="37.5" customHeight="1" thickBot="1" x14ac:dyDescent="0.45">
      <c r="A49" s="227" t="s">
        <v>481</v>
      </c>
      <c r="B49" s="549">
        <f t="shared" ref="B49:D49" si="10">B47+B48</f>
        <v>68730</v>
      </c>
      <c r="C49" s="549">
        <f t="shared" si="10"/>
        <v>54950</v>
      </c>
      <c r="D49" s="549">
        <f t="shared" si="10"/>
        <v>54950</v>
      </c>
      <c r="E49" s="549">
        <f>E47+E48</f>
        <v>57000</v>
      </c>
      <c r="F49" s="549">
        <f>F47+F48</f>
        <v>6000</v>
      </c>
      <c r="G49" s="549">
        <f>G47+G48</f>
        <v>63000</v>
      </c>
    </row>
    <row r="50" spans="1:7" ht="27" thickBot="1" x14ac:dyDescent="0.45">
      <c r="A50" s="228" t="s">
        <v>482</v>
      </c>
      <c r="B50" s="394"/>
      <c r="C50" s="394"/>
      <c r="D50" s="394"/>
      <c r="E50" s="394">
        <v>0</v>
      </c>
      <c r="F50" s="394">
        <v>0</v>
      </c>
      <c r="G50" s="394">
        <f>SUM(E50:F50)</f>
        <v>0</v>
      </c>
    </row>
    <row r="51" spans="1:7" ht="26.25" x14ac:dyDescent="0.4">
      <c r="A51" s="229" t="s">
        <v>483</v>
      </c>
      <c r="B51" s="573"/>
      <c r="C51" s="573"/>
      <c r="D51" s="573"/>
      <c r="E51" s="573"/>
      <c r="F51" s="573"/>
      <c r="G51" s="573"/>
    </row>
    <row r="52" spans="1:7" ht="26.25" x14ac:dyDescent="0.4">
      <c r="A52" s="9" t="s">
        <v>411</v>
      </c>
      <c r="B52" s="382">
        <v>58130</v>
      </c>
      <c r="C52" s="382"/>
      <c r="D52" s="382"/>
      <c r="E52" s="382">
        <v>5534</v>
      </c>
      <c r="F52" s="382"/>
      <c r="G52" s="382">
        <f>SUM(E52:F52)</f>
        <v>5534</v>
      </c>
    </row>
    <row r="53" spans="1:7" ht="26.25" x14ac:dyDescent="0.4">
      <c r="A53" s="91" t="s">
        <v>442</v>
      </c>
      <c r="B53" s="382">
        <v>33780</v>
      </c>
      <c r="C53" s="382">
        <v>27000</v>
      </c>
      <c r="D53" s="382">
        <v>27000</v>
      </c>
      <c r="E53" s="382">
        <v>32251</v>
      </c>
      <c r="F53" s="382"/>
      <c r="G53" s="382">
        <f t="shared" ref="G53:G54" si="11">SUM(E53:F53)</f>
        <v>32251</v>
      </c>
    </row>
    <row r="54" spans="1:7" ht="26.25" x14ac:dyDescent="0.4">
      <c r="A54" s="91" t="s">
        <v>359</v>
      </c>
      <c r="B54" s="382">
        <v>28955</v>
      </c>
      <c r="C54" s="382">
        <v>7500</v>
      </c>
      <c r="D54" s="382">
        <v>7500</v>
      </c>
      <c r="E54" s="382">
        <v>10314</v>
      </c>
      <c r="F54" s="382"/>
      <c r="G54" s="382">
        <f t="shared" si="11"/>
        <v>10314</v>
      </c>
    </row>
    <row r="55" spans="1:7" ht="27" thickBot="1" x14ac:dyDescent="0.45">
      <c r="A55" s="230" t="s">
        <v>484</v>
      </c>
      <c r="B55" s="410">
        <f t="shared" ref="B55:D55" si="12">SUM(B52:B54)</f>
        <v>120865</v>
      </c>
      <c r="C55" s="410">
        <f t="shared" si="12"/>
        <v>34500</v>
      </c>
      <c r="D55" s="410">
        <f t="shared" si="12"/>
        <v>34500</v>
      </c>
      <c r="E55" s="410">
        <f>SUM(E52:E54)</f>
        <v>48099</v>
      </c>
      <c r="F55" s="410">
        <f>SUM(F52:F54)</f>
        <v>0</v>
      </c>
      <c r="G55" s="410">
        <f>SUM(G52:G54)</f>
        <v>48099</v>
      </c>
    </row>
    <row r="56" spans="1:7" ht="27" thickBot="1" x14ac:dyDescent="0.45">
      <c r="A56" s="88" t="s">
        <v>485</v>
      </c>
      <c r="B56" s="410">
        <f t="shared" ref="B56:D56" si="13">B50+B55</f>
        <v>120865</v>
      </c>
      <c r="C56" s="410">
        <f t="shared" si="13"/>
        <v>34500</v>
      </c>
      <c r="D56" s="410">
        <f t="shared" si="13"/>
        <v>34500</v>
      </c>
      <c r="E56" s="410">
        <f>E50+E55</f>
        <v>48099</v>
      </c>
      <c r="F56" s="410">
        <f>F50+F55</f>
        <v>0</v>
      </c>
      <c r="G56" s="410">
        <f>G50+G55</f>
        <v>48099</v>
      </c>
    </row>
    <row r="57" spans="1:7" ht="26.25" x14ac:dyDescent="0.4">
      <c r="A57" s="81" t="s">
        <v>486</v>
      </c>
      <c r="B57" s="574"/>
      <c r="C57" s="574"/>
      <c r="D57" s="574"/>
      <c r="E57" s="574"/>
      <c r="F57" s="574"/>
      <c r="G57" s="574"/>
    </row>
    <row r="58" spans="1:7" ht="26.25" x14ac:dyDescent="0.4">
      <c r="A58" s="89" t="s">
        <v>255</v>
      </c>
      <c r="B58" s="382">
        <v>1842</v>
      </c>
      <c r="C58" s="382">
        <v>2023</v>
      </c>
      <c r="D58" s="382">
        <v>2023</v>
      </c>
      <c r="E58" s="382">
        <v>2539</v>
      </c>
      <c r="F58" s="575"/>
      <c r="G58" s="382">
        <f>SUM(E58:F58)</f>
        <v>2539</v>
      </c>
    </row>
    <row r="59" spans="1:7" ht="26.25" x14ac:dyDescent="0.4">
      <c r="A59" s="89" t="s">
        <v>204</v>
      </c>
      <c r="B59" s="382">
        <v>300</v>
      </c>
      <c r="C59" s="382"/>
      <c r="D59" s="382"/>
      <c r="E59" s="382"/>
      <c r="F59" s="575"/>
      <c r="G59" s="382"/>
    </row>
    <row r="60" spans="1:7" ht="26.25" x14ac:dyDescent="0.4">
      <c r="A60" s="89" t="s">
        <v>609</v>
      </c>
      <c r="B60" s="382">
        <v>3000</v>
      </c>
      <c r="C60" s="382"/>
      <c r="D60" s="382"/>
      <c r="E60" s="382"/>
      <c r="F60" s="575"/>
      <c r="G60" s="382"/>
    </row>
    <row r="61" spans="1:7" ht="26.25" x14ac:dyDescent="0.4">
      <c r="A61" s="89" t="s">
        <v>358</v>
      </c>
      <c r="B61" s="575">
        <v>4703</v>
      </c>
      <c r="C61" s="575">
        <v>5000</v>
      </c>
      <c r="D61" s="575">
        <v>5000</v>
      </c>
      <c r="E61" s="575">
        <v>5834</v>
      </c>
      <c r="F61" s="575"/>
      <c r="G61" s="382">
        <f t="shared" ref="G61:G62" si="14">SUM(E61:F61)</f>
        <v>5834</v>
      </c>
    </row>
    <row r="62" spans="1:7" ht="27" thickBot="1" x14ac:dyDescent="0.45">
      <c r="A62" s="234" t="s">
        <v>435</v>
      </c>
      <c r="B62" s="391">
        <v>2646</v>
      </c>
      <c r="C62" s="391"/>
      <c r="D62" s="391"/>
      <c r="E62" s="391">
        <v>664</v>
      </c>
      <c r="F62" s="391"/>
      <c r="G62" s="382">
        <f t="shared" si="14"/>
        <v>664</v>
      </c>
    </row>
    <row r="63" spans="1:7" ht="27" thickBot="1" x14ac:dyDescent="0.45">
      <c r="A63" s="235" t="s">
        <v>500</v>
      </c>
      <c r="B63" s="394">
        <f t="shared" ref="B63:D63" si="15">SUM(B58:B62)</f>
        <v>12491</v>
      </c>
      <c r="C63" s="394">
        <f t="shared" si="15"/>
        <v>7023</v>
      </c>
      <c r="D63" s="394">
        <f t="shared" si="15"/>
        <v>7023</v>
      </c>
      <c r="E63" s="394">
        <f>SUM(E58:E62)</f>
        <v>9037</v>
      </c>
      <c r="F63" s="394">
        <f t="shared" ref="F63:G63" si="16">SUM(F58:F62)</f>
        <v>0</v>
      </c>
      <c r="G63" s="394">
        <f t="shared" si="16"/>
        <v>9037</v>
      </c>
    </row>
    <row r="64" spans="1:7" ht="27" thickBot="1" x14ac:dyDescent="0.45">
      <c r="A64" s="231" t="s">
        <v>487</v>
      </c>
      <c r="B64" s="549">
        <f t="shared" ref="B64:D64" si="17">B49+B56+B63</f>
        <v>202086</v>
      </c>
      <c r="C64" s="549">
        <f t="shared" si="17"/>
        <v>96473</v>
      </c>
      <c r="D64" s="549">
        <f t="shared" si="17"/>
        <v>96473</v>
      </c>
      <c r="E64" s="549">
        <f>E49+E56+E63</f>
        <v>114136</v>
      </c>
      <c r="F64" s="549">
        <f>F49+F56+F63</f>
        <v>6000</v>
      </c>
      <c r="G64" s="549">
        <f>G49+G56+G63</f>
        <v>120136</v>
      </c>
    </row>
    <row r="65" spans="1:7" ht="27" thickBot="1" x14ac:dyDescent="0.45">
      <c r="A65" s="232" t="s">
        <v>488</v>
      </c>
      <c r="B65" s="410">
        <f t="shared" ref="B65:D65" si="18">B21+B64</f>
        <v>3854333</v>
      </c>
      <c r="C65" s="410">
        <f t="shared" si="18"/>
        <v>3102126</v>
      </c>
      <c r="D65" s="410">
        <f t="shared" si="18"/>
        <v>3102126</v>
      </c>
      <c r="E65" s="410">
        <f>E21+E64</f>
        <v>3984739</v>
      </c>
      <c r="F65" s="410">
        <f>F21+F64</f>
        <v>-35837</v>
      </c>
      <c r="G65" s="410">
        <f>G21+G64</f>
        <v>3948902</v>
      </c>
    </row>
    <row r="66" spans="1:7" x14ac:dyDescent="0.35">
      <c r="A66" s="114"/>
      <c r="B66" s="22"/>
      <c r="C66" s="22"/>
      <c r="D66" s="22"/>
      <c r="E66" s="22"/>
      <c r="F66" s="22"/>
      <c r="G66" s="22"/>
    </row>
    <row r="68" spans="1:7" ht="19.5" thickBot="1" x14ac:dyDescent="0.35">
      <c r="A68" s="5" t="s">
        <v>80</v>
      </c>
      <c r="B68" s="17"/>
      <c r="C68" s="17"/>
      <c r="D68" s="17"/>
      <c r="E68" s="17"/>
      <c r="F68" s="17"/>
      <c r="G68" s="69"/>
    </row>
    <row r="69" spans="1:7" ht="15.75" x14ac:dyDescent="0.25">
      <c r="A69" s="76" t="s">
        <v>156</v>
      </c>
      <c r="B69" s="13" t="s">
        <v>577</v>
      </c>
      <c r="C69" s="13" t="s">
        <v>578</v>
      </c>
      <c r="D69" s="13" t="s">
        <v>554</v>
      </c>
      <c r="E69" s="13" t="s">
        <v>560</v>
      </c>
      <c r="F69" s="13" t="s">
        <v>553</v>
      </c>
      <c r="G69" s="13" t="s">
        <v>580</v>
      </c>
    </row>
    <row r="70" spans="1:7" ht="16.5" thickBot="1" x14ac:dyDescent="0.3">
      <c r="A70" s="77"/>
      <c r="B70" s="35"/>
      <c r="C70" s="35" t="s">
        <v>335</v>
      </c>
      <c r="D70" s="35" t="s">
        <v>348</v>
      </c>
      <c r="E70" s="35" t="s">
        <v>348</v>
      </c>
      <c r="F70" s="35" t="s">
        <v>552</v>
      </c>
      <c r="G70" s="35" t="s">
        <v>348</v>
      </c>
    </row>
    <row r="71" spans="1:7" ht="26.25" x14ac:dyDescent="0.4">
      <c r="A71" s="257" t="s">
        <v>99</v>
      </c>
      <c r="B71" s="385">
        <v>651</v>
      </c>
      <c r="C71" s="385"/>
      <c r="D71" s="385"/>
      <c r="E71" s="385">
        <v>1001</v>
      </c>
      <c r="F71" s="385"/>
      <c r="G71" s="385">
        <f>SUM(E71:F71)</f>
        <v>1001</v>
      </c>
    </row>
    <row r="72" spans="1:7" ht="26.25" x14ac:dyDescent="0.4">
      <c r="A72" s="259" t="s">
        <v>89</v>
      </c>
      <c r="B72" s="576">
        <v>72276</v>
      </c>
      <c r="C72" s="576"/>
      <c r="D72" s="576"/>
      <c r="E72" s="576">
        <v>2286</v>
      </c>
      <c r="F72" s="576">
        <v>7200</v>
      </c>
      <c r="G72" s="576">
        <f t="shared" ref="G72:G74" si="19">SUM(E72:F72)</f>
        <v>9486</v>
      </c>
    </row>
    <row r="73" spans="1:7" ht="26.25" x14ac:dyDescent="0.4">
      <c r="A73" s="260" t="s">
        <v>109</v>
      </c>
      <c r="B73" s="577">
        <v>17041</v>
      </c>
      <c r="C73" s="577"/>
      <c r="D73" s="577"/>
      <c r="E73" s="577">
        <v>12300</v>
      </c>
      <c r="F73" s="577"/>
      <c r="G73" s="576">
        <f t="shared" si="19"/>
        <v>12300</v>
      </c>
    </row>
    <row r="74" spans="1:7" ht="27" thickBot="1" x14ac:dyDescent="0.45">
      <c r="A74" s="258" t="s">
        <v>147</v>
      </c>
      <c r="B74" s="578">
        <v>11920</v>
      </c>
      <c r="C74" s="578"/>
      <c r="D74" s="578"/>
      <c r="E74" s="578">
        <v>46684</v>
      </c>
      <c r="F74" s="578"/>
      <c r="G74" s="579">
        <f t="shared" si="19"/>
        <v>46684</v>
      </c>
    </row>
    <row r="75" spans="1:7" ht="27" thickBot="1" x14ac:dyDescent="0.45">
      <c r="A75" s="92" t="s">
        <v>297</v>
      </c>
      <c r="B75" s="580">
        <f t="shared" ref="B75:D75" si="20">SUM(B71:B74)</f>
        <v>101888</v>
      </c>
      <c r="C75" s="580">
        <f t="shared" si="20"/>
        <v>0</v>
      </c>
      <c r="D75" s="580">
        <f t="shared" si="20"/>
        <v>0</v>
      </c>
      <c r="E75" s="580">
        <f>SUM(E71:E74)</f>
        <v>62271</v>
      </c>
      <c r="F75" s="580">
        <f t="shared" ref="F75:G75" si="21">SUM(F71:F74)</f>
        <v>7200</v>
      </c>
      <c r="G75" s="394">
        <f t="shared" si="21"/>
        <v>69471</v>
      </c>
    </row>
    <row r="76" spans="1:7" ht="27" thickBot="1" x14ac:dyDescent="0.45">
      <c r="A76" s="93"/>
      <c r="B76" s="581"/>
      <c r="C76" s="581"/>
      <c r="D76" s="581"/>
      <c r="E76" s="581"/>
      <c r="F76" s="553"/>
      <c r="G76" s="553"/>
    </row>
    <row r="77" spans="1:7" ht="27" thickBot="1" x14ac:dyDescent="0.45">
      <c r="A77" s="94" t="s">
        <v>279</v>
      </c>
      <c r="B77" s="536">
        <f t="shared" ref="B77:D77" si="22">B75+B65</f>
        <v>3956221</v>
      </c>
      <c r="C77" s="536">
        <f t="shared" si="22"/>
        <v>3102126</v>
      </c>
      <c r="D77" s="536">
        <f t="shared" si="22"/>
        <v>3102126</v>
      </c>
      <c r="E77" s="536">
        <f>E75+E65</f>
        <v>4047010</v>
      </c>
      <c r="F77" s="536">
        <f t="shared" ref="F77:G77" si="23">F75+F65</f>
        <v>-28637</v>
      </c>
      <c r="G77" s="536">
        <f t="shared" si="23"/>
        <v>4018373</v>
      </c>
    </row>
    <row r="78" spans="1:7" ht="21" customHeight="1" x14ac:dyDescent="0.4">
      <c r="B78" s="531"/>
      <c r="C78" s="531"/>
      <c r="D78" s="531"/>
      <c r="E78" s="531"/>
      <c r="F78" s="531"/>
      <c r="G78" s="531"/>
    </row>
    <row r="79" spans="1:7" ht="26.25" x14ac:dyDescent="0.4">
      <c r="A79" s="29" t="s">
        <v>72</v>
      </c>
      <c r="B79" s="566"/>
      <c r="C79" s="566"/>
      <c r="D79" s="566"/>
      <c r="E79" s="566"/>
      <c r="F79" s="566"/>
      <c r="G79" s="567"/>
    </row>
    <row r="80" spans="1:7" ht="26.25" x14ac:dyDescent="0.4">
      <c r="A80" s="29" t="s">
        <v>73</v>
      </c>
      <c r="B80" s="566"/>
      <c r="C80" s="566"/>
      <c r="D80" s="566"/>
      <c r="E80" s="566"/>
      <c r="F80" s="566"/>
      <c r="G80" s="566"/>
    </row>
    <row r="81" spans="2:7" ht="21" customHeight="1" x14ac:dyDescent="0.4">
      <c r="B81" s="531"/>
      <c r="C81" s="531"/>
      <c r="D81" s="531"/>
      <c r="E81" s="531"/>
      <c r="F81" s="531"/>
      <c r="G81" s="531"/>
    </row>
    <row r="82" spans="2:7" ht="21" customHeight="1" x14ac:dyDescent="0.4">
      <c r="B82" s="531"/>
      <c r="C82" s="531"/>
      <c r="D82" s="531"/>
      <c r="E82" s="531"/>
      <c r="F82" s="531"/>
      <c r="G82" s="531"/>
    </row>
  </sheetData>
  <customSheetViews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" right="0" top="0" bottom="0" header="0.19685039370078741" footer="0"/>
  <pageSetup paperSize="9" scale="46" orientation="portrait" r:id="rId3"/>
  <headerFooter alignWithMargins="0">
    <oddHeader xml:space="preserve">&amp;R&amp;"-,Félkövér"&amp;12 
9. melléklet a 20/2025. (IX.30.) önkormányzati rendelethe&amp;"Times New Roman CE,Félkövér"z
"9. melléklet a 4/2025. (II.28) önkormányzati rendelethez"
</oddHeader>
  </headerFooter>
  <rowBreaks count="1" manualBreakCount="1">
    <brk id="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25</vt:i4>
      </vt:variant>
    </vt:vector>
  </HeadingPairs>
  <TitlesOfParts>
    <vt:vector size="45" baseType="lpstr">
      <vt:lpstr>1 kiemelt ei. </vt:lpstr>
      <vt:lpstr>2 mérleg</vt:lpstr>
      <vt:lpstr>3 működési bevételek</vt:lpstr>
      <vt:lpstr>4 intézményi bevétel</vt:lpstr>
      <vt:lpstr>5 normatíva</vt:lpstr>
      <vt:lpstr>6 intézményi kiadás</vt:lpstr>
      <vt:lpstr>7 létszám 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'3 működési bevételek'!Nyomtatási_cím</vt:lpstr>
      <vt:lpstr>'5 normatíva'!Nyomtatási_cím</vt:lpstr>
      <vt:lpstr>'7 létszám '!Nyomtatási_cím</vt:lpstr>
      <vt:lpstr>'9 kultúra'!Nyomtatási_cím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intézményi bevétel'!Nyomtatási_terület</vt:lpstr>
      <vt:lpstr>'5 normatíva'!Nyomtatási_terület</vt:lpstr>
      <vt:lpstr>'6 intézményi kiadás'!Nyomtatási_terület</vt:lpstr>
      <vt:lpstr>'7 létszám 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Szalai Gergő dr.</cp:lastModifiedBy>
  <cp:lastPrinted>2025-09-30T12:11:39Z</cp:lastPrinted>
  <dcterms:created xsi:type="dcterms:W3CDTF">1998-01-10T07:52:54Z</dcterms:created>
  <dcterms:modified xsi:type="dcterms:W3CDTF">2025-09-30T12:12:05Z</dcterms:modified>
</cp:coreProperties>
</file>