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5\"/>
    </mc:Choice>
  </mc:AlternateContent>
  <xr:revisionPtr revIDLastSave="0" documentId="8_{EFCBF4E2-1ABB-450F-8553-AEF2E14C54E8}" xr6:coauthVersionLast="47" xr6:coauthVersionMax="47" xr10:uidLastSave="{00000000-0000-0000-0000-000000000000}"/>
  <bookViews>
    <workbookView xWindow="-120" yWindow="-120" windowWidth="29040" windowHeight="15720" tabRatio="696" firstSheet="17" activeTab="23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ézményi bevételek" sheetId="131" r:id="rId4"/>
    <sheet name="5 normatíva" sheetId="134" r:id="rId5"/>
    <sheet name="6 intézményi kiadások" sheetId="132" r:id="rId6"/>
    <sheet name="7 létszám" sheetId="133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  <sheet name="20 közvetett támogatás" sheetId="90" r:id="rId21"/>
    <sheet name="21 uniós bevételek" sheetId="91" r:id="rId22"/>
    <sheet name="21 uniós kiadások" sheetId="92" r:id="rId23"/>
    <sheet name="22 versenyképes járás pr" sheetId="129" r:id="rId24"/>
  </sheets>
  <externalReferences>
    <externalReference r:id="rId25"/>
    <externalReference r:id="rId26"/>
    <externalReference r:id="rId27"/>
  </externalReferences>
  <definedNames>
    <definedName name="_xlnm._FilterDatabase" localSheetId="17" hidden="1">'18 felhalm.kiadás'!$A$4:$F$5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>#REF!</definedName>
    <definedName name="css" localSheetId="4">#REF!</definedName>
    <definedName name="css">#REF!</definedName>
    <definedName name="css_k">[1]Családsegítés!$C$27:$C$86</definedName>
    <definedName name="css_k_" localSheetId="4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>#REF!</definedName>
    <definedName name="gyj_k">[1]Gyermekjóléti!$C$27:$C$86</definedName>
    <definedName name="gyj_k_" localSheetId="4">#REF!</definedName>
    <definedName name="gyj_k_">#REF!</definedName>
    <definedName name="h" localSheetId="4">#REF!</definedName>
    <definedName name="h">#REF!</definedName>
    <definedName name="kjz" localSheetId="4">#REF!</definedName>
    <definedName name="kjz">#REF!</definedName>
    <definedName name="kjz_k">[1]körjegyzőség!$C$9:$C$28</definedName>
    <definedName name="kjz_k_" localSheetId="4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>#REF!</definedName>
    <definedName name="nev_g" localSheetId="4">#REF!</definedName>
    <definedName name="nev_g">#REF!</definedName>
    <definedName name="nev_k" localSheetId="4">#REF!</definedName>
    <definedName name="nev_k">#REF!</definedName>
    <definedName name="nev_k1" localSheetId="4">#REF!</definedName>
    <definedName name="nev_k1">#REF!</definedName>
    <definedName name="normatíva">[2]Családsegítés!$C$27:$C$86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Titles" localSheetId="6">'7 létszám'!$1:$6</definedName>
    <definedName name="_xlnm.Print_Area" localSheetId="0">'1 kiemelt ei. '!$A$1:$N$20</definedName>
    <definedName name="_xlnm.Print_Area" localSheetId="9">'10 szociális'!$A$1:$D$45</definedName>
    <definedName name="_xlnm.Print_Area" localSheetId="10">'11 egészségügy'!$A$1:$D$34</definedName>
    <definedName name="_xlnm.Print_Area" localSheetId="11">'12 gyermek és ifj.véd.'!$A$1:$D$22</definedName>
    <definedName name="_xlnm.Print_Area" localSheetId="12">'13 egyéb'!$A$1:$D$113</definedName>
    <definedName name="_xlnm.Print_Area" localSheetId="13">'14 sport'!$A$1:$D$30</definedName>
    <definedName name="_xlnm.Print_Area" localSheetId="14">'15 város.ü.'!$A$1:$D$31</definedName>
    <definedName name="_xlnm.Print_Area" localSheetId="15">'16 út-híd'!$A$1:$D$36</definedName>
    <definedName name="_xlnm.Print_Area" localSheetId="16">'17 felhalm.bevétel '!$A$1:$E$34</definedName>
    <definedName name="_xlnm.Print_Area" localSheetId="17">'18 felhalm.kiadás'!$A$1:$G$75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mérleg'!$A$1:$K$62</definedName>
    <definedName name="_xlnm.Print_Area" localSheetId="23">'22 versenyképes járás pr'!$A$1:$B$13</definedName>
    <definedName name="_xlnm.Print_Area" localSheetId="2">'3 működési bevételek'!$A$1:$H$133</definedName>
    <definedName name="_xlnm.Print_Area" localSheetId="3">'4 intézményi bevételek'!$A$1:$O$48</definedName>
    <definedName name="_xlnm.Print_Area" localSheetId="4">'5 normatíva'!$A$1:$D$87</definedName>
    <definedName name="_xlnm.Print_Area" localSheetId="5">'6 intézményi kiadások'!$A$1:$N$49</definedName>
    <definedName name="_xlnm.Print_Area" localSheetId="6">'7 létszám'!$A$1:$G$48</definedName>
    <definedName name="_xlnm.Print_Area" localSheetId="7">'8 oktatás'!$A$1:$D$38</definedName>
    <definedName name="_xlnm.Print_Area" localSheetId="8">'9 kultúra'!$A$1:$D$79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>#REF!</definedName>
    <definedName name="Z_186732C5_520C_4E06_B066_B4F3F0A3E322_.wvu.PrintArea" localSheetId="9" hidden="1">'10 szociális'!$A$1:$A$36</definedName>
    <definedName name="Z_186732C5_520C_4E06_B066_B4F3F0A3E322_.wvu.PrintArea" localSheetId="10" hidden="1">'11 egészségügy'!$A$1:$A$22</definedName>
    <definedName name="Z_186732C5_520C_4E06_B066_B4F3F0A3E322_.wvu.PrintArea" localSheetId="11" hidden="1">'12 gyermek és ifj.véd.'!$A$1:$A$14</definedName>
    <definedName name="Z_186732C5_520C_4E06_B066_B4F3F0A3E322_.wvu.PrintArea" localSheetId="12" hidden="1">'13 egyéb'!$A$1:$A$102</definedName>
    <definedName name="Z_186732C5_520C_4E06_B066_B4F3F0A3E322_.wvu.PrintArea" localSheetId="13" hidden="1">'14 sport'!$A$1:$A$28</definedName>
    <definedName name="Z_186732C5_520C_4E06_B066_B4F3F0A3E322_.wvu.PrintArea" localSheetId="14" hidden="1">'15 város.ü.'!$A$1:$A$21</definedName>
    <definedName name="Z_186732C5_520C_4E06_B066_B4F3F0A3E322_.wvu.PrintArea" localSheetId="15" hidden="1">'16 út-híd'!$A$1:$A$34</definedName>
    <definedName name="Z_186732C5_520C_4E06_B066_B4F3F0A3E322_.wvu.PrintArea" localSheetId="16" hidden="1">'17 felhalm.bevétel '!$A$1:$B$35</definedName>
    <definedName name="Z_186732C5_520C_4E06_B066_B4F3F0A3E322_.wvu.PrintArea" localSheetId="17" hidden="1">'18 felhalm.kiadás'!$A$1:$B$75</definedName>
    <definedName name="Z_186732C5_520C_4E06_B066_B4F3F0A3E322_.wvu.PrintArea" localSheetId="1" hidden="1">'2 mérleg'!$A$2:$H$62</definedName>
    <definedName name="Z_186732C5_520C_4E06_B066_B4F3F0A3E322_.wvu.PrintArea" localSheetId="21" hidden="1">'21 uniós bevételek'!#REF!</definedName>
    <definedName name="Z_186732C5_520C_4E06_B066_B4F3F0A3E322_.wvu.PrintArea" localSheetId="22" hidden="1">'21 uniós kiadások'!$A$1:$B$3</definedName>
    <definedName name="Z_186732C5_520C_4E06_B066_B4F3F0A3E322_.wvu.PrintArea" localSheetId="23" hidden="1">'22 versenyképes járás pr'!$A$1:$A$3</definedName>
    <definedName name="Z_186732C5_520C_4E06_B066_B4F3F0A3E322_.wvu.PrintArea" localSheetId="2" hidden="1">'3 működési bevételek'!$A$1:$E$132</definedName>
    <definedName name="Z_186732C5_520C_4E06_B066_B4F3F0A3E322_.wvu.PrintArea" localSheetId="7" hidden="1">'8 oktatás'!$A$1:$A$26</definedName>
    <definedName name="Z_186732C5_520C_4E06_B066_B4F3F0A3E322_.wvu.PrintArea" localSheetId="8" hidden="1">'9 kultúra'!$A$1:$A$61</definedName>
    <definedName name="Z_6D4B996F_8915_4E78_98C2_E7EAE9C4580C_.wvu.PrintArea" localSheetId="9" hidden="1">'10 szociális'!$A$1:$A$36</definedName>
    <definedName name="Z_6D4B996F_8915_4E78_98C2_E7EAE9C4580C_.wvu.PrintArea" localSheetId="10" hidden="1">'11 egészségügy'!$A$1:$A$22</definedName>
    <definedName name="Z_6D4B996F_8915_4E78_98C2_E7EAE9C4580C_.wvu.PrintArea" localSheetId="11" hidden="1">'12 gyermek és ifj.véd.'!$A$1:$A$14</definedName>
    <definedName name="Z_6D4B996F_8915_4E78_98C2_E7EAE9C4580C_.wvu.PrintArea" localSheetId="12" hidden="1">'13 egyéb'!$A$1:$A$102</definedName>
    <definedName name="Z_6D4B996F_8915_4E78_98C2_E7EAE9C4580C_.wvu.PrintArea" localSheetId="13" hidden="1">'14 sport'!$A$1:$A$28</definedName>
    <definedName name="Z_6D4B996F_8915_4E78_98C2_E7EAE9C4580C_.wvu.PrintArea" localSheetId="14" hidden="1">'15 város.ü.'!$A$1:$A$21</definedName>
    <definedName name="Z_6D4B996F_8915_4E78_98C2_E7EAE9C4580C_.wvu.PrintArea" localSheetId="15" hidden="1">'16 út-híd'!$A$1:$A$34</definedName>
    <definedName name="Z_6D4B996F_8915_4E78_98C2_E7EAE9C4580C_.wvu.PrintArea" localSheetId="16" hidden="1">'17 felhalm.bevétel '!$A$1:$B$35</definedName>
    <definedName name="Z_6D4B996F_8915_4E78_98C2_E7EAE9C4580C_.wvu.PrintArea" localSheetId="17" hidden="1">'18 felhalm.kiadás'!$A$1:$B$75</definedName>
    <definedName name="Z_6D4B996F_8915_4E78_98C2_E7EAE9C4580C_.wvu.PrintArea" localSheetId="1" hidden="1">'2 mérleg'!$A$2:$H$62</definedName>
    <definedName name="Z_6D4B996F_8915_4E78_98C2_E7EAE9C4580C_.wvu.PrintArea" localSheetId="21" hidden="1">'21 uniós bevételek'!#REF!</definedName>
    <definedName name="Z_6D4B996F_8915_4E78_98C2_E7EAE9C4580C_.wvu.PrintArea" localSheetId="22" hidden="1">'21 uniós kiadások'!$A$1:$B$3</definedName>
    <definedName name="Z_6D4B996F_8915_4E78_98C2_E7EAE9C4580C_.wvu.PrintArea" localSheetId="23" hidden="1">'22 versenyképes járás pr'!$A$1:$A$3</definedName>
    <definedName name="Z_6D4B996F_8915_4E78_98C2_E7EAE9C4580C_.wvu.PrintArea" localSheetId="2" hidden="1">'3 működési bevételek'!$A$1:$E$132</definedName>
    <definedName name="Z_6D4B996F_8915_4E78_98C2_E7EAE9C4580C_.wvu.PrintArea" localSheetId="7" hidden="1">'8 oktatás'!$A$1:$A$26</definedName>
    <definedName name="Z_6D4B996F_8915_4E78_98C2_E7EAE9C4580C_.wvu.PrintArea" localSheetId="8" hidden="1">'9 kultúra'!$A$1:$A$61</definedName>
    <definedName name="Z_F05CDCE5_D631_41F9_80C7_3F3E8464BF12_.wvu.PrintArea" localSheetId="6" hidden="1">'7 létszám'!$A$1:$E$47</definedName>
    <definedName name="Z_F05CDCE5_D631_41F9_80C7_3F3E8464BF12_.wvu.PrintTitles" localSheetId="6" hidden="1">'7 létszám'!$1:$6</definedName>
  </definedNames>
  <calcPr calcId="191029"/>
  <customWorkbookViews>
    <customWorkbookView name="Tóth László - Egyéni látvány" guid="{6D4B996F-8915-4E78-98C2-E7EAE9C4580C}" mergeInterval="0" personalView="1" maximized="1" windowWidth="1020" windowHeight="597" tabRatio="738" activeSheetId="8"/>
    <customWorkbookView name="Szakács Eszter - Egyéni látvány" guid="{186732C5-520C-4E06-B066-B4F3F0A3E322}" mergeInterval="0" personalView="1" maximized="1" windowWidth="1020" windowHeight="594" tabRatio="738" activeSheetId="2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34" l="1"/>
  <c r="D85" i="134"/>
  <c r="C79" i="134"/>
  <c r="C80" i="134" s="1"/>
  <c r="C81" i="134" s="1"/>
  <c r="B79" i="134"/>
  <c r="B80" i="134" s="1"/>
  <c r="B81" i="134" s="1"/>
  <c r="D78" i="134"/>
  <c r="D77" i="134"/>
  <c r="D76" i="134"/>
  <c r="D75" i="134"/>
  <c r="D79" i="134" s="1"/>
  <c r="D80" i="134" s="1"/>
  <c r="D81" i="134" s="1"/>
  <c r="C72" i="134"/>
  <c r="B72" i="134"/>
  <c r="D71" i="134"/>
  <c r="D70" i="134"/>
  <c r="D72" i="134" s="1"/>
  <c r="C68" i="134"/>
  <c r="B68" i="134"/>
  <c r="D67" i="134"/>
  <c r="D66" i="134"/>
  <c r="D65" i="134"/>
  <c r="C61" i="134"/>
  <c r="B61" i="134"/>
  <c r="D60" i="134"/>
  <c r="D59" i="134"/>
  <c r="C57" i="134"/>
  <c r="B57" i="134"/>
  <c r="D56" i="134"/>
  <c r="D55" i="134"/>
  <c r="D54" i="134"/>
  <c r="C51" i="134"/>
  <c r="B51" i="134"/>
  <c r="D50" i="134"/>
  <c r="D49" i="134"/>
  <c r="D48" i="134"/>
  <c r="D47" i="134"/>
  <c r="D46" i="134"/>
  <c r="D45" i="134"/>
  <c r="D44" i="134"/>
  <c r="D43" i="134"/>
  <c r="C40" i="134"/>
  <c r="D39" i="134"/>
  <c r="D38" i="134"/>
  <c r="D37" i="134"/>
  <c r="D34" i="134"/>
  <c r="D31" i="134"/>
  <c r="D30" i="134"/>
  <c r="B29" i="134"/>
  <c r="D29" i="134" s="1"/>
  <c r="D28" i="134"/>
  <c r="D26" i="134"/>
  <c r="D25" i="134"/>
  <c r="B24" i="134"/>
  <c r="D24" i="134" s="1"/>
  <c r="D23" i="134"/>
  <c r="D19" i="134"/>
  <c r="D18" i="134"/>
  <c r="D17" i="134"/>
  <c r="C14" i="134"/>
  <c r="B14" i="134"/>
  <c r="D13" i="134"/>
  <c r="D12" i="134"/>
  <c r="D11" i="134"/>
  <c r="D10" i="134"/>
  <c r="D9" i="134"/>
  <c r="D8" i="134"/>
  <c r="D7" i="134"/>
  <c r="D6" i="134"/>
  <c r="D61" i="134" l="1"/>
  <c r="B62" i="134"/>
  <c r="D68" i="134"/>
  <c r="D51" i="134"/>
  <c r="D40" i="134"/>
  <c r="D14" i="134"/>
  <c r="B40" i="134"/>
  <c r="B73" i="134" s="1"/>
  <c r="D57" i="134"/>
  <c r="C62" i="134"/>
  <c r="C73" i="134" s="1"/>
  <c r="D62" i="134" l="1"/>
  <c r="D73" i="134" s="1"/>
  <c r="C87" i="134"/>
  <c r="C82" i="134"/>
  <c r="B87" i="134"/>
  <c r="B82" i="134"/>
  <c r="D82" i="134" l="1"/>
  <c r="D87" i="134"/>
  <c r="E44" i="133"/>
  <c r="D44" i="133"/>
  <c r="C44" i="133"/>
  <c r="G44" i="133" s="1"/>
  <c r="B44" i="133"/>
  <c r="E43" i="133"/>
  <c r="D43" i="133"/>
  <c r="C43" i="133"/>
  <c r="B43" i="133"/>
  <c r="E41" i="133"/>
  <c r="D41" i="133"/>
  <c r="C41" i="133"/>
  <c r="B41" i="133"/>
  <c r="E39" i="133"/>
  <c r="D39" i="133"/>
  <c r="C39" i="133"/>
  <c r="B39" i="133"/>
  <c r="E37" i="133"/>
  <c r="D37" i="133"/>
  <c r="C37" i="133"/>
  <c r="G37" i="133" s="1"/>
  <c r="B37" i="133"/>
  <c r="E34" i="133"/>
  <c r="D34" i="133"/>
  <c r="C34" i="133"/>
  <c r="B34" i="133"/>
  <c r="E33" i="133"/>
  <c r="D33" i="133"/>
  <c r="C33" i="133"/>
  <c r="G33" i="133" s="1"/>
  <c r="B33" i="133"/>
  <c r="E32" i="133"/>
  <c r="D32" i="133"/>
  <c r="C32" i="133"/>
  <c r="B32" i="133"/>
  <c r="E31" i="133"/>
  <c r="D31" i="133"/>
  <c r="C31" i="133"/>
  <c r="B31" i="133"/>
  <c r="E27" i="133"/>
  <c r="D27" i="133"/>
  <c r="C27" i="133"/>
  <c r="B27" i="133"/>
  <c r="E25" i="133"/>
  <c r="D25" i="133"/>
  <c r="C25" i="133"/>
  <c r="G25" i="133" s="1"/>
  <c r="B25" i="133"/>
  <c r="E24" i="133"/>
  <c r="D24" i="133"/>
  <c r="C24" i="133"/>
  <c r="B24" i="133"/>
  <c r="E23" i="133"/>
  <c r="D23" i="133"/>
  <c r="C23" i="133"/>
  <c r="G23" i="133" s="1"/>
  <c r="B23" i="133"/>
  <c r="E22" i="133"/>
  <c r="D22" i="133"/>
  <c r="C22" i="133"/>
  <c r="B22" i="133"/>
  <c r="E21" i="133"/>
  <c r="D21" i="133"/>
  <c r="C21" i="133"/>
  <c r="G21" i="133" s="1"/>
  <c r="B21" i="133"/>
  <c r="E20" i="133"/>
  <c r="D20" i="133"/>
  <c r="C20" i="133"/>
  <c r="B20" i="133"/>
  <c r="E19" i="133"/>
  <c r="D19" i="133"/>
  <c r="C19" i="133"/>
  <c r="G19" i="133" s="1"/>
  <c r="B19" i="133"/>
  <c r="E18" i="133"/>
  <c r="D18" i="133"/>
  <c r="C18" i="133"/>
  <c r="B18" i="133"/>
  <c r="E17" i="133"/>
  <c r="D17" i="133"/>
  <c r="C17" i="133"/>
  <c r="G17" i="133" s="1"/>
  <c r="B17" i="133"/>
  <c r="E16" i="133"/>
  <c r="D16" i="133"/>
  <c r="C16" i="133"/>
  <c r="B16" i="133"/>
  <c r="E15" i="133"/>
  <c r="D15" i="133"/>
  <c r="C15" i="133"/>
  <c r="G15" i="133" s="1"/>
  <c r="B15" i="133"/>
  <c r="E14" i="133"/>
  <c r="D14" i="133"/>
  <c r="C14" i="133"/>
  <c r="B14" i="133"/>
  <c r="E13" i="133"/>
  <c r="D13" i="133"/>
  <c r="C13" i="133"/>
  <c r="G13" i="133" s="1"/>
  <c r="B13" i="133"/>
  <c r="E12" i="133"/>
  <c r="D12" i="133"/>
  <c r="C12" i="133"/>
  <c r="B12" i="133"/>
  <c r="E11" i="133"/>
  <c r="D11" i="133"/>
  <c r="C11" i="133"/>
  <c r="G11" i="133" s="1"/>
  <c r="B11" i="133"/>
  <c r="E10" i="133"/>
  <c r="D10" i="133"/>
  <c r="C10" i="133"/>
  <c r="B10" i="133"/>
  <c r="E9" i="133"/>
  <c r="D9" i="133"/>
  <c r="C9" i="133"/>
  <c r="G9" i="133" s="1"/>
  <c r="B9" i="133"/>
  <c r="E8" i="133"/>
  <c r="D8" i="133"/>
  <c r="D26" i="133" s="1"/>
  <c r="D28" i="133" s="1"/>
  <c r="C8" i="133"/>
  <c r="B8" i="133"/>
  <c r="K46" i="132"/>
  <c r="J46" i="132"/>
  <c r="I46" i="132"/>
  <c r="F46" i="132"/>
  <c r="E46" i="132"/>
  <c r="D46" i="132"/>
  <c r="C46" i="132"/>
  <c r="B46" i="132"/>
  <c r="L45" i="132"/>
  <c r="G45" i="132"/>
  <c r="M45" i="132" s="1"/>
  <c r="L44" i="132"/>
  <c r="L46" i="132" s="1"/>
  <c r="G44" i="132"/>
  <c r="L42" i="132"/>
  <c r="G42" i="132"/>
  <c r="M42" i="132" s="1"/>
  <c r="L40" i="132"/>
  <c r="G40" i="132"/>
  <c r="L38" i="132"/>
  <c r="G38" i="132"/>
  <c r="K36" i="132"/>
  <c r="K47" i="132" s="1"/>
  <c r="J36" i="132"/>
  <c r="I36" i="132"/>
  <c r="I47" i="132" s="1"/>
  <c r="F36" i="132"/>
  <c r="F47" i="132" s="1"/>
  <c r="E36" i="132"/>
  <c r="D36" i="132"/>
  <c r="C36" i="132"/>
  <c r="B36" i="132"/>
  <c r="B47" i="132" s="1"/>
  <c r="L35" i="132"/>
  <c r="G35" i="132"/>
  <c r="L34" i="132"/>
  <c r="G34" i="132"/>
  <c r="L33" i="132"/>
  <c r="G33" i="132"/>
  <c r="L32" i="132"/>
  <c r="G32" i="132"/>
  <c r="L28" i="132"/>
  <c r="G28" i="132"/>
  <c r="K27" i="132"/>
  <c r="K29" i="132" s="1"/>
  <c r="J27" i="132"/>
  <c r="J29" i="132" s="1"/>
  <c r="I27" i="132"/>
  <c r="I29" i="132" s="1"/>
  <c r="F27" i="132"/>
  <c r="F29" i="132" s="1"/>
  <c r="E27" i="132"/>
  <c r="E29" i="132" s="1"/>
  <c r="D27" i="132"/>
  <c r="D29" i="132" s="1"/>
  <c r="C27" i="132"/>
  <c r="C29" i="132" s="1"/>
  <c r="B27" i="132"/>
  <c r="B29" i="132" s="1"/>
  <c r="B48" i="132" s="1"/>
  <c r="L26" i="132"/>
  <c r="G26" i="132"/>
  <c r="M26" i="132" s="1"/>
  <c r="M25" i="132"/>
  <c r="L25" i="132"/>
  <c r="G25" i="132"/>
  <c r="L24" i="132"/>
  <c r="G24" i="132"/>
  <c r="L23" i="132"/>
  <c r="G23" i="132"/>
  <c r="M23" i="132" s="1"/>
  <c r="L22" i="132"/>
  <c r="G22" i="132"/>
  <c r="L21" i="132"/>
  <c r="G21" i="132"/>
  <c r="M21" i="132" s="1"/>
  <c r="L20" i="132"/>
  <c r="G20" i="132"/>
  <c r="L19" i="132"/>
  <c r="G19" i="132"/>
  <c r="M19" i="132" s="1"/>
  <c r="L18" i="132"/>
  <c r="G18" i="132"/>
  <c r="L17" i="132"/>
  <c r="G17" i="132"/>
  <c r="M17" i="132" s="1"/>
  <c r="L16" i="132"/>
  <c r="G16" i="132"/>
  <c r="M16" i="132" s="1"/>
  <c r="L15" i="132"/>
  <c r="G15" i="132"/>
  <c r="L14" i="132"/>
  <c r="G14" i="132"/>
  <c r="L13" i="132"/>
  <c r="G13" i="132"/>
  <c r="M13" i="132" s="1"/>
  <c r="L12" i="132"/>
  <c r="G12" i="132"/>
  <c r="M12" i="132" s="1"/>
  <c r="L11" i="132"/>
  <c r="G11" i="132"/>
  <c r="L10" i="132"/>
  <c r="G10" i="132"/>
  <c r="L9" i="132"/>
  <c r="G9" i="132"/>
  <c r="M9" i="132" s="1"/>
  <c r="M47" i="131"/>
  <c r="M46" i="131"/>
  <c r="L46" i="131"/>
  <c r="J46" i="131"/>
  <c r="I46" i="131"/>
  <c r="I47" i="131" s="1"/>
  <c r="H46" i="131"/>
  <c r="E46" i="131"/>
  <c r="D46" i="131"/>
  <c r="C46" i="131"/>
  <c r="B46" i="131"/>
  <c r="N45" i="131"/>
  <c r="K45" i="131"/>
  <c r="F45" i="131"/>
  <c r="O45" i="131" s="1"/>
  <c r="O44" i="131"/>
  <c r="N44" i="131"/>
  <c r="N46" i="131" s="1"/>
  <c r="K44" i="131"/>
  <c r="F44" i="131"/>
  <c r="N42" i="131"/>
  <c r="K42" i="131"/>
  <c r="F42" i="131"/>
  <c r="O42" i="131" s="1"/>
  <c r="O40" i="131"/>
  <c r="N40" i="131"/>
  <c r="K40" i="131"/>
  <c r="F40" i="131"/>
  <c r="N38" i="131"/>
  <c r="K38" i="131"/>
  <c r="F38" i="131"/>
  <c r="O38" i="131" s="1"/>
  <c r="M36" i="131"/>
  <c r="L36" i="131"/>
  <c r="L47" i="131" s="1"/>
  <c r="J36" i="131"/>
  <c r="J47" i="131" s="1"/>
  <c r="I36" i="131"/>
  <c r="H36" i="131"/>
  <c r="E36" i="131"/>
  <c r="E47" i="131" s="1"/>
  <c r="D36" i="131"/>
  <c r="D47" i="131" s="1"/>
  <c r="C36" i="131"/>
  <c r="C47" i="131" s="1"/>
  <c r="B36" i="131"/>
  <c r="B47" i="131" s="1"/>
  <c r="N35" i="131"/>
  <c r="K35" i="131"/>
  <c r="F35" i="131"/>
  <c r="N34" i="131"/>
  <c r="K34" i="131"/>
  <c r="F34" i="131"/>
  <c r="O34" i="131" s="1"/>
  <c r="N33" i="131"/>
  <c r="K33" i="131"/>
  <c r="F33" i="131"/>
  <c r="N32" i="131"/>
  <c r="K32" i="131"/>
  <c r="K36" i="131" s="1"/>
  <c r="F32" i="131"/>
  <c r="L29" i="131"/>
  <c r="L48" i="131" s="1"/>
  <c r="H29" i="131"/>
  <c r="C29" i="131"/>
  <c r="C48" i="131" s="1"/>
  <c r="N28" i="131"/>
  <c r="K28" i="131"/>
  <c r="F28" i="131"/>
  <c r="O28" i="131" s="1"/>
  <c r="M27" i="131"/>
  <c r="M29" i="131" s="1"/>
  <c r="L27" i="131"/>
  <c r="J27" i="131"/>
  <c r="J29" i="131" s="1"/>
  <c r="J48" i="131" s="1"/>
  <c r="I27" i="131"/>
  <c r="I29" i="131" s="1"/>
  <c r="H27" i="131"/>
  <c r="E27" i="131"/>
  <c r="E29" i="131" s="1"/>
  <c r="D27" i="131"/>
  <c r="D29" i="131" s="1"/>
  <c r="C27" i="131"/>
  <c r="B27" i="131"/>
  <c r="B29" i="131" s="1"/>
  <c r="B48" i="131" s="1"/>
  <c r="N26" i="131"/>
  <c r="K26" i="131"/>
  <c r="F26" i="131"/>
  <c r="O26" i="131" s="1"/>
  <c r="N25" i="131"/>
  <c r="K25" i="131"/>
  <c r="F25" i="131"/>
  <c r="N24" i="131"/>
  <c r="K24" i="131"/>
  <c r="F24" i="131"/>
  <c r="N23" i="131"/>
  <c r="K23" i="131"/>
  <c r="F23" i="131"/>
  <c r="N22" i="131"/>
  <c r="K22" i="131"/>
  <c r="F22" i="131"/>
  <c r="O22" i="131" s="1"/>
  <c r="N21" i="131"/>
  <c r="K21" i="131"/>
  <c r="F21" i="131"/>
  <c r="O21" i="131" s="1"/>
  <c r="N20" i="131"/>
  <c r="K20" i="131"/>
  <c r="F20" i="131"/>
  <c r="N19" i="131"/>
  <c r="K19" i="131"/>
  <c r="F19" i="131"/>
  <c r="N18" i="131"/>
  <c r="K18" i="131"/>
  <c r="F18" i="131"/>
  <c r="O18" i="131" s="1"/>
  <c r="N17" i="131"/>
  <c r="K17" i="131"/>
  <c r="F17" i="131"/>
  <c r="N16" i="131"/>
  <c r="K16" i="131"/>
  <c r="F16" i="131"/>
  <c r="N15" i="131"/>
  <c r="K15" i="131"/>
  <c r="F15" i="131"/>
  <c r="N14" i="131"/>
  <c r="K14" i="131"/>
  <c r="F14" i="131"/>
  <c r="O14" i="131" s="1"/>
  <c r="N13" i="131"/>
  <c r="K13" i="131"/>
  <c r="F13" i="131"/>
  <c r="O13" i="131" s="1"/>
  <c r="N12" i="131"/>
  <c r="K12" i="131"/>
  <c r="F12" i="131"/>
  <c r="N11" i="131"/>
  <c r="K11" i="131"/>
  <c r="F11" i="131"/>
  <c r="N10" i="131"/>
  <c r="K10" i="131"/>
  <c r="F10" i="131"/>
  <c r="O10" i="131" s="1"/>
  <c r="N9" i="131"/>
  <c r="K9" i="131"/>
  <c r="F9" i="131"/>
  <c r="B26" i="133" l="1"/>
  <c r="B28" i="133" s="1"/>
  <c r="E45" i="133"/>
  <c r="E26" i="133"/>
  <c r="E28" i="133" s="1"/>
  <c r="G41" i="133"/>
  <c r="C26" i="133"/>
  <c r="C28" i="133" s="1"/>
  <c r="K47" i="131"/>
  <c r="O16" i="131"/>
  <c r="O24" i="131"/>
  <c r="O32" i="131"/>
  <c r="O36" i="131" s="1"/>
  <c r="O47" i="131" s="1"/>
  <c r="H47" i="131"/>
  <c r="M20" i="132"/>
  <c r="M28" i="132"/>
  <c r="M35" i="132"/>
  <c r="M44" i="132"/>
  <c r="M46" i="132" s="1"/>
  <c r="B35" i="133"/>
  <c r="H48" i="131"/>
  <c r="O11" i="131"/>
  <c r="O19" i="131"/>
  <c r="M48" i="131"/>
  <c r="O35" i="131"/>
  <c r="C35" i="133"/>
  <c r="N36" i="131"/>
  <c r="N47" i="131" s="1"/>
  <c r="F46" i="131"/>
  <c r="M10" i="132"/>
  <c r="M24" i="132"/>
  <c r="D35" i="133"/>
  <c r="F27" i="131"/>
  <c r="F29" i="131" s="1"/>
  <c r="O17" i="131"/>
  <c r="O25" i="131"/>
  <c r="D48" i="131"/>
  <c r="O33" i="131"/>
  <c r="K46" i="131"/>
  <c r="M14" i="132"/>
  <c r="L36" i="132"/>
  <c r="L47" i="132" s="1"/>
  <c r="C47" i="132"/>
  <c r="M38" i="132"/>
  <c r="E35" i="133"/>
  <c r="I48" i="131"/>
  <c r="K27" i="131"/>
  <c r="K29" i="131" s="1"/>
  <c r="O12" i="131"/>
  <c r="O20" i="131"/>
  <c r="M11" i="132"/>
  <c r="M18" i="132"/>
  <c r="F48" i="132"/>
  <c r="M33" i="132"/>
  <c r="M36" i="132" s="1"/>
  <c r="M40" i="132"/>
  <c r="B45" i="133"/>
  <c r="N27" i="131"/>
  <c r="N29" i="131" s="1"/>
  <c r="O15" i="131"/>
  <c r="O23" i="131"/>
  <c r="O46" i="131"/>
  <c r="M15" i="132"/>
  <c r="M22" i="132"/>
  <c r="M27" i="132" s="1"/>
  <c r="M29" i="132" s="1"/>
  <c r="E47" i="132"/>
  <c r="G10" i="133"/>
  <c r="G12" i="133"/>
  <c r="G14" i="133"/>
  <c r="G16" i="133"/>
  <c r="G18" i="133"/>
  <c r="G20" i="133"/>
  <c r="G22" i="133"/>
  <c r="G24" i="133"/>
  <c r="G27" i="133"/>
  <c r="G32" i="133"/>
  <c r="G34" i="133"/>
  <c r="G39" i="133"/>
  <c r="C45" i="133"/>
  <c r="C46" i="133" s="1"/>
  <c r="C47" i="133" s="1"/>
  <c r="D45" i="133"/>
  <c r="F9" i="133"/>
  <c r="F10" i="133"/>
  <c r="F11" i="133"/>
  <c r="F12" i="133"/>
  <c r="F13" i="133"/>
  <c r="F14" i="133"/>
  <c r="F15" i="133"/>
  <c r="F16" i="133"/>
  <c r="F17" i="133"/>
  <c r="F18" i="133"/>
  <c r="F19" i="133"/>
  <c r="F20" i="133"/>
  <c r="F21" i="133"/>
  <c r="F22" i="133"/>
  <c r="F23" i="133"/>
  <c r="F24" i="133"/>
  <c r="F25" i="133"/>
  <c r="F27" i="133"/>
  <c r="F32" i="133"/>
  <c r="F33" i="133"/>
  <c r="F34" i="133"/>
  <c r="F37" i="133"/>
  <c r="F39" i="133"/>
  <c r="F41" i="133"/>
  <c r="F44" i="133"/>
  <c r="C48" i="132"/>
  <c r="I48" i="132"/>
  <c r="D47" i="132"/>
  <c r="D48" i="132" s="1"/>
  <c r="J47" i="132"/>
  <c r="J48" i="132" s="1"/>
  <c r="G27" i="132"/>
  <c r="G29" i="132" s="1"/>
  <c r="L27" i="132"/>
  <c r="L29" i="132" s="1"/>
  <c r="L48" i="132" s="1"/>
  <c r="M32" i="132"/>
  <c r="M34" i="132"/>
  <c r="F31" i="133"/>
  <c r="G43" i="133"/>
  <c r="G45" i="133" s="1"/>
  <c r="F8" i="133"/>
  <c r="F43" i="133"/>
  <c r="G31" i="133"/>
  <c r="G35" i="133" s="1"/>
  <c r="G46" i="133" s="1"/>
  <c r="G8" i="133"/>
  <c r="G26" i="133" s="1"/>
  <c r="G28" i="133" s="1"/>
  <c r="E48" i="132"/>
  <c r="K48" i="132"/>
  <c r="G36" i="132"/>
  <c r="G46" i="132"/>
  <c r="K48" i="131"/>
  <c r="E48" i="131"/>
  <c r="O9" i="131"/>
  <c r="F36" i="131"/>
  <c r="F47" i="131" s="1"/>
  <c r="C7" i="64"/>
  <c r="C7" i="63"/>
  <c r="H29" i="52"/>
  <c r="G30" i="52"/>
  <c r="K20" i="2"/>
  <c r="B46" i="133" l="1"/>
  <c r="B47" i="133" s="1"/>
  <c r="E46" i="133"/>
  <c r="E47" i="133" s="1"/>
  <c r="D46" i="133"/>
  <c r="D47" i="133" s="1"/>
  <c r="F48" i="131"/>
  <c r="N48" i="131"/>
  <c r="O27" i="131"/>
  <c r="O29" i="131" s="1"/>
  <c r="O48" i="131" s="1"/>
  <c r="F45" i="133"/>
  <c r="F26" i="133"/>
  <c r="F28" i="133" s="1"/>
  <c r="F35" i="133"/>
  <c r="F46" i="133" s="1"/>
  <c r="F47" i="133" s="1"/>
  <c r="G47" i="133"/>
  <c r="M47" i="132"/>
  <c r="G47" i="132"/>
  <c r="G48" i="132" s="1"/>
  <c r="K7" i="64"/>
  <c r="K7" i="63"/>
  <c r="D13" i="77"/>
  <c r="D26" i="128"/>
  <c r="H60" i="52"/>
  <c r="L7" i="64"/>
  <c r="D7" i="64"/>
  <c r="E7" i="64"/>
  <c r="N7" i="63"/>
  <c r="G7" i="63"/>
  <c r="E7" i="63"/>
  <c r="N10" i="64"/>
  <c r="C10" i="64"/>
  <c r="N7" i="64"/>
  <c r="L8" i="63"/>
  <c r="K8" i="63"/>
  <c r="C13" i="77"/>
  <c r="M48" i="132" l="1"/>
  <c r="D12" i="128"/>
  <c r="F56" i="2" l="1"/>
  <c r="D91" i="11"/>
  <c r="F50" i="2"/>
  <c r="E7" i="92" l="1"/>
  <c r="K18" i="2"/>
  <c r="D19" i="128"/>
  <c r="D15" i="9"/>
  <c r="D20" i="9"/>
  <c r="D9" i="8"/>
  <c r="K21" i="2" l="1"/>
  <c r="D86" i="11"/>
  <c r="D34" i="11"/>
  <c r="D60" i="11"/>
  <c r="B13" i="129"/>
  <c r="F48" i="2"/>
  <c r="E21" i="23"/>
  <c r="D13" i="128"/>
  <c r="D16" i="128"/>
  <c r="D10" i="128"/>
  <c r="D49" i="11"/>
  <c r="D46" i="11"/>
  <c r="D42" i="11"/>
  <c r="D85" i="11"/>
  <c r="D29" i="11"/>
  <c r="D11" i="8"/>
  <c r="D15" i="7" l="1"/>
  <c r="D50" i="7"/>
  <c r="D52" i="7"/>
  <c r="D14" i="7"/>
  <c r="D46" i="7"/>
  <c r="D45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28" i="7"/>
  <c r="D27" i="7"/>
  <c r="D26" i="7"/>
  <c r="D25" i="7"/>
  <c r="D24" i="7"/>
  <c r="D23" i="7"/>
  <c r="D48" i="7"/>
  <c r="D16" i="8"/>
  <c r="D43" i="11"/>
  <c r="H129" i="52"/>
  <c r="D20" i="16" l="1"/>
  <c r="D18" i="16"/>
  <c r="D12" i="16"/>
  <c r="D9" i="16"/>
  <c r="H63" i="52"/>
  <c r="D18" i="17" l="1"/>
  <c r="D16" i="17"/>
  <c r="D24" i="8"/>
  <c r="D56" i="11"/>
  <c r="D17" i="8"/>
  <c r="H58" i="52"/>
  <c r="D17" i="6"/>
  <c r="D54" i="7"/>
  <c r="D13" i="6"/>
  <c r="D8" i="7"/>
  <c r="D108" i="11" l="1"/>
  <c r="H131" i="52" l="1"/>
  <c r="D7" i="11" l="1"/>
  <c r="D18" i="11"/>
  <c r="H99" i="52" l="1"/>
  <c r="D8" i="6"/>
  <c r="D7" i="9" l="1"/>
  <c r="H128" i="52"/>
  <c r="H122" i="52" l="1"/>
  <c r="D7" i="6"/>
  <c r="H121" i="52"/>
  <c r="D7" i="10"/>
  <c r="D18" i="10" l="1"/>
  <c r="D7" i="8"/>
  <c r="H127" i="52" l="1"/>
  <c r="H16" i="52" l="1"/>
  <c r="H14" i="52"/>
  <c r="H12" i="52"/>
  <c r="H10" i="52"/>
  <c r="H8" i="52"/>
  <c r="D18" i="9"/>
  <c r="D9" i="7" l="1"/>
  <c r="D10" i="7"/>
  <c r="H124" i="52"/>
  <c r="D11" i="7"/>
  <c r="H125" i="52" l="1"/>
  <c r="D6" i="11" l="1"/>
  <c r="H26" i="52" l="1"/>
  <c r="F26" i="52"/>
  <c r="H70" i="52" l="1"/>
  <c r="D36" i="11" l="1"/>
  <c r="D23" i="128" l="1"/>
  <c r="D23" i="17" l="1"/>
  <c r="K22" i="2" l="1"/>
  <c r="D17" i="17"/>
  <c r="D60" i="7" l="1"/>
  <c r="H69" i="52"/>
  <c r="D30" i="11" l="1"/>
  <c r="D84" i="11"/>
  <c r="D10" i="11"/>
  <c r="H93" i="52"/>
  <c r="D11" i="16" l="1"/>
  <c r="D7" i="16" l="1"/>
  <c r="D8" i="128" l="1"/>
  <c r="B9" i="128" l="1"/>
  <c r="D9" i="128"/>
  <c r="B10" i="128"/>
  <c r="B11" i="128"/>
  <c r="D11" i="128"/>
  <c r="B12" i="128"/>
  <c r="B13" i="128"/>
  <c r="B14" i="128"/>
  <c r="D14" i="128"/>
  <c r="D15" i="128"/>
  <c r="B16" i="128"/>
  <c r="B20" i="128"/>
  <c r="D20" i="128"/>
  <c r="D22" i="128"/>
  <c r="C28" i="128"/>
  <c r="J13" i="2" s="1"/>
  <c r="D38" i="11"/>
  <c r="E32" i="23"/>
  <c r="D28" i="128" l="1"/>
  <c r="B28" i="128"/>
  <c r="E13" i="54"/>
  <c r="D55" i="7"/>
  <c r="D23" i="8"/>
  <c r="D11" i="9"/>
  <c r="K13" i="2" l="1"/>
  <c r="I13" i="2"/>
  <c r="D51" i="11"/>
  <c r="D81" i="11" l="1"/>
  <c r="D61" i="11"/>
  <c r="D33" i="17" l="1"/>
  <c r="D13" i="23" l="1"/>
  <c r="E13" i="23"/>
  <c r="F13" i="23"/>
  <c r="G13" i="23"/>
  <c r="C13" i="23"/>
  <c r="D24" i="23"/>
  <c r="E24" i="23"/>
  <c r="F24" i="23"/>
  <c r="G24" i="23"/>
  <c r="C24" i="23"/>
  <c r="D13" i="11"/>
  <c r="H92" i="52"/>
  <c r="D63" i="11"/>
  <c r="D19" i="16"/>
  <c r="D10" i="8"/>
  <c r="D18" i="7"/>
  <c r="D17" i="7"/>
  <c r="D16" i="7"/>
  <c r="C16" i="7"/>
  <c r="C19" i="7" s="1"/>
  <c r="C8" i="11"/>
  <c r="C12" i="7"/>
  <c r="B12" i="7"/>
  <c r="C9" i="6"/>
  <c r="D9" i="6"/>
  <c r="D19" i="7" l="1"/>
  <c r="C20" i="7"/>
  <c r="D8" i="11"/>
  <c r="D12" i="7"/>
  <c r="D19" i="11"/>
  <c r="C35" i="8"/>
  <c r="C36" i="8" s="1"/>
  <c r="D20" i="7" l="1"/>
  <c r="D75" i="11"/>
  <c r="D77" i="11"/>
  <c r="D76" i="11"/>
  <c r="D72" i="11"/>
  <c r="D71" i="11"/>
  <c r="D70" i="11"/>
  <c r="D69" i="11"/>
  <c r="C34" i="17"/>
  <c r="D11" i="17"/>
  <c r="D10" i="17"/>
  <c r="D23" i="16"/>
  <c r="D8" i="16"/>
  <c r="D58" i="11"/>
  <c r="D53" i="11"/>
  <c r="D26" i="11" l="1"/>
  <c r="D25" i="11"/>
  <c r="D11" i="10"/>
  <c r="D19" i="9"/>
  <c r="D17" i="9"/>
  <c r="D16" i="9"/>
  <c r="D19" i="8"/>
  <c r="B9" i="8"/>
  <c r="D61" i="7"/>
  <c r="D53" i="7"/>
  <c r="D25" i="6"/>
  <c r="D24" i="6"/>
  <c r="D23" i="6"/>
  <c r="D11" i="6"/>
  <c r="D10" i="6"/>
  <c r="D92" i="11" l="1"/>
  <c r="H110" i="52"/>
  <c r="D12" i="11"/>
  <c r="D26" i="8"/>
  <c r="C62" i="7"/>
  <c r="C47" i="7"/>
  <c r="C56" i="7"/>
  <c r="H51" i="52"/>
  <c r="D28" i="9"/>
  <c r="D29" i="9"/>
  <c r="K54" i="2"/>
  <c r="F52" i="2"/>
  <c r="F55" i="2" l="1"/>
  <c r="F49" i="2"/>
  <c r="D32" i="17"/>
  <c r="C57" i="7"/>
  <c r="B18" i="7"/>
  <c r="C73" i="23"/>
  <c r="I42" i="2" s="1"/>
  <c r="C60" i="23"/>
  <c r="C70" i="23" s="1"/>
  <c r="I41" i="2" s="1"/>
  <c r="I40" i="2"/>
  <c r="C19" i="23"/>
  <c r="I39" i="2" s="1"/>
  <c r="C16" i="23"/>
  <c r="I38" i="2" s="1"/>
  <c r="I37" i="2"/>
  <c r="D73" i="23"/>
  <c r="J42" i="2" s="1"/>
  <c r="C13" i="54"/>
  <c r="B24" i="17"/>
  <c r="B19" i="17"/>
  <c r="B18" i="17"/>
  <c r="B10" i="17"/>
  <c r="B9" i="17"/>
  <c r="B8" i="17"/>
  <c r="B16" i="16"/>
  <c r="B14" i="16"/>
  <c r="B12" i="16"/>
  <c r="B11" i="16"/>
  <c r="B9" i="16"/>
  <c r="B8" i="16"/>
  <c r="B108" i="11"/>
  <c r="B86" i="11"/>
  <c r="B81" i="11"/>
  <c r="B63" i="11"/>
  <c r="B55" i="11"/>
  <c r="B54" i="11"/>
  <c r="B53" i="11"/>
  <c r="B47" i="11"/>
  <c r="B43" i="11"/>
  <c r="B42" i="11"/>
  <c r="B37" i="11"/>
  <c r="B36" i="11"/>
  <c r="B33" i="11"/>
  <c r="B32" i="11"/>
  <c r="B24" i="11"/>
  <c r="B20" i="11"/>
  <c r="B12" i="11"/>
  <c r="B7" i="11"/>
  <c r="B8" i="11" s="1"/>
  <c r="B17" i="9"/>
  <c r="B16" i="9"/>
  <c r="B14" i="9"/>
  <c r="B13" i="9"/>
  <c r="B9" i="9"/>
  <c r="B27" i="8"/>
  <c r="B25" i="8"/>
  <c r="B23" i="8"/>
  <c r="B19" i="8"/>
  <c r="B18" i="8"/>
  <c r="B16" i="8"/>
  <c r="B15" i="8"/>
  <c r="B13" i="8"/>
  <c r="B10" i="8"/>
  <c r="B50" i="7"/>
  <c r="B60" i="7"/>
  <c r="B61" i="7"/>
  <c r="B55" i="7"/>
  <c r="B53" i="7"/>
  <c r="B46" i="7"/>
  <c r="B17" i="7"/>
  <c r="B54" i="7"/>
  <c r="B52" i="7"/>
  <c r="B48" i="7"/>
  <c r="B41" i="7"/>
  <c r="B39" i="7"/>
  <c r="B38" i="7"/>
  <c r="B37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14" i="7"/>
  <c r="B24" i="6"/>
  <c r="B23" i="6"/>
  <c r="B22" i="6"/>
  <c r="B20" i="6"/>
  <c r="B16" i="6"/>
  <c r="B15" i="6"/>
  <c r="B14" i="6"/>
  <c r="B11" i="6"/>
  <c r="B8" i="6"/>
  <c r="B7" i="6"/>
  <c r="I49" i="2"/>
  <c r="I20" i="2"/>
  <c r="I18" i="2"/>
  <c r="F130" i="52"/>
  <c r="F128" i="52"/>
  <c r="F125" i="52"/>
  <c r="F99" i="52"/>
  <c r="F76" i="52"/>
  <c r="F71" i="52"/>
  <c r="F69" i="52"/>
  <c r="F60" i="52"/>
  <c r="F58" i="52"/>
  <c r="F25" i="52"/>
  <c r="F24" i="52"/>
  <c r="F12" i="52"/>
  <c r="F10" i="52"/>
  <c r="F9" i="63"/>
  <c r="F11" i="63" s="1"/>
  <c r="C18" i="64" s="1"/>
  <c r="L9" i="63"/>
  <c r="L11" i="63" s="1"/>
  <c r="C24" i="64" s="1"/>
  <c r="K9" i="63"/>
  <c r="K11" i="63" s="1"/>
  <c r="C23" i="64" s="1"/>
  <c r="H9" i="63"/>
  <c r="H11" i="63" s="1"/>
  <c r="C20" i="64" s="1"/>
  <c r="G9" i="63"/>
  <c r="G11" i="63" s="1"/>
  <c r="C19" i="64" s="1"/>
  <c r="J9" i="63"/>
  <c r="J11" i="63" s="1"/>
  <c r="C22" i="64" s="1"/>
  <c r="C9" i="63"/>
  <c r="C11" i="63" s="1"/>
  <c r="C15" i="64" s="1"/>
  <c r="D30" i="9"/>
  <c r="B30" i="9"/>
  <c r="I33" i="2" s="1"/>
  <c r="F16" i="77"/>
  <c r="G16" i="77" s="1"/>
  <c r="F15" i="77"/>
  <c r="G15" i="77" s="1"/>
  <c r="F14" i="77"/>
  <c r="G14" i="77" s="1"/>
  <c r="F19" i="77"/>
  <c r="G19" i="77" s="1"/>
  <c r="B10" i="63" s="1"/>
  <c r="H71" i="52"/>
  <c r="D109" i="11"/>
  <c r="J40" i="2"/>
  <c r="K40" i="2"/>
  <c r="F8" i="77"/>
  <c r="M8" i="77"/>
  <c r="N8" i="77" s="1"/>
  <c r="F9" i="77"/>
  <c r="G9" i="77" s="1"/>
  <c r="M9" i="77"/>
  <c r="F10" i="77"/>
  <c r="G10" i="77" s="1"/>
  <c r="M10" i="77"/>
  <c r="N10" i="77" s="1"/>
  <c r="F11" i="77"/>
  <c r="G11" i="77" s="1"/>
  <c r="M11" i="77"/>
  <c r="N11" i="77" s="1"/>
  <c r="F12" i="77"/>
  <c r="G12" i="77" s="1"/>
  <c r="M12" i="77"/>
  <c r="N12" i="77" s="1"/>
  <c r="E13" i="77"/>
  <c r="J13" i="77"/>
  <c r="K13" i="77"/>
  <c r="L13" i="77"/>
  <c r="M14" i="77"/>
  <c r="N14" i="77" s="1"/>
  <c r="M15" i="77"/>
  <c r="N15" i="77" s="1"/>
  <c r="M16" i="77"/>
  <c r="N16" i="77" s="1"/>
  <c r="C17" i="77"/>
  <c r="D17" i="77"/>
  <c r="E17" i="77"/>
  <c r="J17" i="77"/>
  <c r="K17" i="77"/>
  <c r="L17" i="77"/>
  <c r="M19" i="77"/>
  <c r="N19" i="77" s="1"/>
  <c r="B10" i="64" s="1"/>
  <c r="C15" i="92"/>
  <c r="D15" i="92"/>
  <c r="E15" i="92"/>
  <c r="C13" i="91"/>
  <c r="D13" i="91"/>
  <c r="E13" i="91"/>
  <c r="C18" i="90"/>
  <c r="C9" i="64"/>
  <c r="D9" i="64"/>
  <c r="D11" i="64" s="1"/>
  <c r="D16" i="64" s="1"/>
  <c r="E9" i="64"/>
  <c r="E11" i="64" s="1"/>
  <c r="D17" i="64" s="1"/>
  <c r="F9" i="64"/>
  <c r="F11" i="64" s="1"/>
  <c r="D18" i="64" s="1"/>
  <c r="G9" i="64"/>
  <c r="G11" i="64" s="1"/>
  <c r="D19" i="64" s="1"/>
  <c r="H9" i="64"/>
  <c r="H11" i="64" s="1"/>
  <c r="D20" i="64" s="1"/>
  <c r="I9" i="64"/>
  <c r="I11" i="64" s="1"/>
  <c r="D21" i="64" s="1"/>
  <c r="J9" i="64"/>
  <c r="J11" i="64" s="1"/>
  <c r="D22" i="64" s="1"/>
  <c r="K9" i="64"/>
  <c r="K11" i="64" s="1"/>
  <c r="D23" i="64" s="1"/>
  <c r="L9" i="64"/>
  <c r="L11" i="64" s="1"/>
  <c r="D24" i="64" s="1"/>
  <c r="M9" i="64"/>
  <c r="M11" i="64" s="1"/>
  <c r="D25" i="64" s="1"/>
  <c r="N9" i="64"/>
  <c r="N11" i="64" s="1"/>
  <c r="D26" i="64" s="1"/>
  <c r="D9" i="63"/>
  <c r="D11" i="63" s="1"/>
  <c r="C16" i="64" s="1"/>
  <c r="I9" i="63"/>
  <c r="I11" i="63" s="1"/>
  <c r="C21" i="64" s="1"/>
  <c r="M9" i="63"/>
  <c r="M11" i="63" s="1"/>
  <c r="C25" i="64" s="1"/>
  <c r="J37" i="2"/>
  <c r="K37" i="2"/>
  <c r="D16" i="23"/>
  <c r="J38" i="2" s="1"/>
  <c r="E16" i="23"/>
  <c r="K38" i="2" s="1"/>
  <c r="F16" i="23"/>
  <c r="G16" i="23"/>
  <c r="D19" i="23"/>
  <c r="J39" i="2" s="1"/>
  <c r="E19" i="23"/>
  <c r="K39" i="2" s="1"/>
  <c r="F19" i="23"/>
  <c r="G19" i="23"/>
  <c r="D70" i="23"/>
  <c r="J41" i="2" s="1"/>
  <c r="E70" i="23"/>
  <c r="F70" i="23"/>
  <c r="G70" i="23"/>
  <c r="E73" i="23"/>
  <c r="K42" i="2" s="1"/>
  <c r="F73" i="23"/>
  <c r="G73" i="23"/>
  <c r="C8" i="54"/>
  <c r="D8" i="54"/>
  <c r="E8" i="54"/>
  <c r="C10" i="54"/>
  <c r="D10" i="54"/>
  <c r="E10" i="54"/>
  <c r="E17" i="54"/>
  <c r="C17" i="54"/>
  <c r="D30" i="2" s="1"/>
  <c r="D17" i="54"/>
  <c r="E30" i="2" s="1"/>
  <c r="C24" i="54"/>
  <c r="D31" i="2" s="1"/>
  <c r="D24" i="54"/>
  <c r="E31" i="2" s="1"/>
  <c r="E24" i="54"/>
  <c r="F31" i="2" s="1"/>
  <c r="C33" i="54"/>
  <c r="D32" i="2" s="1"/>
  <c r="D33" i="54"/>
  <c r="E33" i="54"/>
  <c r="D8" i="17"/>
  <c r="D9" i="17"/>
  <c r="D19" i="17"/>
  <c r="D24" i="17"/>
  <c r="J15" i="2"/>
  <c r="D14" i="16"/>
  <c r="D16" i="16"/>
  <c r="C21" i="16"/>
  <c r="C29" i="16" s="1"/>
  <c r="J14" i="2" s="1"/>
  <c r="D16" i="11"/>
  <c r="C16" i="11"/>
  <c r="D20" i="11"/>
  <c r="D24" i="11"/>
  <c r="D32" i="11"/>
  <c r="D33" i="11"/>
  <c r="D47" i="11"/>
  <c r="C89" i="11"/>
  <c r="B100" i="11"/>
  <c r="C100" i="11"/>
  <c r="C109" i="11"/>
  <c r="J35" i="2" s="1"/>
  <c r="B12" i="10"/>
  <c r="B13" i="10" s="1"/>
  <c r="C12" i="10"/>
  <c r="C13" i="10" s="1"/>
  <c r="D12" i="10"/>
  <c r="D13" i="10" s="1"/>
  <c r="D9" i="9"/>
  <c r="D13" i="9"/>
  <c r="D14" i="9"/>
  <c r="C21" i="9"/>
  <c r="C22" i="9" s="1"/>
  <c r="D13" i="8"/>
  <c r="D18" i="8"/>
  <c r="D25" i="8"/>
  <c r="D27" i="8"/>
  <c r="K32" i="2"/>
  <c r="B74" i="7"/>
  <c r="C74" i="7"/>
  <c r="J31" i="2" s="1"/>
  <c r="D14" i="6"/>
  <c r="D15" i="6"/>
  <c r="D16" i="6"/>
  <c r="D20" i="6"/>
  <c r="D22" i="6"/>
  <c r="C26" i="6"/>
  <c r="B34" i="6"/>
  <c r="I30" i="2" s="1"/>
  <c r="C34" i="6"/>
  <c r="J30" i="2" s="1"/>
  <c r="D34" i="6"/>
  <c r="F15" i="52"/>
  <c r="G15" i="52"/>
  <c r="G18" i="52" s="1"/>
  <c r="H15" i="52"/>
  <c r="F22" i="52"/>
  <c r="G22" i="52"/>
  <c r="H22" i="52"/>
  <c r="H24" i="52"/>
  <c r="H25" i="52"/>
  <c r="F34" i="52"/>
  <c r="G34" i="52"/>
  <c r="H34" i="52"/>
  <c r="F38" i="52"/>
  <c r="G38" i="52"/>
  <c r="H38" i="52"/>
  <c r="F41" i="52"/>
  <c r="G41" i="52"/>
  <c r="F52" i="52"/>
  <c r="G52" i="52"/>
  <c r="G67" i="52"/>
  <c r="E8" i="2" s="1"/>
  <c r="H76" i="52"/>
  <c r="G101" i="52"/>
  <c r="E9" i="2" s="1"/>
  <c r="F119" i="52"/>
  <c r="D10" i="2" s="1"/>
  <c r="G119" i="52"/>
  <c r="E10" i="2" s="1"/>
  <c r="H119" i="52"/>
  <c r="F10" i="2" s="1"/>
  <c r="H130" i="52"/>
  <c r="G132" i="52"/>
  <c r="E11" i="2" s="1"/>
  <c r="J23" i="2"/>
  <c r="I32" i="2"/>
  <c r="J32" i="2"/>
  <c r="J33" i="2"/>
  <c r="I34" i="2"/>
  <c r="J34" i="2"/>
  <c r="K34" i="2"/>
  <c r="I43" i="2"/>
  <c r="J43" i="2"/>
  <c r="K43" i="2"/>
  <c r="D59" i="2"/>
  <c r="E59" i="2"/>
  <c r="J59" i="2"/>
  <c r="D74" i="7"/>
  <c r="H30" i="52" l="1"/>
  <c r="F30" i="52"/>
  <c r="K18" i="77"/>
  <c r="K20" i="77" s="1"/>
  <c r="F32" i="2"/>
  <c r="D11" i="54"/>
  <c r="E29" i="2" s="1"/>
  <c r="C18" i="77"/>
  <c r="C20" i="77" s="1"/>
  <c r="L18" i="77"/>
  <c r="L20" i="77" s="1"/>
  <c r="D18" i="77"/>
  <c r="D20" i="77" s="1"/>
  <c r="B9" i="6"/>
  <c r="B16" i="7"/>
  <c r="B19" i="7" s="1"/>
  <c r="B20" i="7" s="1"/>
  <c r="B109" i="11"/>
  <c r="I35" i="2" s="1"/>
  <c r="D100" i="11"/>
  <c r="B16" i="11"/>
  <c r="K31" i="2"/>
  <c r="K30" i="2"/>
  <c r="E18" i="77"/>
  <c r="E20" i="77" s="1"/>
  <c r="K33" i="2"/>
  <c r="K35" i="2"/>
  <c r="B35" i="8"/>
  <c r="F59" i="2"/>
  <c r="J10" i="2"/>
  <c r="D34" i="17"/>
  <c r="B21" i="9"/>
  <c r="B22" i="9" s="1"/>
  <c r="D35" i="8"/>
  <c r="D36" i="8" s="1"/>
  <c r="J11" i="2"/>
  <c r="B34" i="17"/>
  <c r="I15" i="2" s="1"/>
  <c r="B21" i="16"/>
  <c r="B29" i="16" s="1"/>
  <c r="I14" i="2" s="1"/>
  <c r="B26" i="6"/>
  <c r="D26" i="6"/>
  <c r="D89" i="11"/>
  <c r="C20" i="10"/>
  <c r="D21" i="9"/>
  <c r="D22" i="9" s="1"/>
  <c r="B62" i="7"/>
  <c r="I11" i="2"/>
  <c r="F67" i="52"/>
  <c r="D8" i="2" s="1"/>
  <c r="B20" i="10"/>
  <c r="M17" i="77"/>
  <c r="D62" i="7"/>
  <c r="C11" i="54"/>
  <c r="D29" i="2" s="1"/>
  <c r="F132" i="52"/>
  <c r="D11" i="2" s="1"/>
  <c r="N9" i="63"/>
  <c r="N11" i="63" s="1"/>
  <c r="C26" i="64" s="1"/>
  <c r="B89" i="11"/>
  <c r="G17" i="77"/>
  <c r="J7" i="2"/>
  <c r="N17" i="77"/>
  <c r="B8" i="64" s="1"/>
  <c r="C75" i="23"/>
  <c r="C101" i="11"/>
  <c r="C102" i="11" s="1"/>
  <c r="C27" i="6"/>
  <c r="C36" i="6"/>
  <c r="G35" i="52"/>
  <c r="G39" i="52" s="1"/>
  <c r="G53" i="52" s="1"/>
  <c r="D47" i="7"/>
  <c r="B47" i="7"/>
  <c r="B49" i="7" s="1"/>
  <c r="C49" i="7"/>
  <c r="C63" i="7" s="1"/>
  <c r="D56" i="7"/>
  <c r="B56" i="7"/>
  <c r="B57" i="7" s="1"/>
  <c r="I23" i="2"/>
  <c r="H132" i="52"/>
  <c r="F101" i="52"/>
  <c r="D9" i="2" s="1"/>
  <c r="I59" i="2"/>
  <c r="J36" i="2"/>
  <c r="J44" i="2"/>
  <c r="C43" i="8"/>
  <c r="J9" i="2"/>
  <c r="H67" i="52"/>
  <c r="E9" i="63"/>
  <c r="E11" i="63" s="1"/>
  <c r="C17" i="64" s="1"/>
  <c r="F18" i="52"/>
  <c r="J18" i="77"/>
  <c r="J20" i="77" s="1"/>
  <c r="C11" i="64"/>
  <c r="D15" i="64" s="1"/>
  <c r="E15" i="64" s="1"/>
  <c r="E16" i="64" s="1"/>
  <c r="F75" i="23"/>
  <c r="G8" i="77"/>
  <c r="G13" i="77" s="1"/>
  <c r="B7" i="63" s="1"/>
  <c r="F13" i="77"/>
  <c r="M13" i="77"/>
  <c r="N9" i="77"/>
  <c r="N13" i="77" s="1"/>
  <c r="H52" i="52"/>
  <c r="D75" i="23"/>
  <c r="K41" i="2"/>
  <c r="K44" i="2" s="1"/>
  <c r="E75" i="23"/>
  <c r="H101" i="52"/>
  <c r="E32" i="2"/>
  <c r="F30" i="2"/>
  <c r="G75" i="23"/>
  <c r="K59" i="2"/>
  <c r="K23" i="2"/>
  <c r="D21" i="16"/>
  <c r="I44" i="2"/>
  <c r="I31" i="2"/>
  <c r="E11" i="54"/>
  <c r="F17" i="77"/>
  <c r="H18" i="52"/>
  <c r="B8" i="63" l="1"/>
  <c r="D27" i="64"/>
  <c r="E45" i="2"/>
  <c r="D34" i="54"/>
  <c r="C27" i="64"/>
  <c r="F29" i="2"/>
  <c r="F45" i="2" s="1"/>
  <c r="B36" i="8"/>
  <c r="B101" i="11"/>
  <c r="B102" i="11" s="1"/>
  <c r="B111" i="11" s="1"/>
  <c r="K36" i="2"/>
  <c r="K45" i="2" s="1"/>
  <c r="B27" i="6"/>
  <c r="I7" i="2"/>
  <c r="D27" i="6"/>
  <c r="D101" i="11"/>
  <c r="D102" i="11" s="1"/>
  <c r="B36" i="6"/>
  <c r="D29" i="16"/>
  <c r="D36" i="6"/>
  <c r="D57" i="7"/>
  <c r="D45" i="2"/>
  <c r="C32" i="9"/>
  <c r="C34" i="54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J12" i="2"/>
  <c r="C111" i="11"/>
  <c r="F8" i="2"/>
  <c r="D49" i="7"/>
  <c r="B63" i="7"/>
  <c r="C64" i="7"/>
  <c r="C76" i="7" s="1"/>
  <c r="J45" i="2"/>
  <c r="F11" i="2"/>
  <c r="F35" i="52"/>
  <c r="F39" i="52" s="1"/>
  <c r="F53" i="52" s="1"/>
  <c r="D7" i="2" s="1"/>
  <c r="G133" i="52"/>
  <c r="E7" i="2"/>
  <c r="E24" i="2" s="1"/>
  <c r="B7" i="64"/>
  <c r="N18" i="77"/>
  <c r="N20" i="77" s="1"/>
  <c r="K11" i="2"/>
  <c r="D20" i="10"/>
  <c r="B32" i="9"/>
  <c r="I10" i="2"/>
  <c r="I36" i="2"/>
  <c r="K15" i="2"/>
  <c r="H35" i="52"/>
  <c r="K10" i="2"/>
  <c r="D32" i="9"/>
  <c r="E34" i="54"/>
  <c r="F9" i="2"/>
  <c r="F18" i="77"/>
  <c r="F20" i="77" s="1"/>
  <c r="G18" i="77"/>
  <c r="G20" i="77" s="1"/>
  <c r="E27" i="64" l="1"/>
  <c r="E62" i="2"/>
  <c r="I12" i="2"/>
  <c r="I9" i="2"/>
  <c r="B43" i="8"/>
  <c r="K14" i="2"/>
  <c r="K9" i="2"/>
  <c r="D63" i="7"/>
  <c r="K12" i="2"/>
  <c r="K7" i="2"/>
  <c r="D111" i="11"/>
  <c r="F133" i="52"/>
  <c r="D43" i="8"/>
  <c r="B64" i="7"/>
  <c r="B76" i="7" s="1"/>
  <c r="J8" i="2"/>
  <c r="J24" i="2" s="1"/>
  <c r="B9" i="63"/>
  <c r="H39" i="52"/>
  <c r="I45" i="2"/>
  <c r="B9" i="64"/>
  <c r="D24" i="2"/>
  <c r="D64" i="7" l="1"/>
  <c r="I8" i="2"/>
  <c r="J62" i="2"/>
  <c r="B11" i="64"/>
  <c r="D62" i="2"/>
  <c r="H53" i="52"/>
  <c r="B11" i="63"/>
  <c r="D76" i="7" l="1"/>
  <c r="K8" i="2"/>
  <c r="K24" i="2" s="1"/>
  <c r="I24" i="2"/>
  <c r="F7" i="2"/>
  <c r="F24" i="2" s="1"/>
  <c r="H133" i="52"/>
  <c r="K62" i="2" l="1"/>
  <c r="I62" i="2"/>
  <c r="F62" i="2"/>
</calcChain>
</file>

<file path=xl/sharedStrings.xml><?xml version="1.0" encoding="utf-8"?>
<sst xmlns="http://schemas.openxmlformats.org/spreadsheetml/2006/main" count="1421" uniqueCount="873">
  <si>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</si>
  <si>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</si>
  <si>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</si>
  <si>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</si>
  <si>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</si>
  <si>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</si>
  <si>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</si>
  <si>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</si>
  <si>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</si>
  <si>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</si>
  <si>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</si>
  <si>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</si>
  <si>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</si>
  <si>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</si>
  <si>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</si>
  <si>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</si>
  <si>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</si>
  <si>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</si>
  <si>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</si>
  <si>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</si>
  <si>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</si>
  <si>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</si>
  <si>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</si>
  <si>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</si>
  <si>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</si>
  <si>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</si>
  <si>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</si>
  <si>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</si>
  <si>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 xml:space="preserve">Felhalmozási célú önkormányzati támogatások </t>
  </si>
  <si>
    <t>Egyéb felhalmozási célú támogatások bevételei államháztartáson belülről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</si>
  <si>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</si>
  <si>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</si>
  <si>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</si>
  <si>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</si>
  <si>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</si>
  <si>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 kölcsön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</si>
  <si>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</si>
  <si>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</si>
  <si>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</si>
  <si>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</si>
  <si>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</si>
  <si>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</si>
  <si>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</si>
  <si>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</si>
  <si>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</si>
  <si>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</si>
  <si>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</si>
  <si>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</si>
  <si>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</si>
  <si>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Internet alapú városi hálózat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</si>
  <si>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</si>
  <si>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</si>
  <si>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</si>
  <si>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Felhalmozási célú visszatérítendő támogatások, kölcsönök visszatérülése államháztartáson belülről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</si>
  <si>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</si>
  <si>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</si>
  <si>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</si>
  <si>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</si>
  <si>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</si>
  <si>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</si>
  <si>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</si>
  <si>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</si>
  <si>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</si>
  <si>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</si>
  <si>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</si>
  <si>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</si>
  <si>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</si>
  <si>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</si>
  <si>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</si>
  <si>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</si>
  <si>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</si>
  <si>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</si>
  <si>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</si>
  <si>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</si>
  <si>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</si>
  <si>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</si>
  <si>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</si>
  <si>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</si>
  <si>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</si>
  <si>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</si>
  <si>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</si>
  <si>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</si>
  <si>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</si>
  <si>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</si>
  <si>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</si>
  <si>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</si>
  <si>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Vagyongazdálkodási kiadások - szakértők igénybevétele, ügyvédi munkadíj, egyéb kiadások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</si>
  <si>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</si>
  <si>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</si>
  <si>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</si>
  <si>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</si>
  <si>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</si>
  <si>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Zárt csapadék csatorna fenntartása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</si>
  <si>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</si>
  <si>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</si>
  <si>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</si>
  <si>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</si>
  <si>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</si>
  <si>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</si>
  <si>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</si>
  <si>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</si>
  <si>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</si>
  <si>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</si>
  <si>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Szombathelyi Szimfónikus Zenekar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</si>
  <si>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</si>
  <si>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</si>
  <si>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</si>
  <si>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</si>
  <si>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</si>
  <si>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</si>
  <si>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</si>
  <si>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</si>
  <si>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</si>
  <si>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</si>
  <si>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</si>
  <si>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</si>
  <si>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</si>
  <si>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</si>
  <si>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Könyvvizsgálói költség</t>
  </si>
  <si>
    <t>Bérleti díj</t>
  </si>
  <si>
    <t>Lakáskölcsöntörlesztés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</si>
  <si>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</si>
  <si>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</si>
  <si>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</si>
  <si>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</si>
  <si>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</si>
  <si>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Finanszírozási műveletek összesen</t>
  </si>
  <si>
    <t>Rendőrség támogatása</t>
  </si>
  <si>
    <t>SOS Gyermekfalu Magyarországi Alapítvány támogatása (átmeneti vagy tartós nevelésbe vett gyermekek, fiatal felnőttek gyermekvédelmi szakellátása)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</si>
  <si>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</si>
  <si>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</si>
  <si>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</si>
  <si>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</si>
  <si>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</si>
  <si>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</si>
  <si>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</si>
  <si>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</si>
  <si>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</si>
  <si>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</si>
  <si>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</si>
  <si>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</si>
  <si>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</si>
  <si>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</si>
  <si>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</si>
  <si>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</si>
  <si>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</si>
  <si>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Közbeszerzési kiadások</t>
  </si>
  <si>
    <t>Lakásalap összesen: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</si>
  <si>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</si>
  <si>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</si>
  <si>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</si>
  <si>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</si>
  <si>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</si>
  <si>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</si>
  <si>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</si>
  <si>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</si>
  <si>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</si>
  <si>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</si>
  <si>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</si>
  <si>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</si>
  <si>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</si>
  <si>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</si>
  <si>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</si>
  <si>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</si>
  <si>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</si>
  <si>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</si>
  <si>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</si>
  <si>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</si>
  <si>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</si>
  <si>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</si>
  <si>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</si>
  <si>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</si>
  <si>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</si>
  <si>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</si>
  <si>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</si>
  <si>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</si>
  <si>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</si>
  <si>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</si>
  <si>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Lakásalap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</si>
  <si>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</si>
  <si>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</si>
  <si>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</si>
  <si>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</si>
  <si>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</si>
  <si>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</si>
  <si>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</si>
  <si>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</si>
  <si>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</si>
  <si>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</si>
  <si>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</si>
  <si>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</si>
  <si>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</si>
  <si>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</si>
  <si>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</si>
  <si>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</si>
  <si>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</si>
  <si>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Termőföld bérbeadásából szárm.jöv.adó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</si>
  <si>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</si>
  <si>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</si>
  <si>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</si>
  <si>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</si>
  <si>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</si>
  <si>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</si>
  <si>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</si>
  <si>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</si>
  <si>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</si>
  <si>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</si>
  <si>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</si>
  <si>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Vas megye és Szombathely Megyei Jogú Város Nyugdíjas Közösségeinek Szövetsége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</si>
  <si>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</si>
  <si>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</si>
  <si>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</si>
  <si>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</si>
  <si>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</si>
  <si>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</si>
  <si>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</si>
  <si>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</si>
  <si>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</si>
  <si>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</si>
  <si>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</si>
  <si>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</si>
  <si>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</si>
  <si>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</si>
  <si>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</si>
  <si>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</si>
  <si>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</si>
  <si>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</si>
  <si>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</si>
  <si>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</si>
  <si>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</si>
  <si>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</si>
  <si>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</si>
  <si>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</si>
  <si>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</si>
  <si>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</si>
  <si>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</si>
  <si>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</si>
  <si>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</si>
  <si>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</si>
  <si>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</si>
  <si>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</si>
  <si>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</si>
  <si>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</si>
  <si>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</si>
  <si>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</si>
  <si>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</si>
  <si>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</si>
  <si>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</si>
  <si>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</si>
  <si>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</si>
  <si>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</si>
  <si>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</si>
  <si>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</si>
  <si>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</si>
  <si>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</si>
  <si>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</si>
  <si>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Egészségügyi és Kulturális intézmények GESZ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</si>
  <si>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</si>
  <si>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</si>
  <si>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</si>
  <si>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</si>
  <si>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</si>
  <si>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</si>
  <si>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</si>
  <si>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</si>
  <si>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</si>
  <si>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</si>
  <si>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</si>
  <si>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</si>
  <si>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</si>
  <si>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</si>
  <si>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</si>
  <si>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Intézményi működési maradvány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</si>
  <si>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</si>
  <si>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</si>
  <si>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</si>
  <si>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</si>
  <si>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</si>
  <si>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</si>
  <si>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</si>
  <si>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</si>
  <si>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</si>
  <si>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</si>
  <si>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</si>
  <si>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SNI gyermekek (Óvoda) szakszolgálati ellátása</t>
  </si>
  <si>
    <t>I. Helyi önkormányzatok működésének általános támogatása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</si>
  <si>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</si>
  <si>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</si>
  <si>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</si>
  <si>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</si>
  <si>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</si>
  <si>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</si>
  <si>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</si>
  <si>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</si>
  <si>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</si>
  <si>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</si>
  <si>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</si>
  <si>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</si>
  <si>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</si>
  <si>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</si>
  <si>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</si>
  <si>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</si>
  <si>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</si>
  <si>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</si>
  <si>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</si>
  <si>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</si>
  <si>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</si>
  <si>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</si>
  <si>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</si>
  <si>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</si>
  <si>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</si>
  <si>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</si>
  <si>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</si>
  <si>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</si>
  <si>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Jedlik Ányos Terv - "A" típusú elektromos autótöltő állomások telepítése pályázat (támogatás+önrész)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</si>
  <si>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</si>
  <si>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</si>
  <si>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</si>
  <si>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</si>
  <si>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</si>
  <si>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</si>
  <si>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</si>
  <si>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</si>
  <si>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</si>
  <si>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</si>
  <si>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</si>
  <si>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</si>
  <si>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</si>
  <si>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</si>
  <si>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</si>
  <si>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</si>
  <si>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</si>
  <si>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</si>
  <si>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</si>
  <si>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</si>
  <si>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</si>
  <si>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</si>
  <si>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</si>
  <si>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</si>
  <si>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</si>
  <si>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</si>
  <si>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</si>
  <si>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</si>
  <si>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</si>
  <si>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</si>
  <si>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</si>
  <si>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</si>
  <si>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</si>
  <si>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</si>
  <si>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</si>
  <si>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</si>
  <si>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</si>
  <si>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Herényi temető bővítés, növénytelepítés</t>
  </si>
  <si>
    <t>eredeti előirányzat</t>
  </si>
  <si>
    <t>Sorszám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</si>
  <si>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</si>
  <si>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</si>
  <si>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</si>
  <si>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</si>
  <si>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</si>
  <si>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Vízközmű- és szennyvízközmű használati díj terhére végzett beruházás - fordított áfa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</si>
  <si>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</si>
  <si>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</si>
  <si>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</si>
  <si>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</si>
  <si>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</si>
  <si>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</si>
  <si>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</si>
  <si>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</si>
  <si>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 xml:space="preserve">TÁJÉKOZTATÓ </t>
  </si>
  <si>
    <t>ezer Ft-ban</t>
  </si>
  <si>
    <t>ellátottak térítési díjának,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</si>
  <si>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</si>
  <si>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</si>
  <si>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 iparűzési adó (háziorvosi mentesség)</t>
  </si>
  <si>
    <t>a helyiségek, eszközök hasznosításából származó bevételből nyújtott kedvezmény, mentesség összege</t>
  </si>
  <si>
    <t>egyéb nyújtott kedvezmény vagy kölcsön elengedésének összege</t>
  </si>
  <si>
    <t>1. Az Áht-ra való hivatkozással, a személyes gondoskodást nyújtó szociális és gyermekjóléti ellátások térítési díjáról szóló 11/1993.(IV.1.) sz.önkormányzati rendelet alapján a térítési díj méltányossági alapon történő csökkentése, illetve elengedése.</t>
  </si>
  <si>
    <t>3. SZMJV Önkormányzatának helyi adókról szóló rendelete alapján adott mentességek és kedvezmények.</t>
  </si>
  <si>
    <t>4. SZMJV Önkormányzatának vagyonrendelete alapján nyújtott kedvezmények, mentességek összege.</t>
  </si>
  <si>
    <t>5. Közterülethasználati díj mentesség az Önkormányzat rendelete alapján.</t>
  </si>
  <si>
    <t>Kimutatás az Európai Uniós támogatással megvalósuló projektekről</t>
  </si>
  <si>
    <t>EURÓPAI UNIÓS TÁMOGATÁSSAL MEGVALÓSULÚ PROJEKTEK BEVÉTELEI ÖSSZESEN</t>
  </si>
  <si>
    <t>MŰKÖDÉSI CÉLÚ NAGYPROJEKTEK, PROJEKTEK</t>
  </si>
  <si>
    <t>FELHALMOZÁSI CÉLÚ NAGYPROJEKTEK, PROJEKTEK</t>
  </si>
  <si>
    <t>EURÓPAI UNIÓS TÁMOGATÁSSAL MEGVALÓSULÚ PROJEKTEK KIADÁSAI ÖSSZESEN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</si>
  <si>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</si>
  <si>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</si>
  <si>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</si>
  <si>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</si>
  <si>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Kéményseprő ipari közszolgáltatás ellátásának támogatása</t>
  </si>
  <si>
    <t>Köznevelési GAMESZ</t>
  </si>
  <si>
    <t>Kéményseprő ipari közszolgáltatás ellátásának támogatása (központi ei.)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</si>
  <si>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</si>
  <si>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</si>
  <si>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</si>
  <si>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</si>
  <si>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</si>
  <si>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</si>
  <si>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</si>
  <si>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</si>
  <si>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</si>
  <si>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Komplex akadálymentesítés - Helyi esélyegyenlőségi program keretében</t>
  </si>
  <si>
    <t>Víz használati dij</t>
  </si>
  <si>
    <t>Bűnmegelőzési és katasztrófavédelmi kiadások</t>
  </si>
  <si>
    <t>Szombathely, a segítés városa program</t>
  </si>
  <si>
    <t>ELTE támogatás és gazdaságfejlesztés</t>
  </si>
  <si>
    <t>Padkarendezés</t>
  </si>
  <si>
    <t>Szegélyek javítása, akadálymentesítés</t>
  </si>
  <si>
    <t>ELTE támogatás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</si>
  <si>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</si>
  <si>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</si>
  <si>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</si>
  <si>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Kéményseprő ipari közszolgáltatási támogatás visszafizetése</t>
  </si>
  <si>
    <t>Önkormányzat egyéb kiadásai (Városüzemeltetési, vagyongazdálkodási kiadások)</t>
  </si>
  <si>
    <t>TOP-6.1.5-2019-00002 Ferenczy u. hiányzó szakaszának építése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</si>
  <si>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</si>
  <si>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</si>
  <si>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</si>
  <si>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</si>
  <si>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</si>
  <si>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</si>
  <si>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</si>
  <si>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Felhalmozási tartalék</t>
  </si>
  <si>
    <t xml:space="preserve">Felhalmozási tartalék </t>
  </si>
  <si>
    <t>Felhalmozási tartalék összesen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</si>
  <si>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</si>
  <si>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</si>
  <si>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</si>
  <si>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</si>
  <si>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</si>
  <si>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</si>
  <si>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</si>
  <si>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</si>
  <si>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</si>
  <si>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</si>
  <si>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</si>
  <si>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>2024. évi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</si>
  <si>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</si>
  <si>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</si>
  <si>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</si>
  <si>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</si>
  <si>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</si>
  <si>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</si>
  <si>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</si>
  <si>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VOLÁNBUSZ  Zrt. - megállapodás alapján helyközi autóbuszjáratok helyi tarifával történő igénybevétele-Szombathely, Petőfi telep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</si>
  <si>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</si>
  <si>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</si>
  <si>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</si>
  <si>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</si>
  <si>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Könyvtári érdekeltségnövelő támogatás</t>
  </si>
  <si>
    <t>Szociális ágazati összevont pótlék</t>
  </si>
  <si>
    <t>Biztosító térítése, egyéb kártérítés, kötbér</t>
  </si>
  <si>
    <t>Támogatások elszámolása ÁH-on kívülről</t>
  </si>
  <si>
    <t>Központi költségvetés részére visszafizetési kötelezettség</t>
  </si>
  <si>
    <t>Ipari park tudományos technológiai parkká minősítés</t>
  </si>
  <si>
    <t>Közszolgáltatási szerződés helyi közlekedés</t>
  </si>
  <si>
    <t>Zanati Kulturális Egyesület</t>
  </si>
  <si>
    <t>Óvodai ellátó rendszerben prognosztizált munkaerő-hiány kezelése</t>
  </si>
  <si>
    <t>Nemzetközi Diákjátékok</t>
  </si>
  <si>
    <t>Tavak haszonbérbe adása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</si>
  <si>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</si>
  <si>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</si>
  <si>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</si>
  <si>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Savaria Városfejlesztési Kft. - tagi kölcsön visszatérülése</t>
  </si>
  <si>
    <t>Egyéb kulturális rendezvények</t>
  </si>
  <si>
    <t>Citylight hirdetőtáblák karbantartása, javítása</t>
  </si>
  <si>
    <t>Egyéb lakásgazdálkodási és szociális kiadások</t>
  </si>
  <si>
    <t>Szombathelyi Szabadidősport rendezvények</t>
  </si>
  <si>
    <t>Évközi tervezések, útfelújítás tervezések, egyéb tervezések</t>
  </si>
  <si>
    <t>Analóg térfigyelő kamerák cseréje</t>
  </si>
  <si>
    <t>Tűzoltó nap - "Tűzoltás-mentés" Alapítvány támogatása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</si>
  <si>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</si>
  <si>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</si>
  <si>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</si>
  <si>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</si>
  <si>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>2025. évi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</si>
  <si>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</si>
  <si>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</si>
  <si>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</si>
  <si>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</si>
  <si>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</si>
  <si>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Adventi vásár díszkivilágítás támogatása</t>
  </si>
  <si>
    <t>Országos tanulmányi versenyeken eredményesen szereplő diákok és tanáraik jutalmazása</t>
  </si>
  <si>
    <t>Fogyatékkal Élőket és Hajléktalanokat Ellátó Nkft. támogatása (célja: tüzifa vásárlás)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</si>
  <si>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</si>
  <si>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</si>
  <si>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</si>
  <si>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VASIVÍZ ZRt.-Uszoda fenntartás- központi támogatásból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</si>
  <si>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</si>
  <si>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</si>
  <si>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</si>
  <si>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</si>
  <si>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>Költségvetési intézmények informatikai fejlesztése</t>
  </si>
  <si>
    <t>ITM támogatás - Zanati kerékpárút fejlesztése - hozzájárulás</t>
  </si>
  <si>
    <t xml:space="preserve">Körforgalom (Markusovszky u. - Sugár u. - Horváth Boldizsár krt. - Dr. István Lajos krt.) </t>
  </si>
  <si>
    <t>Stromfeld lakótelepen parkoló építés</t>
  </si>
  <si>
    <t>TOP-6.1.5-2019-00002 Ferenczy u. hiányzó szakaszának építése - hozzájárulás</t>
  </si>
  <si>
    <t>Fogyatékkal Élőket és Hajléktalanokat Ellátó Nkft. támogatása</t>
  </si>
  <si>
    <t>Egyedi önkormányzati informatikai fejlesztések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</si>
  <si>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</si>
  <si>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</si>
  <si>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</si>
  <si>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</si>
  <si>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</si>
  <si>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</si>
  <si>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r>
      <t>Szombathelyi Egészségügyi és Kulturális Intézmények GESZ</t>
    </r>
    <r>
      <rPr>
        <b/>
        <sz val="12"/>
        <rFont val="Calibri"/>
        <family val="2"/>
        <charset val="238"/>
      </rPr>
      <t xml:space="preserve"> </t>
    </r>
    <r>
      <rPr>
        <b/>
        <i/>
        <sz val="12"/>
        <rFont val="Calibri"/>
        <family val="2"/>
        <charset val="238"/>
      </rPr>
      <t>önkormányzati támogatásból fedezett kiadás</t>
    </r>
  </si>
  <si>
    <r>
      <t xml:space="preserve">Szombathelyi Egészségügyi és Kulturális Intézmények GESZ </t>
    </r>
    <r>
      <rPr>
        <b/>
        <i/>
        <sz val="12"/>
        <rFont val="Calibri"/>
        <family val="2"/>
        <charset val="238"/>
      </rPr>
      <t>saját bevételéből és NEAK támogatásból fedezett kiadás</t>
    </r>
  </si>
  <si>
    <t>Csatorna fedél javítások</t>
  </si>
  <si>
    <t xml:space="preserve">Kormányzati támogatás </t>
  </si>
  <si>
    <t>Nemzeti Tudósképző Akadémia program</t>
  </si>
  <si>
    <t>Derkovits Városrészért Egyesület</t>
  </si>
  <si>
    <t>Sebész kongresszus</t>
  </si>
  <si>
    <t>2026. évi</t>
  </si>
  <si>
    <t>Központi támogatás elszámolás alapján</t>
  </si>
  <si>
    <t>TOP Plusz 1.3.1.-00001 Fenntartható városfejlesztés</t>
  </si>
  <si>
    <t>Továbbszámlázott költségek megtérítése</t>
  </si>
  <si>
    <t>Áfa visszaigénylés - Zöld hidrogénen alapuló ökoszisztéma fejlesztése Szhelyen</t>
  </si>
  <si>
    <t>EIT Urban Mobility TICER pályázat</t>
  </si>
  <si>
    <t>INTERREG Europe OD4GROWTH pályázat</t>
  </si>
  <si>
    <t>Kalandváros óvodai és iskolai csoportok által történő szervezett látogatásának támogatása</t>
  </si>
  <si>
    <t xml:space="preserve">Identitás program </t>
  </si>
  <si>
    <t>HÁROFIT Közhasznú Egyesület -Családok Húsvéti ajándékozása</t>
  </si>
  <si>
    <t>HÁROFIT Közhasznú Egyesület -Rászoruló családoknak nyújtott tanévkezdési támogatás</t>
  </si>
  <si>
    <t xml:space="preserve">INTERREG Europe OD4GROWTH pályázat </t>
  </si>
  <si>
    <t>Rumi Rajki István utca burkolat felújítására</t>
  </si>
  <si>
    <t>Derkovits lakótelepen parkoló kialakítása</t>
  </si>
  <si>
    <t>Zöld hidrogénen alapuló ökoszisztéma fejlesztése Szhelyen</t>
  </si>
  <si>
    <t>Jégpince utca és a Bartók B. körűt körforgalom fordított ÁFA</t>
  </si>
  <si>
    <t>Körforgalom (Markusovszky u. - Sugár u. - Horváth Boldizsár krt. - Dr. István Lajos krt.) fordított ÁFA</t>
  </si>
  <si>
    <t>Trafiboxok beszerzése, telepítése</t>
  </si>
  <si>
    <t>Északi iparterület - közművesítések finanszírozása, fejlesztések finanszírozása, tanulmányterv készítése - fordított ÁFA</t>
  </si>
  <si>
    <t>Hajdú utca burkolat javítás</t>
  </si>
  <si>
    <t>Ekata rendszer havi díj</t>
  </si>
  <si>
    <t>Önkéntes rendszer üzemeltetési díja</t>
  </si>
  <si>
    <t>VDKSZ  működtetés</t>
  </si>
  <si>
    <t>Szombathelypont működtetés</t>
  </si>
  <si>
    <t>eKata vagyongazdálkodási rendszer intézményi kiterjesztés</t>
  </si>
  <si>
    <t>Összesen</t>
  </si>
  <si>
    <t>Szociális térkép</t>
  </si>
  <si>
    <t>Egyéb rendezvények</t>
  </si>
  <si>
    <t>Egyéb közhatalmi bevételek</t>
  </si>
  <si>
    <t>Vásárok, rendezvények, karácsonyi díszkivilágítás - fordított áfa</t>
  </si>
  <si>
    <t>Parkolók kialakítása, javítása (Éhen Gyula téri, Szürcsapó u. 6-8. mögötti, Barátság u. 17-19. melletti, Bartók Béla krt. 40. előtti)</t>
  </si>
  <si>
    <t>2024. évi útfelújítási program</t>
  </si>
  <si>
    <t>Nyugíjas Bérlők Háza befizetés</t>
  </si>
  <si>
    <t>RRF-1.1.2-21-2021-0007 Demográfiai és köznevelési bölcsődei nevelés fejlesztése - Új bölcsőde építése Szombathely Szentkirályi városrészen - fordított áfa</t>
  </si>
  <si>
    <t>RRF-1.1.2-21-2021-0007 Demográfiai és köznevelési bölcsődei nevelés fejlesztése - Új bölcsőde építése Szombathely Szentkirályi városrészen - hozzájárulás</t>
  </si>
  <si>
    <t>MVP ügyleti kamatfizetési kötelezettésg</t>
  </si>
  <si>
    <t>Egyéb finanszírozási célú bevétel a 2024. évi költségvetési támogatási előleghez</t>
  </si>
  <si>
    <t>Egyéb finanszírozási célú kiadás - 2024.évi költségvetési támogatási előleg</t>
  </si>
  <si>
    <t>Savaria Szimfonikus Zenekar</t>
  </si>
  <si>
    <t>Savaria Múzeum</t>
  </si>
  <si>
    <t>Olimpikonok támogatása</t>
  </si>
  <si>
    <t xml:space="preserve">1000 fa program </t>
  </si>
  <si>
    <t>Vas Megyei Temetkezési Kft. támogatása</t>
  </si>
  <si>
    <t>Önkéntes Stratégia végrehajtása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</si>
  <si>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</si>
  <si>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</si>
  <si>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</si>
  <si>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</si>
  <si>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Projektek - önerő, hozzájárulás, előkészítés, egyéb beruházási feladatok</t>
  </si>
  <si>
    <t>Vas Vármegyei Markusovszky Egyetemi Oktatókórház (parkoló bérlet díj támogatás)</t>
  </si>
  <si>
    <t>Táncverseny</t>
  </si>
  <si>
    <t>Működési célú maradvány - 2024.évi útfelújítási programhoz</t>
  </si>
  <si>
    <t>Felhalmozási célú maradvány - 2024. évi útfelújítási programhoz</t>
  </si>
  <si>
    <t xml:space="preserve">Szombathelyi Szépítő Egyesület támogatása </t>
  </si>
  <si>
    <t>Ingatlancseréből származó bevétel</t>
  </si>
  <si>
    <t>Ingatlancsere</t>
  </si>
  <si>
    <t>helyi iparűzési adó (2.500 eFt adóalap mentesség)</t>
  </si>
  <si>
    <t>SZÖVEGES INDOKOLÁS</t>
  </si>
  <si>
    <t>Japán nap támogatása</t>
  </si>
  <si>
    <t>2024.évi energiaköltségekre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</si>
  <si>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</si>
  <si>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</si>
  <si>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</si>
  <si>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>Alapellátás háziorvosai és fogorvosai részére rezsikompenzáció</t>
  </si>
  <si>
    <t>VASIVÍZ ZRt. - elsődleges tevékenység támogatása</t>
  </si>
  <si>
    <t>Tartalék - közétkeztetési  rezsi kulcs emelésből adódó többletkiadások fedezetére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</si>
  <si>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</si>
  <si>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</si>
  <si>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</si>
  <si>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</si>
  <si>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</si>
  <si>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</si>
  <si>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r>
      <t>Weöres Sándor Színház Nkft.</t>
    </r>
    <r>
      <rPr>
        <b/>
        <i/>
        <sz val="12"/>
        <rFont val="Calibri"/>
        <family val="2"/>
        <charset val="238"/>
      </rPr>
      <t xml:space="preserve"> önkormányzati támogatása</t>
    </r>
  </si>
  <si>
    <t>Weöres Sándor Színház Nkft. összesen</t>
  </si>
  <si>
    <t>Herényi Kulturális és Sportegyesület - 30 éves jubileumi év</t>
  </si>
  <si>
    <r>
      <t xml:space="preserve">Önkormányzati fenntartású Weöres Sándor Színház Nkft. </t>
    </r>
    <r>
      <rPr>
        <i/>
        <sz val="12"/>
        <rFont val="Calibri"/>
        <family val="2"/>
        <charset val="238"/>
      </rPr>
      <t>közös működtetési támogatása</t>
    </r>
  </si>
  <si>
    <t>2027. évi</t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</si>
  <si>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</si>
  <si>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</si>
  <si>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</si>
  <si>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</si>
  <si>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</si>
  <si>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</si>
  <si>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</si>
  <si>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</si>
  <si>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</si>
  <si>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</si>
  <si>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</si>
  <si>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</si>
  <si>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</si>
  <si>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</si>
  <si>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</si>
  <si>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</si>
  <si>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</si>
  <si>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</si>
  <si>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</si>
  <si>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</si>
  <si>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</si>
  <si>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Nyugdíjas Bérlők Háza - használatba vételi díj visszafizetése</t>
  </si>
  <si>
    <t>Nyugat-dunántúli Regionális Hulladékgazdálkodási Önkormányzati Társulás működési hozzájárulás</t>
  </si>
  <si>
    <t>Hulladékgazdálkodáshoz kapcsolódó környezetvédelmi kiadások</t>
  </si>
  <si>
    <t>Fenntartható Energia és Klímavédelmi Cselekvési Terv felülvizsgálata (SECAP)</t>
  </si>
  <si>
    <t>Energiaközösség megvalósításának vizsgálata</t>
  </si>
  <si>
    <t>Vadvirág utcai Polgárjogi Társaság támogatása - Vadvirág u. helyreállítása céljából</t>
  </si>
  <si>
    <t>Árkádia Üzletház Társasház részére a Dolgozók útja 1/A. előtt buszmegálló felújításához nyújtott támogatás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</si>
  <si>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</si>
  <si>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</si>
  <si>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Továbbszámlázandó-Megvalósíthatósági tanulmány kidolgozása - Zöld hidrogénen alapuló ökoszisztéma fejlesztés Szombathelyen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</si>
  <si>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</si>
  <si>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</si>
  <si>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</si>
  <si>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</si>
  <si>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</si>
  <si>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>Háziorvosi életpálya modellhez kapcsolódó visszafizetés</t>
  </si>
  <si>
    <t>Árfolyam nyereség - JUSTNature projekthez kapcsolódóan</t>
  </si>
  <si>
    <t>PRENOR Kft.bérleti díj megtérítése 2022-20023. évekre</t>
  </si>
  <si>
    <t xml:space="preserve">Kiszámlázott és befizetendő áfa bevétel (PRENOR Kft. bérleti díj után) </t>
  </si>
  <si>
    <t>PRENOR Kft.tagi kölcsön, bérleti díj után járó kamatbevétel</t>
  </si>
  <si>
    <t>PRENOR Kft.tagi kölcsön visszatérülése</t>
  </si>
  <si>
    <t>Szombathelyért Közalapítvány tagi kölcsön visszatérülése</t>
  </si>
  <si>
    <t>CERV-2023-CITIZENS-TOWN-TT projekt - Testre szabott energia</t>
  </si>
  <si>
    <t>Horizon Europe WeGenerate ("Társ város") projekt</t>
  </si>
  <si>
    <t xml:space="preserve">Szombathelyi Turisztikai és Testvérvárosi Egyesület </t>
  </si>
  <si>
    <t>Szalézi Rendház Szombathely támogatása (nyári napközis tábor)</t>
  </si>
  <si>
    <t>Pécsi Tudományegyetem támogatás</t>
  </si>
  <si>
    <t>Prenor Kft.tagi kölcsön nyújtása</t>
  </si>
  <si>
    <t xml:space="preserve">Viktória FC támogatása </t>
  </si>
  <si>
    <t>Parkolók kialakítása, javítása (Éhen Gyula téri, Szürcsapó u. 6-8. mögötti, Barátság u. 17-19. melletti, Bartók Béla krt. 40. előtti) - fordított áfa kiadás</t>
  </si>
  <si>
    <t>2024. évi útfelújítási program fordított áfa kiadás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</si>
  <si>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</si>
  <si>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</si>
  <si>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</si>
  <si>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</si>
  <si>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>Képviselő testület tagjai és a bizottsági tagok jogszabály szerinti juttatásai</t>
  </si>
  <si>
    <t>AGORA Savaria Kulturális és Médiaközpont Nkft. támogatása</t>
  </si>
  <si>
    <r>
      <t>Szombathelyi Egészségügyi és Kulturális Intézmények GESZ</t>
    </r>
    <r>
      <rPr>
        <b/>
        <sz val="12"/>
        <rFont val="Calibri"/>
        <family val="2"/>
        <charset val="238"/>
      </rPr>
      <t xml:space="preserve"> </t>
    </r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</si>
  <si>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</si>
  <si>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</si>
  <si>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</si>
  <si>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</si>
  <si>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</si>
  <si>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</si>
  <si>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</si>
  <si>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</si>
  <si>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JustNature projekt-fordított ÁFA</t>
  </si>
  <si>
    <t>Sárdi-éri iparterületen megvalósuló útfejlesztéshez kapcsolódó ingatlan kisajátítás kiadásai</t>
  </si>
  <si>
    <t>Szombathelyi Szabadidősport Szövetség támogatása - Városi Kispályás Labdarúgó Bajnokság, Városi Tekebajnokság, Nyári lábtenisz bajnokság, Kispályás labdarúgó bajnokság</t>
  </si>
  <si>
    <t>Települési hulladékkezelés és köztisztasági tevékenység, síkosság mentesítés</t>
  </si>
  <si>
    <t>SPORT ÁGAZAT KIADÁSAI MINDÖSSZESEN</t>
  </si>
  <si>
    <t>Szombathelyi Futóklub Szabadidő Sport Egyesület támogatása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</si>
  <si>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</si>
  <si>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</si>
  <si>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</si>
  <si>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</si>
  <si>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 xml:space="preserve">Haladás Labdarúgó és Sportszolgáltató Kft. 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</si>
  <si>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</si>
  <si>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</si>
  <si>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</si>
  <si>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</si>
  <si>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</si>
  <si>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</si>
  <si>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>HVSE támogatása</t>
  </si>
  <si>
    <t xml:space="preserve">Söpte Önkormányzatának járó juttatás SZMJV önkormányzati területek után </t>
  </si>
  <si>
    <t>Kukullói Kertbarátok Társasága részére külterületi utak burkolat kialakításához és karbantartáshoz nyújtott támogatás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</si>
  <si>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</si>
  <si>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</si>
  <si>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</si>
  <si>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</si>
  <si>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2025.</t>
  </si>
  <si>
    <t>Vármegyeszékhely megyei jogú városok kulturális feladatainak támogatása</t>
  </si>
  <si>
    <t>Vármegyei hatókörű városi könyvtár kistelepülési könyvtári célú kiegészítő támogatása</t>
  </si>
  <si>
    <t xml:space="preserve">Települési önkormányzatok kulturális feladatainak bérjellegű támogatása </t>
  </si>
  <si>
    <t>MINDÖSSZESEN</t>
  </si>
  <si>
    <t>2024. évi III.sz.</t>
  </si>
  <si>
    <t>Támogatások elszámolása államháztartáson belülről</t>
  </si>
  <si>
    <t>Interreg CE Program - Green LaMiS projekt - hazai támogatás</t>
  </si>
  <si>
    <t>Energiaügyi Minisztérium - "Zöld óvoda" program támogatás</t>
  </si>
  <si>
    <t>Egyéb különféle működési célú bevétel</t>
  </si>
  <si>
    <t>Szent Márton kártya értékesítése</t>
  </si>
  <si>
    <t>iSi Automotive Hungary Kft. támogatása a 3H jelű autóbusz járat működtetéséhez</t>
  </si>
  <si>
    <t>Szociális Szolgáltatók Közhasznú Egyesület részére támogatás (rászorulók karácsonyi ajándékozása)</t>
  </si>
  <si>
    <t>Alpokalja Nagycsaládos Egyesület Szombathely részére támogatás</t>
  </si>
  <si>
    <t>Tömjénhegy Utcai Úttársaság támogatása (Tömjénhegy u. felújítás)</t>
  </si>
  <si>
    <t>Egyéb - finanszírozási célú bevétel - Lekötött bankbetét feloldása</t>
  </si>
  <si>
    <t>Tartalék - a 2025. évi költségvetéshez</t>
  </si>
  <si>
    <t>Egyéb finanszírozási célú kiadás - Lekötött bankbetét elhelyezése</t>
  </si>
  <si>
    <t xml:space="preserve">Polgármesteri Hivatal épület felújítás I. ütem - balesetveszély elhárítása </t>
  </si>
  <si>
    <t>Bartók Béla körút híd cél és fővizsgálat</t>
  </si>
  <si>
    <t xml:space="preserve">2024. évi  </t>
  </si>
  <si>
    <t>2024. évi III. sz.</t>
  </si>
  <si>
    <t>Összeg</t>
  </si>
  <si>
    <t>ELTE gépészmérnök képzés támogatása</t>
  </si>
  <si>
    <t xml:space="preserve">Kulturális és Civil alap támogatása </t>
  </si>
  <si>
    <t xml:space="preserve">2025. évi  kiadásai kiemelt előirányzatonként </t>
  </si>
  <si>
    <t xml:space="preserve">2025. évi bevételei  kiemelt előirányzatonként </t>
  </si>
  <si>
    <t>Kimutatás a versenyképes járások programból finanszírozott költségvetési tételekről</t>
  </si>
  <si>
    <t>Szombathely Megyei  Jogú Város Önkormányzata 2025. évi előirányzat felhasználási terve</t>
  </si>
  <si>
    <t>Szombathely Megyei Jogú Város Önkormányzata 2025. évi előirányzat felhasználási terve</t>
  </si>
  <si>
    <t xml:space="preserve">2025. évi közvetett támogatásairól </t>
  </si>
  <si>
    <t>Dobó SE támogatása</t>
  </si>
  <si>
    <t>Térségi hatású nagyrendezvények támogatása</t>
  </si>
  <si>
    <t>Tartalék - városi cégek, intézmények, szolgáltatások működésére</t>
  </si>
  <si>
    <t>Állatvédők Vasi Egyesülete és a Kutyamenhely Alapítvány által közösen működtetett állatmenhely fenntartási költségei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</si>
  <si>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</si>
  <si>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</si>
  <si>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</si>
  <si>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</si>
  <si>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</si>
  <si>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Települési önkormányzatok kulturális feladatainak bérjellegű támogatása (681/2021.(XII.6.) korm.rend.szerinti)</t>
  </si>
  <si>
    <t>Települési önkormányzatok kulturális feladatainak bérjellegű támogatása   (minimálbér és garantált bérminimum emelés)</t>
  </si>
  <si>
    <t>Bölcsődék karbantartási kiadásai, játszótéri eszközök beszerzése, cseréje</t>
  </si>
  <si>
    <t>Költségvetési szervek 2025. évi bevételei</t>
  </si>
  <si>
    <t>I N T É Z M É N Y</t>
  </si>
  <si>
    <t>Központi,irányító szervi        működési támogatás</t>
  </si>
  <si>
    <t>Központi,irányító szervi felhalmozási támogatás</t>
  </si>
  <si>
    <t>Központi,irányító szervi            támogatás összesen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</si>
  <si>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</si>
  <si>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</si>
  <si>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</si>
  <si>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</si>
  <si>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</si>
  <si>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</si>
  <si>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</si>
  <si>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</si>
  <si>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</si>
  <si>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</si>
  <si>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</si>
  <si>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</si>
  <si>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</si>
  <si>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</si>
  <si>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</si>
  <si>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</si>
  <si>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</si>
  <si>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Benczur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</si>
  <si>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</si>
  <si>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</si>
  <si>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</si>
  <si>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</si>
  <si>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</si>
  <si>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</si>
  <si>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Berzsenyi Dániel Könyvtár</t>
  </si>
  <si>
    <t xml:space="preserve">Összesen                             </t>
  </si>
  <si>
    <t>Szociális intézmény</t>
  </si>
  <si>
    <t>Szociális intézmények</t>
  </si>
  <si>
    <t>Egészségügyi intézmény</t>
  </si>
  <si>
    <t>Szombathelyi Egészségügyi  és Kulturális GESZ</t>
  </si>
  <si>
    <t>Gyermekvédelmi intézmény</t>
  </si>
  <si>
    <t>Egyéb intézmények</t>
  </si>
  <si>
    <t>Szombathelyi Városi Vásárcsarnok</t>
  </si>
  <si>
    <t xml:space="preserve">Összesen                                 </t>
  </si>
  <si>
    <t>Nem oktatási intézmények összesen</t>
  </si>
  <si>
    <t>Intézmények mindösszesen</t>
  </si>
  <si>
    <t>Költségvetési szervek 2025. évi kiadásai</t>
  </si>
  <si>
    <t>Egyéb müködési célú kiadások</t>
  </si>
  <si>
    <t>Felhalmozási kiadások öszesen</t>
  </si>
  <si>
    <t>Szombathely Megyei Jogú Város Önkormányzatának</t>
  </si>
  <si>
    <t>2025. évi engedélyezett létszámelőirányzata</t>
  </si>
  <si>
    <t>2025. év</t>
  </si>
  <si>
    <t>2025. engedélyezett létszám 
összesen</t>
  </si>
  <si>
    <t>Intézmény</t>
  </si>
  <si>
    <t>SZAKMAI LÉTSZÁM</t>
  </si>
  <si>
    <t>INTÉZMÉNY ÜZEMELTETÉSI LÉTSZÁM</t>
  </si>
  <si>
    <t>átszámítás nélküli</t>
  </si>
  <si>
    <t xml:space="preserve">   kerekített</t>
  </si>
  <si>
    <t>kerekített</t>
  </si>
  <si>
    <t xml:space="preserve">Ó v o d á k </t>
  </si>
  <si>
    <t>Óvodák  összesen:</t>
  </si>
  <si>
    <t xml:space="preserve">Oktatási intézmények összesen                                       </t>
  </si>
  <si>
    <t>Kulturális intézmény</t>
  </si>
  <si>
    <t xml:space="preserve">Összesen                                       </t>
  </si>
  <si>
    <t>Szombathelyi Egészségügyi és Kulturális GESZ</t>
  </si>
  <si>
    <t xml:space="preserve">Polgármesteri Hivatal </t>
  </si>
  <si>
    <t>Szombathely Megyei Jogú Város Önkormányzata általános működésének és ágazati feladatainak támogatása</t>
  </si>
  <si>
    <t>és a helyi önkormányzatok kiegészítő támogatásai</t>
  </si>
  <si>
    <t>Önkormányzat általános működésének és ágazati feladatainak támogatása (Költségvetési törvény 2. melléklet)</t>
  </si>
  <si>
    <t>2024. év  eredeti előirányzat</t>
  </si>
  <si>
    <t xml:space="preserve">2025. év  eredeti előirányzat </t>
  </si>
  <si>
    <t xml:space="preserve">Eltérés 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</si>
  <si>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</si>
  <si>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</si>
  <si>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</si>
  <si>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</si>
  <si>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</si>
  <si>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</si>
  <si>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</si>
  <si>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</si>
  <si>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</si>
  <si>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</si>
  <si>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</si>
  <si>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</si>
  <si>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</si>
  <si>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</si>
  <si>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</si>
  <si>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</si>
  <si>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</si>
  <si>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</si>
  <si>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</si>
  <si>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</si>
  <si>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</si>
  <si>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</si>
  <si>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</si>
  <si>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</si>
  <si>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</si>
  <si>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</si>
  <si>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</si>
  <si>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</si>
  <si>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</si>
  <si>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</si>
  <si>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</si>
  <si>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</si>
  <si>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</si>
  <si>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</si>
  <si>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</si>
  <si>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</si>
  <si>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</si>
  <si>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</si>
  <si>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</si>
  <si>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</si>
  <si>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</si>
  <si>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</si>
  <si>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</si>
  <si>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</si>
  <si>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</si>
  <si>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</si>
  <si>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</si>
  <si>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</si>
  <si>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</si>
  <si>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</si>
  <si>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</si>
  <si>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</si>
  <si>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</si>
  <si>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</si>
  <si>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</si>
  <si>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</si>
  <si>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</si>
  <si>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</si>
  <si>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</si>
  <si>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</si>
  <si>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</si>
  <si>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</si>
  <si>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</si>
  <si>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</si>
  <si>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</si>
  <si>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</si>
  <si>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</si>
  <si>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2.4.2. Vármegyei hatókörű városi múzeumok feladatainak támogatása</t>
  </si>
  <si>
    <t>2.4.3. Vármegyei hatókörű városi  könyvtárak feladatainak támogatása</t>
  </si>
  <si>
    <t>2.4.6. Zeneművészeti szervezetek támogatása</t>
  </si>
  <si>
    <t xml:space="preserve">2.4.7.  Települési önkormányzatok kulturális feladatainak bérjellegű támogatása  </t>
  </si>
  <si>
    <t>Kulturális feladatok támogatása összesen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</si>
  <si>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</si>
  <si>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</si>
  <si>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</si>
  <si>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TÁJÉKOZTATÓ ADAT</t>
  </si>
  <si>
    <t>Közös működtetési támogatás</t>
  </si>
  <si>
    <t xml:space="preserve">                            Mesebolt Bábszínház</t>
  </si>
  <si>
    <t xml:space="preserve">                            Weöres Sándor Színház Nonprofit Kft.</t>
  </si>
  <si>
    <t xml:space="preserve">eredeti </t>
  </si>
  <si>
    <t>előirányzat</t>
  </si>
  <si>
    <t xml:space="preserve">módosított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</si>
</sst>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112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i/>
      <sz val="20"/>
      <name val="Arial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22"/>
      <name val="Arial"/>
      <family val="2"/>
      <charset val="238"/>
    </font>
    <font>
      <b/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i/>
      <u/>
      <sz val="16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2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6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Arial CE"/>
      <charset val="238"/>
    </font>
    <font>
      <sz val="12"/>
      <name val="Arial CE"/>
      <family val="2"/>
      <charset val="238"/>
    </font>
    <font>
      <b/>
      <sz val="22"/>
      <name val="Calibri"/>
      <family val="2"/>
      <charset val="238"/>
      <scheme val="minor"/>
    </font>
    <font>
      <b/>
      <sz val="12"/>
      <name val="Arial CE"/>
      <charset val="238"/>
    </font>
    <font>
      <b/>
      <sz val="22"/>
      <name val="Arial CE"/>
      <charset val="238"/>
    </font>
    <font>
      <sz val="36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20"/>
      <name val="Arial CE"/>
      <charset val="238"/>
    </font>
    <font>
      <b/>
      <sz val="18"/>
      <name val="Arial CE"/>
      <charset val="238"/>
    </font>
    <font>
      <b/>
      <sz val="24"/>
      <name val="Arial CE"/>
      <charset val="238"/>
    </font>
    <font>
      <b/>
      <i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6"/>
      <name val="Arial CE"/>
      <family val="2"/>
      <charset val="238"/>
    </font>
    <font>
      <sz val="12"/>
      <name val="Times New Roman CE"/>
      <charset val="238"/>
    </font>
    <font>
      <sz val="26"/>
      <name val="Times New Roman CE"/>
      <charset val="238"/>
    </font>
    <font>
      <b/>
      <sz val="14"/>
      <name val="Arial CE"/>
      <family val="2"/>
      <charset val="238"/>
    </font>
    <font>
      <b/>
      <sz val="28"/>
      <name val="Calibri"/>
      <family val="2"/>
      <charset val="238"/>
      <scheme val="minor"/>
    </font>
    <font>
      <b/>
      <sz val="26"/>
      <name val="Times New Roman CE"/>
      <charset val="238"/>
    </font>
    <font>
      <b/>
      <u/>
      <sz val="26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8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6"/>
      <name val="Times New Roman CE"/>
      <charset val="238"/>
    </font>
    <font>
      <b/>
      <sz val="26"/>
      <color indexed="10"/>
      <name val="Arial CE"/>
      <family val="2"/>
      <charset val="238"/>
    </font>
    <font>
      <b/>
      <sz val="28"/>
      <color indexed="10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name val="Arial"/>
      <family val="2"/>
      <charset val="238"/>
    </font>
    <font>
      <sz val="24"/>
      <color indexed="8"/>
      <name val="Arial"/>
      <family val="2"/>
      <charset val="238"/>
    </font>
    <font>
      <sz val="24"/>
      <name val="Arial"/>
      <family val="2"/>
      <charset val="238"/>
    </font>
    <font>
      <b/>
      <i/>
      <sz val="26"/>
      <name val="Arial"/>
      <family val="2"/>
      <charset val="238"/>
    </font>
    <font>
      <sz val="22"/>
      <color theme="1"/>
      <name val="Arial"/>
      <family val="2"/>
      <charset val="238"/>
    </font>
    <font>
      <b/>
      <sz val="26"/>
      <color indexed="8"/>
      <name val="Arial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  <font>
      <b/>
      <i/>
      <sz val="18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2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8" fillId="6" borderId="0" applyNumberFormat="0" applyBorder="0" applyAlignment="0" applyProtection="0"/>
    <xf numFmtId="0" fontId="16" fillId="8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7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4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6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3" fillId="0" borderId="0"/>
    <xf numFmtId="0" fontId="78" fillId="0" borderId="0"/>
    <xf numFmtId="0" fontId="78" fillId="0" borderId="0"/>
    <xf numFmtId="0" fontId="23" fillId="0" borderId="0"/>
    <xf numFmtId="0" fontId="1" fillId="0" borderId="0"/>
  </cellStyleXfs>
  <cellXfs count="988">
    <xf numFmtId="0" fontId="0" fillId="0" borderId="0" xfId="0"/>
    <xf numFmtId="0" fontId="32" fillId="0" borderId="23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24" xfId="0" applyFont="1" applyBorder="1" applyAlignment="1">
      <alignment wrapText="1"/>
    </xf>
    <xf numFmtId="0" fontId="32" fillId="0" borderId="23" xfId="0" applyFont="1" applyBorder="1"/>
    <xf numFmtId="0" fontId="32" fillId="0" borderId="25" xfId="0" applyFont="1" applyBorder="1"/>
    <xf numFmtId="0" fontId="32" fillId="0" borderId="0" xfId="0" applyFont="1"/>
    <xf numFmtId="0" fontId="33" fillId="0" borderId="23" xfId="0" applyFont="1" applyBorder="1"/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26" xfId="0" applyFont="1" applyBorder="1"/>
    <xf numFmtId="0" fontId="36" fillId="0" borderId="23" xfId="48" applyFont="1" applyBorder="1"/>
    <xf numFmtId="0" fontId="34" fillId="0" borderId="23" xfId="48" applyFont="1" applyBorder="1" applyAlignment="1">
      <alignment horizontal="right"/>
    </xf>
    <xf numFmtId="3" fontId="33" fillId="0" borderId="0" xfId="0" applyNumberFormat="1" applyFont="1"/>
    <xf numFmtId="3" fontId="37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right"/>
    </xf>
    <xf numFmtId="3" fontId="36" fillId="0" borderId="30" xfId="0" applyNumberFormat="1" applyFont="1" applyBorder="1" applyAlignment="1">
      <alignment horizontal="center"/>
    </xf>
    <xf numFmtId="3" fontId="36" fillId="0" borderId="31" xfId="0" applyNumberFormat="1" applyFont="1" applyBorder="1" applyAlignment="1">
      <alignment horizontal="center"/>
    </xf>
    <xf numFmtId="0" fontId="33" fillId="0" borderId="35" xfId="0" applyFont="1" applyBorder="1"/>
    <xf numFmtId="0" fontId="33" fillId="0" borderId="24" xfId="0" applyFont="1" applyBorder="1"/>
    <xf numFmtId="3" fontId="35" fillId="0" borderId="26" xfId="0" applyNumberFormat="1" applyFont="1" applyBorder="1"/>
    <xf numFmtId="3" fontId="35" fillId="0" borderId="26" xfId="0" applyNumberFormat="1" applyFont="1" applyBorder="1" applyAlignment="1">
      <alignment horizontal="right"/>
    </xf>
    <xf numFmtId="0" fontId="33" fillId="0" borderId="37" xfId="0" applyFont="1" applyBorder="1"/>
    <xf numFmtId="3" fontId="35" fillId="0" borderId="38" xfId="0" applyNumberFormat="1" applyFont="1" applyBorder="1"/>
    <xf numFmtId="3" fontId="35" fillId="0" borderId="38" xfId="0" applyNumberFormat="1" applyFont="1" applyBorder="1" applyAlignment="1">
      <alignment horizontal="right"/>
    </xf>
    <xf numFmtId="3" fontId="35" fillId="0" borderId="31" xfId="0" applyNumberFormat="1" applyFont="1" applyBorder="1"/>
    <xf numFmtId="3" fontId="37" fillId="0" borderId="37" xfId="0" applyNumberFormat="1" applyFont="1" applyBorder="1"/>
    <xf numFmtId="3" fontId="35" fillId="0" borderId="39" xfId="0" applyNumberFormat="1" applyFont="1" applyBorder="1"/>
    <xf numFmtId="3" fontId="32" fillId="0" borderId="0" xfId="0" applyNumberFormat="1" applyFont="1"/>
    <xf numFmtId="3" fontId="38" fillId="0" borderId="31" xfId="0" applyNumberFormat="1" applyFont="1" applyBorder="1"/>
    <xf numFmtId="3" fontId="40" fillId="0" borderId="40" xfId="0" applyNumberFormat="1" applyFont="1" applyBorder="1"/>
    <xf numFmtId="3" fontId="40" fillId="0" borderId="42" xfId="0" applyNumberFormat="1" applyFont="1" applyBorder="1" applyAlignment="1">
      <alignment horizontal="right"/>
    </xf>
    <xf numFmtId="3" fontId="37" fillId="0" borderId="0" xfId="0" applyNumberFormat="1" applyFont="1"/>
    <xf numFmtId="0" fontId="37" fillId="0" borderId="0" xfId="0" applyFont="1" applyAlignment="1">
      <alignment horizontal="left"/>
    </xf>
    <xf numFmtId="3" fontId="35" fillId="0" borderId="31" xfId="0" applyNumberFormat="1" applyFont="1" applyBorder="1" applyAlignment="1">
      <alignment horizontal="right"/>
    </xf>
    <xf numFmtId="0" fontId="37" fillId="0" borderId="45" xfId="0" applyFont="1" applyBorder="1"/>
    <xf numFmtId="0" fontId="33" fillId="0" borderId="0" xfId="48" applyFont="1"/>
    <xf numFmtId="3" fontId="40" fillId="0" borderId="46" xfId="0" applyNumberFormat="1" applyFont="1" applyBorder="1"/>
    <xf numFmtId="3" fontId="40" fillId="0" borderId="42" xfId="0" applyNumberFormat="1" applyFont="1" applyBorder="1"/>
    <xf numFmtId="3" fontId="40" fillId="0" borderId="49" xfId="0" applyNumberFormat="1" applyFont="1" applyBorder="1"/>
    <xf numFmtId="3" fontId="37" fillId="0" borderId="32" xfId="0" applyNumberFormat="1" applyFont="1" applyBorder="1"/>
    <xf numFmtId="0" fontId="33" fillId="0" borderId="33" xfId="0" applyFont="1" applyBorder="1" applyAlignment="1">
      <alignment horizontal="left"/>
    </xf>
    <xf numFmtId="3" fontId="40" fillId="0" borderId="0" xfId="0" applyNumberFormat="1" applyFont="1"/>
    <xf numFmtId="3" fontId="33" fillId="0" borderId="50" xfId="0" applyNumberFormat="1" applyFont="1" applyBorder="1"/>
    <xf numFmtId="3" fontId="33" fillId="0" borderId="51" xfId="0" applyNumberFormat="1" applyFont="1" applyBorder="1"/>
    <xf numFmtId="0" fontId="36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34" fillId="0" borderId="0" xfId="0" applyFont="1"/>
    <xf numFmtId="3" fontId="34" fillId="0" borderId="0" xfId="0" applyNumberFormat="1" applyFont="1"/>
    <xf numFmtId="0" fontId="34" fillId="0" borderId="33" xfId="0" applyFont="1" applyBorder="1"/>
    <xf numFmtId="0" fontId="36" fillId="0" borderId="33" xfId="0" applyFont="1" applyBorder="1"/>
    <xf numFmtId="0" fontId="36" fillId="0" borderId="0" xfId="0" applyFont="1"/>
    <xf numFmtId="0" fontId="36" fillId="0" borderId="28" xfId="0" applyFont="1" applyBorder="1" applyAlignment="1">
      <alignment horizontal="left"/>
    </xf>
    <xf numFmtId="0" fontId="34" fillId="0" borderId="29" xfId="0" applyFont="1" applyBorder="1"/>
    <xf numFmtId="0" fontId="36" fillId="0" borderId="29" xfId="0" applyFont="1" applyBorder="1"/>
    <xf numFmtId="0" fontId="34" fillId="0" borderId="32" xfId="0" applyFont="1" applyBorder="1"/>
    <xf numFmtId="0" fontId="36" fillId="0" borderId="33" xfId="0" applyFont="1" applyBorder="1" applyAlignment="1">
      <alignment horizontal="left"/>
    </xf>
    <xf numFmtId="0" fontId="36" fillId="0" borderId="33" xfId="0" applyFont="1" applyBorder="1" applyAlignment="1">
      <alignment horizontal="right"/>
    </xf>
    <xf numFmtId="3" fontId="36" fillId="0" borderId="34" xfId="0" applyNumberFormat="1" applyFont="1" applyBorder="1" applyAlignment="1">
      <alignment horizontal="center"/>
    </xf>
    <xf numFmtId="0" fontId="37" fillId="0" borderId="23" xfId="0" applyFont="1" applyBorder="1"/>
    <xf numFmtId="0" fontId="40" fillId="0" borderId="30" xfId="0" applyFont="1" applyBorder="1" applyAlignment="1">
      <alignment horizontal="left"/>
    </xf>
    <xf numFmtId="3" fontId="32" fillId="0" borderId="0" xfId="0" applyNumberFormat="1" applyFont="1" applyProtection="1">
      <protection locked="0"/>
    </xf>
    <xf numFmtId="3" fontId="38" fillId="0" borderId="31" xfId="0" applyNumberFormat="1" applyFont="1" applyBorder="1" applyProtection="1">
      <protection locked="0"/>
    </xf>
    <xf numFmtId="0" fontId="44" fillId="0" borderId="0" xfId="0" applyFont="1"/>
    <xf numFmtId="0" fontId="45" fillId="0" borderId="0" xfId="0" applyFont="1"/>
    <xf numFmtId="3" fontId="41" fillId="0" borderId="31" xfId="0" applyNumberFormat="1" applyFont="1" applyBorder="1"/>
    <xf numFmtId="0" fontId="32" fillId="0" borderId="52" xfId="0" applyFont="1" applyBorder="1"/>
    <xf numFmtId="3" fontId="32" fillId="0" borderId="52" xfId="0" applyNumberFormat="1" applyFont="1" applyBorder="1" applyProtection="1">
      <protection locked="0"/>
    </xf>
    <xf numFmtId="3" fontId="38" fillId="0" borderId="53" xfId="0" applyNumberFormat="1" applyFont="1" applyBorder="1" applyProtection="1">
      <protection locked="0"/>
    </xf>
    <xf numFmtId="0" fontId="45" fillId="0" borderId="17" xfId="0" applyFont="1" applyBorder="1"/>
    <xf numFmtId="0" fontId="32" fillId="0" borderId="0" xfId="0" applyFont="1" applyAlignment="1">
      <alignment wrapText="1"/>
    </xf>
    <xf numFmtId="0" fontId="32" fillId="0" borderId="54" xfId="0" applyFont="1" applyBorder="1"/>
    <xf numFmtId="0" fontId="32" fillId="0" borderId="54" xfId="0" applyFont="1" applyBorder="1" applyAlignment="1">
      <alignment wrapText="1"/>
    </xf>
    <xf numFmtId="3" fontId="38" fillId="0" borderId="55" xfId="0" applyNumberFormat="1" applyFont="1" applyBorder="1" applyProtection="1">
      <protection locked="0"/>
    </xf>
    <xf numFmtId="3" fontId="33" fillId="0" borderId="24" xfId="0" applyNumberFormat="1" applyFont="1" applyBorder="1" applyProtection="1">
      <protection locked="0"/>
    </xf>
    <xf numFmtId="3" fontId="35" fillId="0" borderId="26" xfId="0" applyNumberFormat="1" applyFont="1" applyBorder="1" applyProtection="1">
      <protection locked="0"/>
    </xf>
    <xf numFmtId="0" fontId="33" fillId="0" borderId="25" xfId="0" applyFont="1" applyBorder="1"/>
    <xf numFmtId="0" fontId="33" fillId="0" borderId="56" xfId="0" applyFont="1" applyBorder="1"/>
    <xf numFmtId="3" fontId="33" fillId="0" borderId="57" xfId="0" applyNumberFormat="1" applyFont="1" applyBorder="1" applyProtection="1">
      <protection locked="0"/>
    </xf>
    <xf numFmtId="3" fontId="33" fillId="0" borderId="37" xfId="0" applyNumberFormat="1" applyFont="1" applyBorder="1" applyProtection="1">
      <protection locked="0"/>
    </xf>
    <xf numFmtId="3" fontId="35" fillId="0" borderId="38" xfId="0" applyNumberFormat="1" applyFont="1" applyBorder="1" applyProtection="1">
      <protection locked="0"/>
    </xf>
    <xf numFmtId="3" fontId="32" fillId="0" borderId="52" xfId="0" applyNumberFormat="1" applyFont="1" applyBorder="1"/>
    <xf numFmtId="3" fontId="38" fillId="0" borderId="53" xfId="0" applyNumberFormat="1" applyFont="1" applyBorder="1"/>
    <xf numFmtId="3" fontId="35" fillId="0" borderId="31" xfId="0" applyNumberFormat="1" applyFont="1" applyBorder="1" applyProtection="1">
      <protection locked="0"/>
    </xf>
    <xf numFmtId="3" fontId="32" fillId="0" borderId="54" xfId="0" applyNumberFormat="1" applyFont="1" applyBorder="1" applyProtection="1">
      <protection locked="0"/>
    </xf>
    <xf numFmtId="3" fontId="38" fillId="0" borderId="55" xfId="0" applyNumberFormat="1" applyFont="1" applyBorder="1"/>
    <xf numFmtId="3" fontId="33" fillId="0" borderId="24" xfId="0" applyNumberFormat="1" applyFont="1" applyBorder="1" applyAlignment="1" applyProtection="1">
      <alignment wrapText="1"/>
      <protection locked="0"/>
    </xf>
    <xf numFmtId="0" fontId="32" fillId="0" borderId="56" xfId="0" applyFont="1" applyBorder="1"/>
    <xf numFmtId="3" fontId="35" fillId="0" borderId="53" xfId="0" applyNumberFormat="1" applyFont="1" applyBorder="1"/>
    <xf numFmtId="3" fontId="33" fillId="0" borderId="43" xfId="0" applyNumberFormat="1" applyFont="1" applyBorder="1"/>
    <xf numFmtId="0" fontId="32" fillId="0" borderId="58" xfId="0" applyFont="1" applyBorder="1"/>
    <xf numFmtId="3" fontId="32" fillId="0" borderId="58" xfId="0" applyNumberFormat="1" applyFont="1" applyBorder="1" applyProtection="1">
      <protection locked="0"/>
    </xf>
    <xf numFmtId="3" fontId="38" fillId="0" borderId="46" xfId="0" applyNumberFormat="1" applyFont="1" applyBorder="1"/>
    <xf numFmtId="0" fontId="32" fillId="0" borderId="33" xfId="0" applyFont="1" applyBorder="1" applyAlignment="1">
      <alignment horizontal="left"/>
    </xf>
    <xf numFmtId="0" fontId="37" fillId="0" borderId="33" xfId="0" applyFont="1" applyBorder="1" applyAlignment="1">
      <alignment horizontal="left"/>
    </xf>
    <xf numFmtId="3" fontId="40" fillId="0" borderId="34" xfId="0" applyNumberFormat="1" applyFont="1" applyBorder="1"/>
    <xf numFmtId="0" fontId="33" fillId="0" borderId="45" xfId="0" applyFont="1" applyBorder="1" applyAlignment="1">
      <alignment horizontal="left"/>
    </xf>
    <xf numFmtId="3" fontId="33" fillId="0" borderId="24" xfId="0" applyNumberFormat="1" applyFont="1" applyBorder="1"/>
    <xf numFmtId="0" fontId="37" fillId="0" borderId="23" xfId="0" applyFont="1" applyBorder="1" applyAlignment="1">
      <alignment horizontal="center"/>
    </xf>
    <xf numFmtId="0" fontId="33" fillId="0" borderId="24" xfId="0" applyFont="1" applyBorder="1" applyAlignment="1">
      <alignment horizontal="left"/>
    </xf>
    <xf numFmtId="0" fontId="37" fillId="0" borderId="45" xfId="0" applyFont="1" applyBorder="1" applyAlignment="1">
      <alignment horizontal="left"/>
    </xf>
    <xf numFmtId="0" fontId="37" fillId="0" borderId="59" xfId="0" applyFont="1" applyBorder="1"/>
    <xf numFmtId="0" fontId="32" fillId="0" borderId="58" xfId="0" applyFont="1" applyBorder="1" applyAlignment="1">
      <alignment horizontal="left"/>
    </xf>
    <xf numFmtId="0" fontId="37" fillId="0" borderId="58" xfId="0" applyFont="1" applyBorder="1" applyAlignment="1">
      <alignment horizontal="left"/>
    </xf>
    <xf numFmtId="3" fontId="40" fillId="0" borderId="46" xfId="0" applyNumberFormat="1" applyFont="1" applyBorder="1" applyProtection="1">
      <protection locked="0"/>
    </xf>
    <xf numFmtId="0" fontId="37" fillId="0" borderId="28" xfId="0" applyFont="1" applyBorder="1"/>
    <xf numFmtId="0" fontId="32" fillId="0" borderId="29" xfId="0" applyFont="1" applyBorder="1"/>
    <xf numFmtId="0" fontId="32" fillId="0" borderId="29" xfId="0" applyFont="1" applyBorder="1" applyAlignment="1">
      <alignment horizontal="left"/>
    </xf>
    <xf numFmtId="0" fontId="38" fillId="0" borderId="30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8" fillId="0" borderId="31" xfId="0" applyFont="1" applyBorder="1" applyAlignment="1">
      <alignment horizontal="left"/>
    </xf>
    <xf numFmtId="3" fontId="33" fillId="0" borderId="37" xfId="0" applyNumberFormat="1" applyFont="1" applyBorder="1"/>
    <xf numFmtId="0" fontId="32" fillId="0" borderId="43" xfId="0" applyFont="1" applyBorder="1" applyAlignment="1">
      <alignment horizontal="left"/>
    </xf>
    <xf numFmtId="0" fontId="37" fillId="0" borderId="60" xfId="0" applyFont="1" applyBorder="1" applyAlignment="1">
      <alignment horizontal="left"/>
    </xf>
    <xf numFmtId="0" fontId="37" fillId="0" borderId="0" xfId="48" applyFont="1" applyAlignment="1">
      <alignment horizontal="left"/>
    </xf>
    <xf numFmtId="3" fontId="40" fillId="0" borderId="31" xfId="0" applyNumberFormat="1" applyFont="1" applyBorder="1"/>
    <xf numFmtId="3" fontId="35" fillId="0" borderId="39" xfId="0" applyNumberFormat="1" applyFont="1" applyBorder="1" applyProtection="1">
      <protection locked="0"/>
    </xf>
    <xf numFmtId="0" fontId="32" fillId="0" borderId="24" xfId="0" applyFont="1" applyBorder="1" applyAlignment="1">
      <alignment horizontal="left"/>
    </xf>
    <xf numFmtId="0" fontId="37" fillId="0" borderId="61" xfId="0" applyFont="1" applyBorder="1" applyAlignment="1">
      <alignment horizontal="left"/>
    </xf>
    <xf numFmtId="0" fontId="37" fillId="0" borderId="48" xfId="0" applyFont="1" applyBorder="1"/>
    <xf numFmtId="0" fontId="32" fillId="0" borderId="45" xfId="0" applyFont="1" applyBorder="1" applyAlignment="1">
      <alignment horizontal="left"/>
    </xf>
    <xf numFmtId="3" fontId="40" fillId="0" borderId="42" xfId="0" applyNumberFormat="1" applyFont="1" applyBorder="1" applyProtection="1">
      <protection locked="0"/>
    </xf>
    <xf numFmtId="0" fontId="33" fillId="0" borderId="29" xfId="0" applyFont="1" applyBorder="1"/>
    <xf numFmtId="0" fontId="35" fillId="0" borderId="30" xfId="0" applyFont="1" applyBorder="1"/>
    <xf numFmtId="0" fontId="32" fillId="0" borderId="23" xfId="0" applyFont="1" applyBorder="1" applyAlignment="1">
      <alignment horizontal="left"/>
    </xf>
    <xf numFmtId="0" fontId="33" fillId="0" borderId="37" xfId="0" applyFont="1" applyBorder="1" applyAlignment="1">
      <alignment horizontal="left"/>
    </xf>
    <xf numFmtId="0" fontId="32" fillId="0" borderId="37" xfId="0" applyFont="1" applyBorder="1" applyAlignment="1">
      <alignment horizontal="left"/>
    </xf>
    <xf numFmtId="3" fontId="34" fillId="0" borderId="0" xfId="0" applyNumberFormat="1" applyFont="1" applyAlignment="1">
      <alignment horizontal="right"/>
    </xf>
    <xf numFmtId="0" fontId="36" fillId="0" borderId="30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4" fillId="27" borderId="36" xfId="0" applyFont="1" applyFill="1" applyBorder="1"/>
    <xf numFmtId="3" fontId="35" fillId="27" borderId="26" xfId="0" applyNumberFormat="1" applyFont="1" applyFill="1" applyBorder="1"/>
    <xf numFmtId="0" fontId="36" fillId="0" borderId="59" xfId="0" applyFont="1" applyBorder="1"/>
    <xf numFmtId="3" fontId="35" fillId="27" borderId="62" xfId="0" applyNumberFormat="1" applyFont="1" applyFill="1" applyBorder="1"/>
    <xf numFmtId="0" fontId="34" fillId="0" borderId="36" xfId="0" applyFont="1" applyBorder="1" applyAlignment="1">
      <alignment wrapText="1"/>
    </xf>
    <xf numFmtId="0" fontId="34" fillId="0" borderId="36" xfId="0" applyFont="1" applyBorder="1"/>
    <xf numFmtId="0" fontId="34" fillId="0" borderId="36" xfId="0" applyFont="1" applyBorder="1" applyAlignment="1">
      <alignment horizontal="justify"/>
    </xf>
    <xf numFmtId="0" fontId="34" fillId="0" borderId="23" xfId="0" applyFont="1" applyBorder="1" applyAlignment="1">
      <alignment horizontal="justify"/>
    </xf>
    <xf numFmtId="0" fontId="34" fillId="0" borderId="38" xfId="0" applyFont="1" applyBorder="1" applyAlignment="1">
      <alignment horizontal="justify"/>
    </xf>
    <xf numFmtId="0" fontId="34" fillId="0" borderId="40" xfId="0" applyFont="1" applyBorder="1" applyAlignment="1">
      <alignment wrapText="1"/>
    </xf>
    <xf numFmtId="0" fontId="36" fillId="0" borderId="46" xfId="0" applyFont="1" applyBorder="1" applyAlignment="1">
      <alignment wrapText="1"/>
    </xf>
    <xf numFmtId="3" fontId="40" fillId="0" borderId="59" xfId="0" applyNumberFormat="1" applyFont="1" applyBorder="1" applyAlignment="1">
      <alignment horizontal="right" wrapText="1"/>
    </xf>
    <xf numFmtId="3" fontId="40" fillId="0" borderId="46" xfId="0" applyNumberFormat="1" applyFont="1" applyBorder="1" applyAlignment="1">
      <alignment horizontal="right" wrapText="1"/>
    </xf>
    <xf numFmtId="3" fontId="36" fillId="0" borderId="0" xfId="0" applyNumberFormat="1" applyFont="1"/>
    <xf numFmtId="0" fontId="36" fillId="0" borderId="28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34" fillId="27" borderId="63" xfId="0" applyFont="1" applyFill="1" applyBorder="1"/>
    <xf numFmtId="3" fontId="35" fillId="27" borderId="31" xfId="0" applyNumberFormat="1" applyFont="1" applyFill="1" applyBorder="1"/>
    <xf numFmtId="3" fontId="40" fillId="0" borderId="59" xfId="0" applyNumberFormat="1" applyFont="1" applyBorder="1"/>
    <xf numFmtId="0" fontId="40" fillId="0" borderId="0" xfId="0" applyFont="1"/>
    <xf numFmtId="0" fontId="37" fillId="0" borderId="0" xfId="0" applyFont="1" applyAlignment="1">
      <alignment horizontal="center"/>
    </xf>
    <xf numFmtId="0" fontId="34" fillId="0" borderId="34" xfId="0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3" fontId="35" fillId="0" borderId="30" xfId="0" applyNumberFormat="1" applyFont="1" applyBorder="1"/>
    <xf numFmtId="0" fontId="44" fillId="0" borderId="31" xfId="0" applyFont="1" applyBorder="1" applyAlignment="1">
      <alignment horizontal="left"/>
    </xf>
    <xf numFmtId="3" fontId="38" fillId="0" borderId="31" xfId="0" applyNumberFormat="1" applyFont="1" applyBorder="1" applyAlignment="1">
      <alignment horizontal="left"/>
    </xf>
    <xf numFmtId="3" fontId="35" fillId="0" borderId="26" xfId="0" applyNumberFormat="1" applyFont="1" applyBorder="1" applyAlignment="1">
      <alignment wrapText="1"/>
    </xf>
    <xf numFmtId="0" fontId="34" fillId="0" borderId="38" xfId="0" applyFont="1" applyBorder="1"/>
    <xf numFmtId="0" fontId="36" fillId="0" borderId="42" xfId="0" applyFont="1" applyBorder="1"/>
    <xf numFmtId="0" fontId="34" fillId="0" borderId="26" xfId="0" applyFont="1" applyBorder="1" applyAlignment="1">
      <alignment horizontal="justify"/>
    </xf>
    <xf numFmtId="0" fontId="36" fillId="0" borderId="42" xfId="0" applyFont="1" applyBorder="1" applyAlignment="1">
      <alignment horizontal="justify"/>
    </xf>
    <xf numFmtId="0" fontId="34" fillId="0" borderId="31" xfId="0" applyFont="1" applyBorder="1" applyAlignment="1">
      <alignment horizontal="justify"/>
    </xf>
    <xf numFmtId="3" fontId="34" fillId="0" borderId="64" xfId="52" applyNumberFormat="1" applyFont="1" applyBorder="1" applyAlignment="1">
      <alignment horizontal="justify" wrapText="1"/>
    </xf>
    <xf numFmtId="3" fontId="34" fillId="0" borderId="38" xfId="52" applyNumberFormat="1" applyFont="1" applyBorder="1" applyAlignment="1">
      <alignment horizontal="justify" vertical="top" wrapText="1"/>
    </xf>
    <xf numFmtId="0" fontId="36" fillId="0" borderId="46" xfId="0" applyFont="1" applyBorder="1"/>
    <xf numFmtId="3" fontId="40" fillId="0" borderId="53" xfId="0" applyNumberFormat="1" applyFont="1" applyBorder="1" applyAlignment="1">
      <alignment horizontal="center"/>
    </xf>
    <xf numFmtId="3" fontId="34" fillId="0" borderId="26" xfId="52" applyNumberFormat="1" applyFont="1" applyBorder="1" applyAlignment="1">
      <alignment horizontal="justify" vertical="top" wrapText="1"/>
    </xf>
    <xf numFmtId="3" fontId="35" fillId="0" borderId="26" xfId="52" applyNumberFormat="1" applyFont="1" applyBorder="1" applyAlignment="1">
      <alignment horizontal="right" wrapText="1"/>
    </xf>
    <xf numFmtId="3" fontId="34" fillId="0" borderId="64" xfId="52" applyNumberFormat="1" applyFont="1" applyBorder="1" applyAlignment="1">
      <alignment horizontal="justify" vertical="top" wrapText="1"/>
    </xf>
    <xf numFmtId="3" fontId="34" fillId="0" borderId="63" xfId="52" applyNumberFormat="1" applyFont="1" applyBorder="1" applyAlignment="1">
      <alignment horizontal="justify" vertical="top" wrapText="1"/>
    </xf>
    <xf numFmtId="0" fontId="36" fillId="27" borderId="42" xfId="0" applyFont="1" applyFill="1" applyBorder="1"/>
    <xf numFmtId="3" fontId="40" fillId="27" borderId="42" xfId="0" applyNumberFormat="1" applyFont="1" applyFill="1" applyBorder="1" applyAlignment="1">
      <alignment horizontal="right"/>
    </xf>
    <xf numFmtId="3" fontId="35" fillId="0" borderId="39" xfId="0" applyNumberFormat="1" applyFont="1" applyBorder="1" applyAlignment="1">
      <alignment horizontal="right"/>
    </xf>
    <xf numFmtId="3" fontId="35" fillId="27" borderId="38" xfId="0" applyNumberFormat="1" applyFont="1" applyFill="1" applyBorder="1"/>
    <xf numFmtId="0" fontId="36" fillId="0" borderId="48" xfId="0" applyFont="1" applyBorder="1"/>
    <xf numFmtId="3" fontId="40" fillId="0" borderId="48" xfId="0" applyNumberFormat="1" applyFont="1" applyBorder="1"/>
    <xf numFmtId="0" fontId="36" fillId="0" borderId="23" xfId="0" applyFont="1" applyBorder="1"/>
    <xf numFmtId="3" fontId="40" fillId="0" borderId="23" xfId="0" applyNumberFormat="1" applyFont="1" applyBorder="1"/>
    <xf numFmtId="0" fontId="37" fillId="0" borderId="42" xfId="0" applyFont="1" applyBorder="1"/>
    <xf numFmtId="0" fontId="36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3" fontId="34" fillId="0" borderId="0" xfId="0" applyNumberFormat="1" applyFont="1" applyAlignment="1">
      <alignment horizontal="right" wrapText="1"/>
    </xf>
    <xf numFmtId="0" fontId="36" fillId="0" borderId="30" xfId="0" applyFont="1" applyBorder="1" applyAlignment="1">
      <alignment horizontal="center" wrapText="1"/>
    </xf>
    <xf numFmtId="0" fontId="36" fillId="0" borderId="34" xfId="0" applyFont="1" applyBorder="1" applyAlignment="1">
      <alignment horizontal="center" wrapText="1"/>
    </xf>
    <xf numFmtId="0" fontId="34" fillId="27" borderId="36" xfId="0" applyFont="1" applyFill="1" applyBorder="1" applyAlignment="1">
      <alignment horizontal="justify" wrapText="1"/>
    </xf>
    <xf numFmtId="0" fontId="44" fillId="0" borderId="28" xfId="0" applyFont="1" applyBorder="1" applyAlignment="1">
      <alignment wrapText="1"/>
    </xf>
    <xf numFmtId="0" fontId="38" fillId="0" borderId="28" xfId="0" applyFont="1" applyBorder="1" applyAlignment="1">
      <alignment wrapText="1"/>
    </xf>
    <xf numFmtId="0" fontId="38" fillId="0" borderId="30" xfId="0" applyFont="1" applyBorder="1" applyAlignment="1">
      <alignment wrapText="1"/>
    </xf>
    <xf numFmtId="3" fontId="35" fillId="27" borderId="26" xfId="0" applyNumberFormat="1" applyFont="1" applyFill="1" applyBorder="1" applyAlignment="1">
      <alignment wrapText="1"/>
    </xf>
    <xf numFmtId="0" fontId="34" fillId="0" borderId="63" xfId="0" applyFont="1" applyBorder="1" applyAlignment="1">
      <alignment wrapText="1"/>
    </xf>
    <xf numFmtId="0" fontId="34" fillId="0" borderId="39" xfId="0" applyFont="1" applyBorder="1" applyAlignment="1">
      <alignment horizontal="justify" wrapText="1"/>
    </xf>
    <xf numFmtId="0" fontId="34" fillId="0" borderId="36" xfId="0" applyFont="1" applyBorder="1" applyAlignment="1">
      <alignment horizontal="justify" wrapText="1"/>
    </xf>
    <xf numFmtId="3" fontId="35" fillId="0" borderId="31" xfId="0" applyNumberFormat="1" applyFont="1" applyBorder="1" applyAlignment="1">
      <alignment wrapText="1"/>
    </xf>
    <xf numFmtId="3" fontId="38" fillId="0" borderId="42" xfId="0" applyNumberFormat="1" applyFont="1" applyBorder="1" applyAlignment="1">
      <alignment wrapText="1"/>
    </xf>
    <xf numFmtId="0" fontId="36" fillId="0" borderId="59" xfId="0" applyFont="1" applyBorder="1" applyAlignment="1">
      <alignment wrapText="1"/>
    </xf>
    <xf numFmtId="3" fontId="40" fillId="0" borderId="46" xfId="0" applyNumberFormat="1" applyFont="1" applyBorder="1" applyAlignment="1">
      <alignment wrapText="1"/>
    </xf>
    <xf numFmtId="0" fontId="36" fillId="0" borderId="32" xfId="0" applyFont="1" applyBorder="1" applyAlignment="1">
      <alignment wrapText="1"/>
    </xf>
    <xf numFmtId="3" fontId="40" fillId="0" borderId="42" xfId="0" applyNumberFormat="1" applyFont="1" applyBorder="1" applyAlignment="1">
      <alignment wrapText="1"/>
    </xf>
    <xf numFmtId="0" fontId="36" fillId="0" borderId="0" xfId="0" applyFont="1" applyAlignment="1">
      <alignment wrapText="1"/>
    </xf>
    <xf numFmtId="0" fontId="36" fillId="0" borderId="28" xfId="0" applyFont="1" applyBorder="1" applyAlignment="1">
      <alignment horizontal="center" wrapText="1"/>
    </xf>
    <xf numFmtId="0" fontId="36" fillId="0" borderId="32" xfId="0" applyFont="1" applyBorder="1" applyAlignment="1">
      <alignment horizontal="center" wrapText="1"/>
    </xf>
    <xf numFmtId="3" fontId="35" fillId="0" borderId="26" xfId="0" applyNumberFormat="1" applyFont="1" applyBorder="1" applyAlignment="1">
      <alignment horizontal="right" wrapText="1"/>
    </xf>
    <xf numFmtId="0" fontId="36" fillId="0" borderId="48" xfId="0" applyFont="1" applyBorder="1" applyAlignment="1">
      <alignment wrapText="1"/>
    </xf>
    <xf numFmtId="0" fontId="40" fillId="0" borderId="45" xfId="0" applyFont="1" applyBorder="1" applyAlignment="1">
      <alignment wrapText="1"/>
    </xf>
    <xf numFmtId="0" fontId="37" fillId="0" borderId="48" xfId="0" applyFont="1" applyBorder="1" applyAlignment="1">
      <alignment wrapText="1"/>
    </xf>
    <xf numFmtId="3" fontId="40" fillId="0" borderId="49" xfId="0" applyNumberFormat="1" applyFont="1" applyBorder="1" applyAlignment="1">
      <alignment wrapText="1"/>
    </xf>
    <xf numFmtId="0" fontId="34" fillId="27" borderId="63" xfId="0" applyFont="1" applyFill="1" applyBorder="1" applyAlignment="1">
      <alignment horizontal="justify"/>
    </xf>
    <xf numFmtId="0" fontId="34" fillId="27" borderId="36" xfId="0" applyFont="1" applyFill="1" applyBorder="1" applyAlignment="1">
      <alignment horizontal="justify"/>
    </xf>
    <xf numFmtId="0" fontId="34" fillId="27" borderId="35" xfId="0" applyFont="1" applyFill="1" applyBorder="1"/>
    <xf numFmtId="0" fontId="34" fillId="0" borderId="38" xfId="0" applyFont="1" applyBorder="1" applyAlignment="1">
      <alignment wrapText="1"/>
    </xf>
    <xf numFmtId="0" fontId="36" fillId="0" borderId="59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3" fontId="35" fillId="27" borderId="31" xfId="0" applyNumberFormat="1" applyFont="1" applyFill="1" applyBorder="1" applyAlignment="1">
      <alignment horizontal="right"/>
    </xf>
    <xf numFmtId="3" fontId="35" fillId="27" borderId="38" xfId="0" applyNumberFormat="1" applyFont="1" applyFill="1" applyBorder="1" applyAlignment="1">
      <alignment horizontal="right"/>
    </xf>
    <xf numFmtId="0" fontId="34" fillId="0" borderId="65" xfId="0" applyFont="1" applyBorder="1" applyAlignment="1">
      <alignment horizontal="justify"/>
    </xf>
    <xf numFmtId="3" fontId="35" fillId="0" borderId="66" xfId="0" applyNumberFormat="1" applyFont="1" applyBorder="1"/>
    <xf numFmtId="0" fontId="36" fillId="0" borderId="32" xfId="0" applyFont="1" applyBorder="1"/>
    <xf numFmtId="3" fontId="40" fillId="0" borderId="67" xfId="0" applyNumberFormat="1" applyFont="1" applyBorder="1"/>
    <xf numFmtId="3" fontId="34" fillId="27" borderId="0" xfId="0" applyNumberFormat="1" applyFont="1" applyFill="1"/>
    <xf numFmtId="0" fontId="34" fillId="0" borderId="0" xfId="0" applyFont="1" applyAlignment="1">
      <alignment horizontal="center" wrapText="1"/>
    </xf>
    <xf numFmtId="0" fontId="32" fillId="0" borderId="0" xfId="0" applyFont="1" applyAlignment="1">
      <alignment horizontal="left" wrapText="1"/>
    </xf>
    <xf numFmtId="0" fontId="45" fillId="0" borderId="0" xfId="0" applyFont="1" applyAlignment="1">
      <alignment horizontal="right" wrapText="1"/>
    </xf>
    <xf numFmtId="3" fontId="33" fillId="0" borderId="0" xfId="0" applyNumberFormat="1" applyFont="1" applyAlignment="1">
      <alignment horizontal="right" wrapText="1"/>
    </xf>
    <xf numFmtId="0" fontId="34" fillId="0" borderId="34" xfId="0" applyFont="1" applyBorder="1" applyAlignment="1">
      <alignment horizontal="left" wrapText="1"/>
    </xf>
    <xf numFmtId="3" fontId="35" fillId="0" borderId="39" xfId="0" applyNumberFormat="1" applyFont="1" applyBorder="1" applyAlignment="1">
      <alignment horizontal="right" wrapText="1"/>
    </xf>
    <xf numFmtId="3" fontId="40" fillId="0" borderId="42" xfId="0" applyNumberFormat="1" applyFont="1" applyBorder="1" applyAlignment="1">
      <alignment horizontal="right" wrapText="1"/>
    </xf>
    <xf numFmtId="0" fontId="34" fillId="27" borderId="26" xfId="0" applyFont="1" applyFill="1" applyBorder="1" applyAlignment="1">
      <alignment horizontal="left" wrapText="1"/>
    </xf>
    <xf numFmtId="3" fontId="35" fillId="27" borderId="31" xfId="0" applyNumberFormat="1" applyFont="1" applyFill="1" applyBorder="1" applyAlignment="1">
      <alignment horizontal="right" wrapText="1"/>
    </xf>
    <xf numFmtId="0" fontId="36" fillId="0" borderId="46" xfId="0" applyFont="1" applyBorder="1" applyAlignment="1">
      <alignment horizontal="left" wrapText="1"/>
    </xf>
    <xf numFmtId="0" fontId="46" fillId="0" borderId="31" xfId="0" applyFont="1" applyBorder="1" applyAlignment="1">
      <alignment horizontal="left" wrapText="1"/>
    </xf>
    <xf numFmtId="0" fontId="47" fillId="0" borderId="31" xfId="0" applyFont="1" applyBorder="1" applyAlignment="1">
      <alignment horizontal="right" wrapText="1"/>
    </xf>
    <xf numFmtId="3" fontId="35" fillId="27" borderId="26" xfId="0" applyNumberFormat="1" applyFont="1" applyFill="1" applyBorder="1" applyAlignment="1">
      <alignment horizontal="right" wrapText="1"/>
    </xf>
    <xf numFmtId="0" fontId="34" fillId="27" borderId="38" xfId="0" applyFont="1" applyFill="1" applyBorder="1" applyAlignment="1">
      <alignment horizontal="left" wrapText="1"/>
    </xf>
    <xf numFmtId="0" fontId="34" fillId="27" borderId="31" xfId="0" applyFont="1" applyFill="1" applyBorder="1" applyAlignment="1">
      <alignment horizontal="left" wrapText="1"/>
    </xf>
    <xf numFmtId="0" fontId="36" fillId="0" borderId="55" xfId="0" applyFont="1" applyBorder="1" applyAlignment="1">
      <alignment horizontal="left" wrapText="1"/>
    </xf>
    <xf numFmtId="3" fontId="40" fillId="0" borderId="55" xfId="0" applyNumberFormat="1" applyFont="1" applyBorder="1" applyAlignment="1">
      <alignment horizontal="right" wrapText="1"/>
    </xf>
    <xf numFmtId="0" fontId="46" fillId="0" borderId="53" xfId="0" applyFont="1" applyBorder="1" applyAlignment="1">
      <alignment horizontal="left" wrapText="1"/>
    </xf>
    <xf numFmtId="0" fontId="34" fillId="0" borderId="26" xfId="0" applyFont="1" applyBorder="1" applyAlignment="1">
      <alignment horizontal="left" wrapText="1"/>
    </xf>
    <xf numFmtId="0" fontId="34" fillId="0" borderId="38" xfId="0" applyFont="1" applyBorder="1" applyAlignment="1">
      <alignment horizontal="left" wrapText="1"/>
    </xf>
    <xf numFmtId="0" fontId="34" fillId="0" borderId="38" xfId="0" applyFont="1" applyBorder="1" applyAlignment="1">
      <alignment horizontal="left" wrapText="1" shrinkToFit="1"/>
    </xf>
    <xf numFmtId="0" fontId="48" fillId="0" borderId="31" xfId="0" applyFont="1" applyBorder="1" applyAlignment="1">
      <alignment horizontal="left" wrapText="1"/>
    </xf>
    <xf numFmtId="3" fontId="35" fillId="0" borderId="31" xfId="0" applyNumberFormat="1" applyFont="1" applyBorder="1" applyAlignment="1">
      <alignment horizontal="right" wrapText="1"/>
    </xf>
    <xf numFmtId="0" fontId="34" fillId="0" borderId="39" xfId="0" applyFont="1" applyBorder="1" applyAlignment="1">
      <alignment horizontal="left" wrapText="1"/>
    </xf>
    <xf numFmtId="0" fontId="34" fillId="0" borderId="23" xfId="0" applyFont="1" applyBorder="1" applyAlignment="1">
      <alignment horizontal="left" wrapText="1"/>
    </xf>
    <xf numFmtId="0" fontId="34" fillId="0" borderId="31" xfId="0" applyFont="1" applyBorder="1" applyAlignment="1">
      <alignment horizontal="left" wrapText="1"/>
    </xf>
    <xf numFmtId="0" fontId="46" fillId="0" borderId="39" xfId="0" applyFont="1" applyBorder="1" applyAlignment="1">
      <alignment horizontal="left" wrapText="1"/>
    </xf>
    <xf numFmtId="0" fontId="46" fillId="0" borderId="30" xfId="0" applyFont="1" applyBorder="1" applyAlignment="1">
      <alignment horizontal="left" wrapText="1"/>
    </xf>
    <xf numFmtId="0" fontId="34" fillId="0" borderId="26" xfId="0" applyFont="1" applyBorder="1" applyAlignment="1">
      <alignment horizontal="left" wrapText="1" shrinkToFit="1"/>
    </xf>
    <xf numFmtId="0" fontId="36" fillId="0" borderId="34" xfId="0" applyFont="1" applyBorder="1" applyAlignment="1">
      <alignment horizontal="left" wrapText="1"/>
    </xf>
    <xf numFmtId="3" fontId="40" fillId="0" borderId="34" xfId="0" applyNumberFormat="1" applyFont="1" applyBorder="1" applyAlignment="1">
      <alignment horizontal="right" wrapText="1"/>
    </xf>
    <xf numFmtId="0" fontId="44" fillId="0" borderId="34" xfId="0" applyFont="1" applyBorder="1" applyAlignment="1">
      <alignment horizontal="left" wrapText="1"/>
    </xf>
    <xf numFmtId="3" fontId="38" fillId="0" borderId="34" xfId="0" applyNumberFormat="1" applyFont="1" applyBorder="1" applyAlignment="1">
      <alignment horizontal="right" wrapText="1"/>
    </xf>
    <xf numFmtId="0" fontId="44" fillId="0" borderId="0" xfId="0" applyFont="1" applyAlignment="1">
      <alignment horizontal="center"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right" wrapText="1"/>
    </xf>
    <xf numFmtId="0" fontId="49" fillId="0" borderId="0" xfId="0" applyFont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0" fontId="34" fillId="0" borderId="32" xfId="0" applyFont="1" applyBorder="1" applyAlignment="1">
      <alignment horizontal="left" wrapText="1"/>
    </xf>
    <xf numFmtId="0" fontId="36" fillId="0" borderId="48" xfId="0" applyFont="1" applyBorder="1" applyAlignment="1">
      <alignment horizontal="left" wrapText="1"/>
    </xf>
    <xf numFmtId="0" fontId="35" fillId="0" borderId="0" xfId="0" applyFont="1" applyAlignment="1">
      <alignment horizontal="right" wrapText="1"/>
    </xf>
    <xf numFmtId="0" fontId="37" fillId="0" borderId="48" xfId="0" applyFont="1" applyBorder="1" applyAlignment="1">
      <alignment horizontal="left" wrapText="1"/>
    </xf>
    <xf numFmtId="3" fontId="50" fillId="0" borderId="0" xfId="0" applyNumberFormat="1" applyFont="1"/>
    <xf numFmtId="0" fontId="34" fillId="0" borderId="0" xfId="0" applyFont="1" applyAlignment="1">
      <alignment horizontal="right"/>
    </xf>
    <xf numFmtId="0" fontId="33" fillId="27" borderId="62" xfId="0" applyFont="1" applyFill="1" applyBorder="1"/>
    <xf numFmtId="3" fontId="35" fillId="27" borderId="26" xfId="0" applyNumberFormat="1" applyFont="1" applyFill="1" applyBorder="1" applyProtection="1">
      <protection locked="0"/>
    </xf>
    <xf numFmtId="0" fontId="33" fillId="27" borderId="68" xfId="0" applyFont="1" applyFill="1" applyBorder="1"/>
    <xf numFmtId="0" fontId="33" fillId="0" borderId="36" xfId="0" applyFont="1" applyBorder="1" applyAlignment="1">
      <alignment wrapText="1"/>
    </xf>
    <xf numFmtId="0" fontId="33" fillId="27" borderId="36" xfId="0" applyFont="1" applyFill="1" applyBorder="1"/>
    <xf numFmtId="0" fontId="32" fillId="0" borderId="48" xfId="0" applyFont="1" applyBorder="1" applyAlignment="1">
      <alignment horizontal="left"/>
    </xf>
    <xf numFmtId="3" fontId="35" fillId="0" borderId="62" xfId="0" applyNumberFormat="1" applyFont="1" applyBorder="1" applyProtection="1">
      <protection locked="0"/>
    </xf>
    <xf numFmtId="3" fontId="35" fillId="0" borderId="66" xfId="0" applyNumberFormat="1" applyFont="1" applyBorder="1" applyProtection="1">
      <protection locked="0"/>
    </xf>
    <xf numFmtId="3" fontId="36" fillId="0" borderId="30" xfId="0" applyNumberFormat="1" applyFont="1" applyBorder="1" applyAlignment="1">
      <alignment horizontal="center" wrapText="1"/>
    </xf>
    <xf numFmtId="3" fontId="36" fillId="0" borderId="34" xfId="0" applyNumberFormat="1" applyFont="1" applyBorder="1" applyAlignment="1">
      <alignment horizontal="center" wrapText="1"/>
    </xf>
    <xf numFmtId="3" fontId="34" fillId="27" borderId="26" xfId="0" applyNumberFormat="1" applyFont="1" applyFill="1" applyBorder="1" applyProtection="1">
      <protection locked="0"/>
    </xf>
    <xf numFmtId="3" fontId="35" fillId="27" borderId="38" xfId="0" applyNumberFormat="1" applyFont="1" applyFill="1" applyBorder="1" applyProtection="1">
      <protection locked="0"/>
    </xf>
    <xf numFmtId="3" fontId="35" fillId="27" borderId="38" xfId="46" applyNumberFormat="1" applyFont="1" applyFill="1" applyBorder="1" applyProtection="1">
      <protection locked="0"/>
    </xf>
    <xf numFmtId="0" fontId="34" fillId="27" borderId="36" xfId="0" applyFont="1" applyFill="1" applyBorder="1" applyAlignment="1">
      <alignment horizontal="left"/>
    </xf>
    <xf numFmtId="0" fontId="34" fillId="27" borderId="36" xfId="0" applyFont="1" applyFill="1" applyBorder="1" applyAlignment="1">
      <alignment horizontal="left" vertical="center" wrapText="1"/>
    </xf>
    <xf numFmtId="0" fontId="34" fillId="27" borderId="36" xfId="0" applyFont="1" applyFill="1" applyBorder="1" applyAlignment="1">
      <alignment horizontal="left" wrapText="1"/>
    </xf>
    <xf numFmtId="3" fontId="35" fillId="27" borderId="31" xfId="0" applyNumberFormat="1" applyFont="1" applyFill="1" applyBorder="1" applyProtection="1">
      <protection locked="0"/>
    </xf>
    <xf numFmtId="3" fontId="35" fillId="27" borderId="31" xfId="46" applyNumberFormat="1" applyFont="1" applyFill="1" applyBorder="1" applyProtection="1">
      <protection locked="0"/>
    </xf>
    <xf numFmtId="0" fontId="34" fillId="0" borderId="0" xfId="48" applyFont="1"/>
    <xf numFmtId="0" fontId="51" fillId="0" borderId="0" xfId="48" applyFont="1"/>
    <xf numFmtId="0" fontId="34" fillId="0" borderId="28" xfId="48" applyFont="1" applyBorder="1"/>
    <xf numFmtId="0" fontId="36" fillId="0" borderId="29" xfId="48" applyFont="1" applyBorder="1" applyAlignment="1">
      <alignment horizontal="center"/>
    </xf>
    <xf numFmtId="0" fontId="34" fillId="0" borderId="32" xfId="48" applyFont="1" applyBorder="1"/>
    <xf numFmtId="0" fontId="34" fillId="0" borderId="33" xfId="48" applyFont="1" applyBorder="1" applyAlignment="1">
      <alignment horizontal="center"/>
    </xf>
    <xf numFmtId="0" fontId="36" fillId="0" borderId="28" xfId="48" applyFont="1" applyBorder="1"/>
    <xf numFmtId="0" fontId="34" fillId="0" borderId="29" xfId="48" applyFont="1" applyBorder="1" applyAlignment="1">
      <alignment horizontal="center"/>
    </xf>
    <xf numFmtId="0" fontId="34" fillId="0" borderId="30" xfId="48" applyFont="1" applyBorder="1" applyAlignment="1">
      <alignment horizontal="center"/>
    </xf>
    <xf numFmtId="3" fontId="35" fillId="0" borderId="26" xfId="48" applyNumberFormat="1" applyFont="1" applyBorder="1"/>
    <xf numFmtId="3" fontId="35" fillId="0" borderId="38" xfId="48" applyNumberFormat="1" applyFont="1" applyBorder="1"/>
    <xf numFmtId="0" fontId="44" fillId="0" borderId="54" xfId="48" applyFont="1" applyBorder="1" applyAlignment="1">
      <alignment horizontal="left"/>
    </xf>
    <xf numFmtId="3" fontId="38" fillId="0" borderId="55" xfId="0" applyNumberFormat="1" applyFont="1" applyBorder="1" applyAlignment="1">
      <alignment horizontal="right"/>
    </xf>
    <xf numFmtId="0" fontId="34" fillId="0" borderId="31" xfId="0" applyFont="1" applyBorder="1" applyAlignment="1">
      <alignment wrapText="1"/>
    </xf>
    <xf numFmtId="0" fontId="34" fillId="0" borderId="23" xfId="48" applyFont="1" applyBorder="1"/>
    <xf numFmtId="0" fontId="36" fillId="0" borderId="54" xfId="48" applyFont="1" applyBorder="1" applyAlignment="1">
      <alignment horizontal="justify"/>
    </xf>
    <xf numFmtId="0" fontId="34" fillId="0" borderId="37" xfId="48" applyFont="1" applyBorder="1" applyAlignment="1">
      <alignment horizontal="left" wrapText="1"/>
    </xf>
    <xf numFmtId="0" fontId="36" fillId="0" borderId="32" xfId="48" applyFont="1" applyBorder="1"/>
    <xf numFmtId="0" fontId="44" fillId="0" borderId="58" xfId="48" applyFont="1" applyBorder="1" applyAlignment="1">
      <alignment horizontal="left" wrapText="1"/>
    </xf>
    <xf numFmtId="3" fontId="38" fillId="0" borderId="46" xfId="0" applyNumberFormat="1" applyFont="1" applyBorder="1" applyAlignment="1">
      <alignment horizontal="right"/>
    </xf>
    <xf numFmtId="3" fontId="40" fillId="0" borderId="42" xfId="48" applyNumberFormat="1" applyFont="1" applyBorder="1"/>
    <xf numFmtId="0" fontId="34" fillId="0" borderId="24" xfId="48" applyFont="1" applyBorder="1" applyAlignment="1">
      <alignment horizontal="justify"/>
    </xf>
    <xf numFmtId="0" fontId="36" fillId="0" borderId="48" xfId="48" applyFont="1" applyBorder="1"/>
    <xf numFmtId="0" fontId="34" fillId="0" borderId="45" xfId="48" applyFont="1" applyBorder="1" applyAlignment="1">
      <alignment horizontal="center"/>
    </xf>
    <xf numFmtId="0" fontId="36" fillId="0" borderId="69" xfId="48" applyFont="1" applyBorder="1" applyAlignment="1">
      <alignment horizontal="left"/>
    </xf>
    <xf numFmtId="0" fontId="36" fillId="0" borderId="52" xfId="48" applyFont="1" applyBorder="1" applyAlignment="1">
      <alignment horizontal="center"/>
    </xf>
    <xf numFmtId="0" fontId="36" fillId="0" borderId="30" xfId="48" applyFont="1" applyBorder="1" applyAlignment="1">
      <alignment horizontal="center"/>
    </xf>
    <xf numFmtId="0" fontId="36" fillId="0" borderId="23" xfId="48" applyFont="1" applyBorder="1" applyAlignment="1">
      <alignment horizontal="left"/>
    </xf>
    <xf numFmtId="0" fontId="36" fillId="0" borderId="0" xfId="48" applyFont="1" applyAlignment="1">
      <alignment horizontal="justify"/>
    </xf>
    <xf numFmtId="0" fontId="36" fillId="0" borderId="31" xfId="48" applyFont="1" applyBorder="1" applyAlignment="1">
      <alignment horizontal="justify"/>
    </xf>
    <xf numFmtId="0" fontId="34" fillId="0" borderId="24" xfId="48" applyFont="1" applyBorder="1" applyAlignment="1">
      <alignment horizontal="left"/>
    </xf>
    <xf numFmtId="0" fontId="34" fillId="0" borderId="37" xfId="48" applyFont="1" applyBorder="1" applyAlignment="1">
      <alignment horizontal="left"/>
    </xf>
    <xf numFmtId="0" fontId="36" fillId="0" borderId="70" xfId="48" applyFont="1" applyBorder="1" applyAlignment="1">
      <alignment horizontal="justify"/>
    </xf>
    <xf numFmtId="3" fontId="35" fillId="0" borderId="39" xfId="48" applyNumberFormat="1" applyFont="1" applyBorder="1"/>
    <xf numFmtId="0" fontId="36" fillId="0" borderId="39" xfId="48" applyFont="1" applyBorder="1" applyAlignment="1">
      <alignment horizontal="justify"/>
    </xf>
    <xf numFmtId="3" fontId="40" fillId="0" borderId="55" xfId="48" applyNumberFormat="1" applyFont="1" applyBorder="1"/>
    <xf numFmtId="0" fontId="36" fillId="0" borderId="0" xfId="48" applyFont="1" applyAlignment="1">
      <alignment horizontal="left"/>
    </xf>
    <xf numFmtId="0" fontId="36" fillId="0" borderId="53" xfId="48" applyFont="1" applyBorder="1" applyAlignment="1">
      <alignment horizontal="left"/>
    </xf>
    <xf numFmtId="0" fontId="34" fillId="0" borderId="37" xfId="0" applyFont="1" applyBorder="1" applyAlignment="1">
      <alignment horizontal="left"/>
    </xf>
    <xf numFmtId="3" fontId="35" fillId="0" borderId="38" xfId="48" applyNumberFormat="1" applyFont="1" applyBorder="1" applyAlignment="1">
      <alignment horizontal="right"/>
    </xf>
    <xf numFmtId="3" fontId="40" fillId="0" borderId="55" xfId="48" applyNumberFormat="1" applyFont="1" applyBorder="1" applyAlignment="1">
      <alignment horizontal="right"/>
    </xf>
    <xf numFmtId="3" fontId="40" fillId="0" borderId="46" xfId="48" applyNumberFormat="1" applyFont="1" applyBorder="1" applyAlignment="1">
      <alignment horizontal="right"/>
    </xf>
    <xf numFmtId="0" fontId="36" fillId="0" borderId="0" xfId="48" applyFont="1" applyAlignment="1">
      <alignment horizontal="center"/>
    </xf>
    <xf numFmtId="0" fontId="37" fillId="0" borderId="0" xfId="48" applyFont="1"/>
    <xf numFmtId="0" fontId="37" fillId="0" borderId="0" xfId="48" applyFont="1" applyAlignment="1">
      <alignment horizontal="center"/>
    </xf>
    <xf numFmtId="3" fontId="33" fillId="0" borderId="0" xfId="48" applyNumberFormat="1" applyFont="1"/>
    <xf numFmtId="0" fontId="37" fillId="0" borderId="32" xfId="48" applyFont="1" applyBorder="1" applyAlignment="1">
      <alignment horizontal="center"/>
    </xf>
    <xf numFmtId="0" fontId="37" fillId="0" borderId="33" xfId="48" applyFont="1" applyBorder="1" applyAlignment="1">
      <alignment horizontal="center"/>
    </xf>
    <xf numFmtId="0" fontId="37" fillId="0" borderId="23" xfId="48" applyFont="1" applyBorder="1" applyAlignment="1">
      <alignment horizontal="right"/>
    </xf>
    <xf numFmtId="0" fontId="37" fillId="0" borderId="29" xfId="48" applyFont="1" applyBorder="1"/>
    <xf numFmtId="0" fontId="40" fillId="0" borderId="30" xfId="48" applyFont="1" applyBorder="1"/>
    <xf numFmtId="3" fontId="37" fillId="0" borderId="0" xfId="48" applyNumberFormat="1" applyFont="1"/>
    <xf numFmtId="0" fontId="33" fillId="0" borderId="23" xfId="48" applyFont="1" applyBorder="1" applyAlignment="1">
      <alignment horizontal="right"/>
    </xf>
    <xf numFmtId="3" fontId="35" fillId="25" borderId="38" xfId="48" applyNumberFormat="1" applyFont="1" applyFill="1" applyBorder="1" applyAlignment="1">
      <alignment horizontal="right"/>
    </xf>
    <xf numFmtId="0" fontId="33" fillId="0" borderId="71" xfId="48" applyFont="1" applyBorder="1" applyAlignment="1">
      <alignment horizontal="left" wrapText="1"/>
    </xf>
    <xf numFmtId="0" fontId="37" fillId="0" borderId="13" xfId="48" applyFont="1" applyBorder="1" applyAlignment="1">
      <alignment horizontal="right"/>
    </xf>
    <xf numFmtId="0" fontId="37" fillId="0" borderId="54" xfId="48" applyFont="1" applyBorder="1" applyAlignment="1">
      <alignment horizontal="center"/>
    </xf>
    <xf numFmtId="3" fontId="40" fillId="25" borderId="55" xfId="48" applyNumberFormat="1" applyFont="1" applyFill="1" applyBorder="1"/>
    <xf numFmtId="0" fontId="37" fillId="0" borderId="69" xfId="48" applyFont="1" applyBorder="1" applyAlignment="1">
      <alignment horizontal="right"/>
    </xf>
    <xf numFmtId="0" fontId="37" fillId="0" borderId="52" xfId="48" applyFont="1" applyBorder="1"/>
    <xf numFmtId="3" fontId="40" fillId="0" borderId="53" xfId="48" applyNumberFormat="1" applyFont="1" applyBorder="1"/>
    <xf numFmtId="0" fontId="40" fillId="0" borderId="53" xfId="48" applyFont="1" applyBorder="1"/>
    <xf numFmtId="0" fontId="33" fillId="0" borderId="24" xfId="48" applyFont="1" applyBorder="1"/>
    <xf numFmtId="3" fontId="35" fillId="25" borderId="26" xfId="48" applyNumberFormat="1" applyFont="1" applyFill="1" applyBorder="1"/>
    <xf numFmtId="3" fontId="35" fillId="0" borderId="31" xfId="48" applyNumberFormat="1" applyFont="1" applyBorder="1"/>
    <xf numFmtId="3" fontId="35" fillId="25" borderId="26" xfId="48" applyNumberFormat="1" applyFont="1" applyFill="1" applyBorder="1" applyAlignment="1">
      <alignment horizontal="right"/>
    </xf>
    <xf numFmtId="3" fontId="33" fillId="0" borderId="24" xfId="0" applyNumberFormat="1" applyFont="1" applyBorder="1" applyAlignment="1">
      <alignment horizontal="justify"/>
    </xf>
    <xf numFmtId="0" fontId="37" fillId="0" borderId="54" xfId="48" applyFont="1" applyBorder="1"/>
    <xf numFmtId="0" fontId="43" fillId="0" borderId="0" xfId="48" applyFont="1"/>
    <xf numFmtId="0" fontId="32" fillId="0" borderId="23" xfId="48" applyFont="1" applyBorder="1" applyAlignment="1">
      <alignment horizontal="left"/>
    </xf>
    <xf numFmtId="0" fontId="32" fillId="0" borderId="0" xfId="48" applyFont="1"/>
    <xf numFmtId="0" fontId="38" fillId="0" borderId="31" xfId="48" applyFont="1" applyBorder="1"/>
    <xf numFmtId="0" fontId="33" fillId="0" borderId="37" xfId="48" applyFont="1" applyBorder="1"/>
    <xf numFmtId="0" fontId="33" fillId="0" borderId="37" xfId="48" applyFont="1" applyBorder="1" applyAlignment="1">
      <alignment wrapText="1"/>
    </xf>
    <xf numFmtId="3" fontId="33" fillId="0" borderId="0" xfId="0" applyNumberFormat="1" applyFont="1" applyAlignment="1">
      <alignment horizontal="justify"/>
    </xf>
    <xf numFmtId="0" fontId="33" fillId="0" borderId="61" xfId="48" applyFont="1" applyBorder="1" applyAlignment="1">
      <alignment horizontal="left"/>
    </xf>
    <xf numFmtId="0" fontId="33" fillId="0" borderId="23" xfId="48" applyFont="1" applyBorder="1" applyAlignment="1">
      <alignment horizontal="right" wrapText="1"/>
    </xf>
    <xf numFmtId="0" fontId="33" fillId="0" borderId="0" xfId="48" applyFont="1" applyAlignment="1">
      <alignment wrapText="1"/>
    </xf>
    <xf numFmtId="0" fontId="37" fillId="0" borderId="23" xfId="48" applyFont="1" applyBorder="1"/>
    <xf numFmtId="0" fontId="33" fillId="0" borderId="37" xfId="0" applyFont="1" applyBorder="1" applyAlignment="1">
      <alignment wrapText="1"/>
    </xf>
    <xf numFmtId="0" fontId="33" fillId="0" borderId="24" xfId="48" applyFont="1" applyBorder="1" applyAlignment="1">
      <alignment wrapText="1"/>
    </xf>
    <xf numFmtId="0" fontId="33" fillId="0" borderId="24" xfId="48" applyFont="1" applyBorder="1" applyAlignment="1">
      <alignment horizontal="left"/>
    </xf>
    <xf numFmtId="0" fontId="33" fillId="0" borderId="48" xfId="48" applyFont="1" applyBorder="1" applyAlignment="1">
      <alignment horizontal="right"/>
    </xf>
    <xf numFmtId="0" fontId="37" fillId="0" borderId="45" xfId="48" applyFont="1" applyBorder="1"/>
    <xf numFmtId="0" fontId="37" fillId="0" borderId="72" xfId="48" applyFont="1" applyBorder="1"/>
    <xf numFmtId="0" fontId="40" fillId="0" borderId="31" xfId="48" applyFont="1" applyBorder="1"/>
    <xf numFmtId="0" fontId="34" fillId="0" borderId="43" xfId="0" applyFont="1" applyBorder="1" applyAlignment="1">
      <alignment horizontal="left" wrapText="1"/>
    </xf>
    <xf numFmtId="0" fontId="37" fillId="0" borderId="32" xfId="48" applyFont="1" applyBorder="1" applyAlignment="1">
      <alignment horizontal="right"/>
    </xf>
    <xf numFmtId="3" fontId="40" fillId="0" borderId="34" xfId="48" applyNumberFormat="1" applyFont="1" applyBorder="1"/>
    <xf numFmtId="0" fontId="37" fillId="0" borderId="48" xfId="48" applyFont="1" applyBorder="1"/>
    <xf numFmtId="0" fontId="33" fillId="0" borderId="49" xfId="48" applyFont="1" applyBorder="1"/>
    <xf numFmtId="3" fontId="40" fillId="25" borderId="42" xfId="48" applyNumberFormat="1" applyFont="1" applyFill="1" applyBorder="1"/>
    <xf numFmtId="0" fontId="36" fillId="0" borderId="0" xfId="51" applyFont="1" applyAlignment="1">
      <alignment horizontal="center"/>
    </xf>
    <xf numFmtId="0" fontId="34" fillId="0" borderId="0" xfId="51" applyFont="1"/>
    <xf numFmtId="3" fontId="34" fillId="0" borderId="0" xfId="51" applyNumberFormat="1" applyFont="1"/>
    <xf numFmtId="0" fontId="36" fillId="0" borderId="28" xfId="51" applyFont="1" applyBorder="1" applyAlignment="1">
      <alignment horizontal="center"/>
    </xf>
    <xf numFmtId="0" fontId="34" fillId="0" borderId="30" xfId="51" applyFont="1" applyBorder="1" applyAlignment="1">
      <alignment horizontal="center"/>
    </xf>
    <xf numFmtId="0" fontId="34" fillId="0" borderId="23" xfId="51" applyFont="1" applyBorder="1"/>
    <xf numFmtId="0" fontId="34" fillId="0" borderId="31" xfId="51" applyFont="1" applyBorder="1" applyAlignment="1">
      <alignment horizontal="center"/>
    </xf>
    <xf numFmtId="0" fontId="34" fillId="0" borderId="32" xfId="51" applyFont="1" applyBorder="1"/>
    <xf numFmtId="0" fontId="34" fillId="0" borderId="34" xfId="51" applyFont="1" applyBorder="1" applyAlignment="1">
      <alignment horizontal="center" vertical="center" wrapText="1"/>
    </xf>
    <xf numFmtId="3" fontId="36" fillId="0" borderId="0" xfId="51" applyNumberFormat="1" applyFont="1"/>
    <xf numFmtId="0" fontId="36" fillId="0" borderId="0" xfId="51" applyFont="1"/>
    <xf numFmtId="0" fontId="37" fillId="0" borderId="48" xfId="51" applyFont="1" applyBorder="1" applyAlignment="1">
      <alignment horizontal="justify"/>
    </xf>
    <xf numFmtId="3" fontId="37" fillId="0" borderId="42" xfId="51" applyNumberFormat="1" applyFont="1" applyBorder="1"/>
    <xf numFmtId="0" fontId="33" fillId="0" borderId="23" xfId="51" applyFont="1" applyBorder="1" applyAlignment="1">
      <alignment horizontal="justify"/>
    </xf>
    <xf numFmtId="3" fontId="33" fillId="0" borderId="40" xfId="51" applyNumberFormat="1" applyFont="1" applyBorder="1"/>
    <xf numFmtId="3" fontId="33" fillId="0" borderId="31" xfId="51" applyNumberFormat="1" applyFont="1" applyBorder="1"/>
    <xf numFmtId="0" fontId="37" fillId="0" borderId="48" xfId="51" applyFont="1" applyBorder="1"/>
    <xf numFmtId="2" fontId="34" fillId="0" borderId="0" xfId="51" applyNumberFormat="1" applyFont="1"/>
    <xf numFmtId="0" fontId="52" fillId="0" borderId="0" xfId="51" applyFont="1"/>
    <xf numFmtId="3" fontId="52" fillId="0" borderId="0" xfId="51" applyNumberFormat="1" applyFont="1"/>
    <xf numFmtId="3" fontId="33" fillId="0" borderId="0" xfId="51" applyNumberFormat="1" applyFont="1"/>
    <xf numFmtId="0" fontId="37" fillId="0" borderId="28" xfId="51" applyFont="1" applyBorder="1" applyAlignment="1">
      <alignment horizontal="justify"/>
    </xf>
    <xf numFmtId="0" fontId="34" fillId="0" borderId="28" xfId="0" applyFont="1" applyBorder="1" applyAlignment="1">
      <alignment horizontal="center"/>
    </xf>
    <xf numFmtId="0" fontId="34" fillId="0" borderId="73" xfId="0" applyFont="1" applyBorder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36" fillId="0" borderId="74" xfId="0" applyFont="1" applyBorder="1"/>
    <xf numFmtId="0" fontId="34" fillId="0" borderId="74" xfId="0" applyFont="1" applyBorder="1"/>
    <xf numFmtId="0" fontId="34" fillId="0" borderId="22" xfId="0" applyFont="1" applyBorder="1"/>
    <xf numFmtId="4" fontId="34" fillId="0" borderId="0" xfId="0" applyNumberFormat="1" applyFont="1"/>
    <xf numFmtId="3" fontId="33" fillId="0" borderId="27" xfId="0" applyNumberFormat="1" applyFont="1" applyBorder="1"/>
    <xf numFmtId="3" fontId="33" fillId="0" borderId="51" xfId="0" applyNumberFormat="1" applyFont="1" applyBorder="1" applyAlignment="1">
      <alignment horizontal="right"/>
    </xf>
    <xf numFmtId="3" fontId="33" fillId="0" borderId="12" xfId="0" applyNumberFormat="1" applyFont="1" applyBorder="1"/>
    <xf numFmtId="3" fontId="33" fillId="0" borderId="13" xfId="0" applyNumberFormat="1" applyFont="1" applyBorder="1"/>
    <xf numFmtId="3" fontId="33" fillId="0" borderId="16" xfId="0" applyNumberFormat="1" applyFont="1" applyBorder="1"/>
    <xf numFmtId="3" fontId="33" fillId="0" borderId="59" xfId="0" applyNumberFormat="1" applyFont="1" applyBorder="1"/>
    <xf numFmtId="3" fontId="33" fillId="0" borderId="75" xfId="0" applyNumberFormat="1" applyFont="1" applyBorder="1"/>
    <xf numFmtId="3" fontId="33" fillId="0" borderId="75" xfId="0" applyNumberFormat="1" applyFont="1" applyBorder="1" applyAlignment="1">
      <alignment horizontal="right"/>
    </xf>
    <xf numFmtId="3" fontId="33" fillId="0" borderId="74" xfId="0" applyNumberFormat="1" applyFont="1" applyBorder="1"/>
    <xf numFmtId="3" fontId="37" fillId="0" borderId="74" xfId="0" applyNumberFormat="1" applyFont="1" applyBorder="1" applyAlignment="1">
      <alignment horizontal="right"/>
    </xf>
    <xf numFmtId="3" fontId="33" fillId="0" borderId="22" xfId="0" applyNumberFormat="1" applyFont="1" applyBorder="1"/>
    <xf numFmtId="165" fontId="34" fillId="0" borderId="0" xfId="36" applyNumberFormat="1" applyFont="1" applyFill="1"/>
    <xf numFmtId="0" fontId="34" fillId="0" borderId="0" xfId="46" applyFont="1" applyAlignment="1">
      <alignment horizontal="left"/>
    </xf>
    <xf numFmtId="0" fontId="34" fillId="0" borderId="0" xfId="46" applyFont="1"/>
    <xf numFmtId="0" fontId="34" fillId="0" borderId="0" xfId="46" applyFont="1" applyAlignment="1">
      <alignment horizontal="center"/>
    </xf>
    <xf numFmtId="0" fontId="36" fillId="0" borderId="0" xfId="46" applyFont="1"/>
    <xf numFmtId="0" fontId="34" fillId="0" borderId="0" xfId="46" applyFont="1" applyAlignment="1">
      <alignment horizontal="right"/>
    </xf>
    <xf numFmtId="3" fontId="36" fillId="0" borderId="30" xfId="46" applyNumberFormat="1" applyFont="1" applyBorder="1" applyAlignment="1">
      <alignment horizontal="center"/>
    </xf>
    <xf numFmtId="3" fontId="36" fillId="0" borderId="29" xfId="46" applyNumberFormat="1" applyFont="1" applyBorder="1" applyAlignment="1">
      <alignment horizontal="center"/>
    </xf>
    <xf numFmtId="3" fontId="36" fillId="0" borderId="72" xfId="46" applyNumberFormat="1" applyFont="1" applyBorder="1" applyAlignment="1">
      <alignment horizontal="center"/>
    </xf>
    <xf numFmtId="3" fontId="34" fillId="0" borderId="34" xfId="46" applyNumberFormat="1" applyFont="1" applyBorder="1"/>
    <xf numFmtId="3" fontId="34" fillId="0" borderId="33" xfId="46" applyNumberFormat="1" applyFont="1" applyBorder="1"/>
    <xf numFmtId="3" fontId="36" fillId="0" borderId="44" xfId="46" applyNumberFormat="1" applyFont="1" applyBorder="1" applyAlignment="1">
      <alignment horizontal="center"/>
    </xf>
    <xf numFmtId="3" fontId="34" fillId="0" borderId="42" xfId="46" applyNumberFormat="1" applyFont="1" applyBorder="1"/>
    <xf numFmtId="3" fontId="34" fillId="0" borderId="45" xfId="46" applyNumberFormat="1" applyFont="1" applyBorder="1" applyAlignment="1">
      <alignment horizontal="justify"/>
    </xf>
    <xf numFmtId="3" fontId="34" fillId="0" borderId="31" xfId="46" applyNumberFormat="1" applyFont="1" applyBorder="1"/>
    <xf numFmtId="3" fontId="34" fillId="0" borderId="0" xfId="46" applyNumberFormat="1" applyFont="1"/>
    <xf numFmtId="3" fontId="34" fillId="0" borderId="33" xfId="46" applyNumberFormat="1" applyFont="1" applyBorder="1" applyAlignment="1">
      <alignment horizontal="justify"/>
    </xf>
    <xf numFmtId="3" fontId="36" fillId="0" borderId="34" xfId="46" applyNumberFormat="1" applyFont="1" applyBorder="1"/>
    <xf numFmtId="3" fontId="36" fillId="0" borderId="33" xfId="46" applyNumberFormat="1" applyFont="1" applyBorder="1"/>
    <xf numFmtId="0" fontId="44" fillId="0" borderId="0" xfId="50" applyFont="1"/>
    <xf numFmtId="0" fontId="34" fillId="0" borderId="50" xfId="50" applyFont="1" applyBorder="1" applyAlignment="1">
      <alignment wrapText="1"/>
    </xf>
    <xf numFmtId="0" fontId="34" fillId="0" borderId="0" xfId="50" applyFont="1"/>
    <xf numFmtId="3" fontId="33" fillId="0" borderId="31" xfId="0" applyNumberFormat="1" applyFont="1" applyBorder="1" applyProtection="1">
      <protection locked="0"/>
    </xf>
    <xf numFmtId="0" fontId="34" fillId="0" borderId="0" xfId="48" applyFont="1" applyAlignment="1">
      <alignment horizontal="right"/>
    </xf>
    <xf numFmtId="0" fontId="36" fillId="0" borderId="33" xfId="48" applyFont="1" applyBorder="1" applyAlignment="1">
      <alignment horizontal="center"/>
    </xf>
    <xf numFmtId="0" fontId="37" fillId="0" borderId="23" xfId="48" applyFont="1" applyBorder="1" applyAlignment="1">
      <alignment horizontal="left"/>
    </xf>
    <xf numFmtId="0" fontId="36" fillId="0" borderId="72" xfId="48" applyFont="1" applyBorder="1"/>
    <xf numFmtId="0" fontId="36" fillId="0" borderId="30" xfId="48" applyFont="1" applyBorder="1"/>
    <xf numFmtId="3" fontId="36" fillId="0" borderId="31" xfId="48" applyNumberFormat="1" applyFont="1" applyBorder="1"/>
    <xf numFmtId="3" fontId="36" fillId="0" borderId="42" xfId="48" applyNumberFormat="1" applyFont="1" applyBorder="1"/>
    <xf numFmtId="0" fontId="53" fillId="0" borderId="0" xfId="0" applyFont="1"/>
    <xf numFmtId="0" fontId="54" fillId="0" borderId="0" xfId="51" applyFont="1"/>
    <xf numFmtId="0" fontId="36" fillId="0" borderId="0" xfId="51" applyFont="1" applyAlignment="1">
      <alignment horizontal="right"/>
    </xf>
    <xf numFmtId="0" fontId="36" fillId="0" borderId="30" xfId="51" applyFont="1" applyBorder="1" applyAlignment="1">
      <alignment horizontal="center"/>
    </xf>
    <xf numFmtId="0" fontId="36" fillId="0" borderId="72" xfId="51" applyFont="1" applyBorder="1" applyAlignment="1">
      <alignment horizontal="center"/>
    </xf>
    <xf numFmtId="0" fontId="36" fillId="0" borderId="31" xfId="51" applyFont="1" applyBorder="1" applyAlignment="1">
      <alignment horizontal="center"/>
    </xf>
    <xf numFmtId="0" fontId="36" fillId="0" borderId="43" xfId="51" applyFont="1" applyBorder="1" applyAlignment="1">
      <alignment horizontal="center"/>
    </xf>
    <xf numFmtId="0" fontId="36" fillId="0" borderId="34" xfId="51" applyFont="1" applyBorder="1" applyAlignment="1">
      <alignment horizontal="center"/>
    </xf>
    <xf numFmtId="0" fontId="36" fillId="0" borderId="34" xfId="51" applyFont="1" applyBorder="1" applyAlignment="1">
      <alignment horizontal="center" vertical="center" wrapText="1"/>
    </xf>
    <xf numFmtId="0" fontId="36" fillId="0" borderId="44" xfId="51" applyFont="1" applyBorder="1" applyAlignment="1">
      <alignment horizontal="center" vertical="center" wrapText="1"/>
    </xf>
    <xf numFmtId="0" fontId="36" fillId="0" borderId="44" xfId="51" applyFont="1" applyBorder="1" applyAlignment="1">
      <alignment horizontal="justify"/>
    </xf>
    <xf numFmtId="0" fontId="36" fillId="0" borderId="23" xfId="51" applyFont="1" applyBorder="1" applyAlignment="1">
      <alignment horizontal="center"/>
    </xf>
    <xf numFmtId="0" fontId="34" fillId="0" borderId="72" xfId="51" applyFont="1" applyBorder="1" applyAlignment="1">
      <alignment horizontal="center"/>
    </xf>
    <xf numFmtId="3" fontId="36" fillId="0" borderId="40" xfId="51" applyNumberFormat="1" applyFont="1" applyBorder="1" applyAlignment="1">
      <alignment horizontal="center"/>
    </xf>
    <xf numFmtId="0" fontId="33" fillId="0" borderId="27" xfId="49" applyFont="1" applyBorder="1"/>
    <xf numFmtId="3" fontId="34" fillId="0" borderId="40" xfId="51" applyNumberFormat="1" applyFont="1" applyBorder="1"/>
    <xf numFmtId="3" fontId="36" fillId="0" borderId="40" xfId="51" applyNumberFormat="1" applyFont="1" applyBorder="1"/>
    <xf numFmtId="3" fontId="36" fillId="0" borderId="31" xfId="51" applyNumberFormat="1" applyFont="1" applyBorder="1" applyAlignment="1">
      <alignment horizontal="center"/>
    </xf>
    <xf numFmtId="3" fontId="34" fillId="0" borderId="31" xfId="51" applyNumberFormat="1" applyFont="1" applyBorder="1"/>
    <xf numFmtId="3" fontId="36" fillId="0" borderId="55" xfId="51" applyNumberFormat="1" applyFont="1" applyBorder="1" applyAlignment="1">
      <alignment horizontal="center"/>
    </xf>
    <xf numFmtId="0" fontId="33" fillId="0" borderId="13" xfId="49" applyFont="1" applyBorder="1"/>
    <xf numFmtId="0" fontId="33" fillId="0" borderId="13" xfId="49" applyFont="1" applyBorder="1" applyAlignment="1">
      <alignment wrapText="1"/>
    </xf>
    <xf numFmtId="3" fontId="34" fillId="0" borderId="55" xfId="51" applyNumberFormat="1" applyFont="1" applyBorder="1"/>
    <xf numFmtId="3" fontId="36" fillId="0" borderId="53" xfId="51" applyNumberFormat="1" applyFont="1" applyBorder="1" applyAlignment="1">
      <alignment horizontal="center"/>
    </xf>
    <xf numFmtId="0" fontId="33" fillId="0" borderId="69" xfId="49" applyFont="1" applyBorder="1"/>
    <xf numFmtId="3" fontId="36" fillId="0" borderId="31" xfId="51" applyNumberFormat="1" applyFont="1" applyBorder="1"/>
    <xf numFmtId="3" fontId="36" fillId="0" borderId="42" xfId="51" applyNumberFormat="1" applyFont="1" applyBorder="1" applyAlignment="1">
      <alignment horizontal="center"/>
    </xf>
    <xf numFmtId="3" fontId="36" fillId="0" borderId="42" xfId="51" applyNumberFormat="1" applyFont="1" applyBorder="1"/>
    <xf numFmtId="3" fontId="36" fillId="0" borderId="76" xfId="51" applyNumberFormat="1" applyFont="1" applyBorder="1" applyAlignment="1">
      <alignment horizontal="center"/>
    </xf>
    <xf numFmtId="0" fontId="33" fillId="0" borderId="28" xfId="49" applyFont="1" applyBorder="1"/>
    <xf numFmtId="3" fontId="34" fillId="0" borderId="30" xfId="51" applyNumberFormat="1" applyFont="1" applyBorder="1"/>
    <xf numFmtId="0" fontId="33" fillId="0" borderId="23" xfId="49" applyFont="1" applyBorder="1"/>
    <xf numFmtId="0" fontId="37" fillId="0" borderId="23" xfId="51" applyFont="1" applyBorder="1" applyAlignment="1">
      <alignment horizontal="justify"/>
    </xf>
    <xf numFmtId="3" fontId="34" fillId="0" borderId="42" xfId="51" applyNumberFormat="1" applyFont="1" applyBorder="1"/>
    <xf numFmtId="3" fontId="34" fillId="0" borderId="43" xfId="51" applyNumberFormat="1" applyFont="1" applyBorder="1"/>
    <xf numFmtId="3" fontId="36" fillId="0" borderId="30" xfId="51" applyNumberFormat="1" applyFont="1" applyBorder="1" applyAlignment="1">
      <alignment horizontal="center"/>
    </xf>
    <xf numFmtId="3" fontId="34" fillId="0" borderId="72" xfId="51" applyNumberFormat="1" applyFont="1" applyBorder="1"/>
    <xf numFmtId="3" fontId="51" fillId="0" borderId="0" xfId="51" applyNumberFormat="1" applyFont="1"/>
    <xf numFmtId="3" fontId="50" fillId="0" borderId="62" xfId="0" applyNumberFormat="1" applyFont="1" applyBorder="1"/>
    <xf numFmtId="3" fontId="50" fillId="0" borderId="26" xfId="0" applyNumberFormat="1" applyFont="1" applyBorder="1"/>
    <xf numFmtId="3" fontId="50" fillId="0" borderId="38" xfId="0" applyNumberFormat="1" applyFont="1" applyBorder="1"/>
    <xf numFmtId="3" fontId="50" fillId="0" borderId="62" xfId="0" applyNumberFormat="1" applyFont="1" applyBorder="1" applyAlignment="1">
      <alignment horizontal="right"/>
    </xf>
    <xf numFmtId="3" fontId="50" fillId="0" borderId="26" xfId="0" applyNumberFormat="1" applyFont="1" applyBorder="1" applyAlignment="1">
      <alignment horizontal="right"/>
    </xf>
    <xf numFmtId="3" fontId="50" fillId="0" borderId="38" xfId="0" applyNumberFormat="1" applyFont="1" applyBorder="1" applyAlignment="1">
      <alignment horizontal="right"/>
    </xf>
    <xf numFmtId="3" fontId="50" fillId="0" borderId="39" xfId="0" applyNumberFormat="1" applyFont="1" applyBorder="1"/>
    <xf numFmtId="3" fontId="55" fillId="0" borderId="41" xfId="0" applyNumberFormat="1" applyFont="1" applyBorder="1"/>
    <xf numFmtId="3" fontId="50" fillId="0" borderId="30" xfId="0" applyNumberFormat="1" applyFont="1" applyBorder="1" applyAlignment="1">
      <alignment horizontal="right"/>
    </xf>
    <xf numFmtId="3" fontId="50" fillId="0" borderId="31" xfId="0" applyNumberFormat="1" applyFont="1" applyBorder="1" applyAlignment="1">
      <alignment horizontal="centerContinuous"/>
    </xf>
    <xf numFmtId="3" fontId="50" fillId="0" borderId="31" xfId="0" applyNumberFormat="1" applyFont="1" applyBorder="1" applyAlignment="1">
      <alignment horizontal="right"/>
    </xf>
    <xf numFmtId="3" fontId="50" fillId="0" borderId="26" xfId="48" applyNumberFormat="1" applyFont="1" applyBorder="1" applyAlignment="1">
      <alignment horizontal="right"/>
    </xf>
    <xf numFmtId="3" fontId="56" fillId="0" borderId="26" xfId="0" applyNumberFormat="1" applyFont="1" applyBorder="1" applyAlignment="1">
      <alignment horizontal="left"/>
    </xf>
    <xf numFmtId="3" fontId="56" fillId="0" borderId="42" xfId="0" applyNumberFormat="1" applyFont="1" applyBorder="1" applyAlignment="1">
      <alignment horizontal="right"/>
    </xf>
    <xf numFmtId="3" fontId="56" fillId="0" borderId="42" xfId="0" applyNumberFormat="1" applyFont="1" applyBorder="1"/>
    <xf numFmtId="3" fontId="50" fillId="0" borderId="31" xfId="0" applyNumberFormat="1" applyFont="1" applyBorder="1"/>
    <xf numFmtId="3" fontId="56" fillId="0" borderId="46" xfId="0" applyNumberFormat="1" applyFont="1" applyBorder="1" applyAlignment="1">
      <alignment horizontal="right"/>
    </xf>
    <xf numFmtId="3" fontId="56" fillId="0" borderId="31" xfId="0" applyNumberFormat="1" applyFont="1" applyBorder="1" applyAlignment="1">
      <alignment horizontal="centerContinuous"/>
    </xf>
    <xf numFmtId="3" fontId="56" fillId="0" borderId="31" xfId="0" applyNumberFormat="1" applyFont="1" applyBorder="1" applyAlignment="1">
      <alignment horizontal="right"/>
    </xf>
    <xf numFmtId="3" fontId="50" fillId="0" borderId="31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3" fontId="56" fillId="0" borderId="30" xfId="0" applyNumberFormat="1" applyFont="1" applyBorder="1"/>
    <xf numFmtId="3" fontId="56" fillId="0" borderId="49" xfId="0" applyNumberFormat="1" applyFont="1" applyBorder="1"/>
    <xf numFmtId="3" fontId="50" fillId="0" borderId="34" xfId="0" applyNumberFormat="1" applyFont="1" applyBorder="1"/>
    <xf numFmtId="0" fontId="50" fillId="0" borderId="24" xfId="0" applyFont="1" applyBorder="1"/>
    <xf numFmtId="0" fontId="50" fillId="0" borderId="24" xfId="48" applyFont="1" applyBorder="1" applyAlignment="1">
      <alignment horizontal="justify"/>
    </xf>
    <xf numFmtId="0" fontId="50" fillId="0" borderId="0" xfId="0" applyFont="1"/>
    <xf numFmtId="3" fontId="56" fillId="0" borderId="0" xfId="0" applyNumberFormat="1" applyFont="1" applyAlignment="1">
      <alignment horizontal="left"/>
    </xf>
    <xf numFmtId="3" fontId="56" fillId="0" borderId="31" xfId="0" applyNumberFormat="1" applyFont="1" applyBorder="1" applyAlignment="1">
      <alignment horizontal="left"/>
    </xf>
    <xf numFmtId="3" fontId="57" fillId="0" borderId="45" xfId="0" applyNumberFormat="1" applyFont="1" applyBorder="1" applyAlignment="1">
      <alignment horizontal="centerContinuous"/>
    </xf>
    <xf numFmtId="3" fontId="56" fillId="0" borderId="45" xfId="0" applyNumberFormat="1" applyFont="1" applyBorder="1" applyAlignment="1">
      <alignment horizontal="centerContinuous"/>
    </xf>
    <xf numFmtId="3" fontId="56" fillId="0" borderId="30" xfId="0" applyNumberFormat="1" applyFont="1" applyBorder="1" applyAlignment="1">
      <alignment horizontal="left"/>
    </xf>
    <xf numFmtId="0" fontId="50" fillId="0" borderId="33" xfId="0" applyFont="1" applyBorder="1" applyAlignment="1">
      <alignment horizontal="left"/>
    </xf>
    <xf numFmtId="3" fontId="50" fillId="0" borderId="33" xfId="0" applyNumberFormat="1" applyFont="1" applyBorder="1"/>
    <xf numFmtId="0" fontId="35" fillId="0" borderId="63" xfId="0" applyFont="1" applyBorder="1"/>
    <xf numFmtId="0" fontId="34" fillId="0" borderId="71" xfId="0" applyFont="1" applyBorder="1" applyAlignment="1">
      <alignment horizontal="left" wrapText="1" shrinkToFit="1"/>
    </xf>
    <xf numFmtId="3" fontId="35" fillId="0" borderId="34" xfId="0" applyNumberFormat="1" applyFont="1" applyBorder="1" applyAlignment="1">
      <alignment horizontal="right" wrapText="1"/>
    </xf>
    <xf numFmtId="0" fontId="45" fillId="0" borderId="0" xfId="0" applyFont="1" applyAlignment="1">
      <alignment horizontal="left"/>
    </xf>
    <xf numFmtId="0" fontId="33" fillId="0" borderId="61" xfId="0" applyFont="1" applyBorder="1" applyAlignment="1">
      <alignment horizontal="left"/>
    </xf>
    <xf numFmtId="3" fontId="40" fillId="27" borderId="48" xfId="0" applyNumberFormat="1" applyFont="1" applyFill="1" applyBorder="1" applyAlignment="1">
      <alignment horizontal="right"/>
    </xf>
    <xf numFmtId="3" fontId="40" fillId="27" borderId="42" xfId="0" applyNumberFormat="1" applyFont="1" applyFill="1" applyBorder="1"/>
    <xf numFmtId="0" fontId="33" fillId="0" borderId="24" xfId="0" applyFont="1" applyBorder="1" applyAlignment="1">
      <alignment vertical="top" wrapText="1"/>
    </xf>
    <xf numFmtId="0" fontId="32" fillId="0" borderId="13" xfId="0" applyFont="1" applyBorder="1"/>
    <xf numFmtId="3" fontId="32" fillId="0" borderId="54" xfId="0" applyNumberFormat="1" applyFont="1" applyBorder="1"/>
    <xf numFmtId="0" fontId="33" fillId="0" borderId="70" xfId="0" applyFont="1" applyBorder="1" applyAlignment="1">
      <alignment horizontal="left"/>
    </xf>
    <xf numFmtId="0" fontId="32" fillId="0" borderId="70" xfId="0" applyFont="1" applyBorder="1" applyAlignment="1">
      <alignment horizontal="left"/>
    </xf>
    <xf numFmtId="0" fontId="37" fillId="0" borderId="70" xfId="0" applyFont="1" applyBorder="1" applyAlignment="1">
      <alignment horizontal="left"/>
    </xf>
    <xf numFmtId="0" fontId="34" fillId="27" borderId="63" xfId="0" applyFont="1" applyFill="1" applyBorder="1" applyAlignment="1">
      <alignment horizontal="left" wrapText="1"/>
    </xf>
    <xf numFmtId="0" fontId="27" fillId="0" borderId="36" xfId="0" applyFont="1" applyBorder="1"/>
    <xf numFmtId="0" fontId="36" fillId="0" borderId="48" xfId="0" applyFont="1" applyBorder="1" applyAlignment="1">
      <alignment horizontal="justify" wrapText="1"/>
    </xf>
    <xf numFmtId="0" fontId="33" fillId="0" borderId="37" xfId="48" applyFont="1" applyBorder="1" applyAlignment="1">
      <alignment horizontal="left"/>
    </xf>
    <xf numFmtId="3" fontId="34" fillId="0" borderId="40" xfId="46" applyNumberFormat="1" applyFont="1" applyBorder="1"/>
    <xf numFmtId="3" fontId="34" fillId="0" borderId="25" xfId="46" applyNumberFormat="1" applyFont="1" applyBorder="1"/>
    <xf numFmtId="3" fontId="34" fillId="0" borderId="30" xfId="46" applyNumberFormat="1" applyFont="1" applyBorder="1"/>
    <xf numFmtId="3" fontId="34" fillId="0" borderId="79" xfId="46" applyNumberFormat="1" applyFont="1" applyBorder="1" applyAlignment="1">
      <alignment horizontal="justify"/>
    </xf>
    <xf numFmtId="3" fontId="34" fillId="0" borderId="76" xfId="46" applyNumberFormat="1" applyFont="1" applyBorder="1"/>
    <xf numFmtId="0" fontId="33" fillId="0" borderId="24" xfId="48" applyFont="1" applyBorder="1" applyAlignment="1">
      <alignment horizontal="justify"/>
    </xf>
    <xf numFmtId="0" fontId="35" fillId="0" borderId="30" xfId="48" applyFont="1" applyBorder="1" applyAlignment="1">
      <alignment horizontal="center"/>
    </xf>
    <xf numFmtId="3" fontId="40" fillId="0" borderId="31" xfId="48" applyNumberFormat="1" applyFont="1" applyBorder="1"/>
    <xf numFmtId="0" fontId="34" fillId="0" borderId="61" xfId="0" applyFont="1" applyBorder="1" applyAlignment="1">
      <alignment horizontal="left" wrapText="1" shrinkToFit="1"/>
    </xf>
    <xf numFmtId="3" fontId="35" fillId="0" borderId="43" xfId="0" applyNumberFormat="1" applyFont="1" applyBorder="1"/>
    <xf numFmtId="0" fontId="34" fillId="0" borderId="79" xfId="0" applyFont="1" applyBorder="1" applyAlignment="1">
      <alignment horizontal="justify" wrapText="1"/>
    </xf>
    <xf numFmtId="3" fontId="35" fillId="0" borderId="76" xfId="0" applyNumberFormat="1" applyFont="1" applyBorder="1" applyAlignment="1">
      <alignment horizontal="right" wrapText="1"/>
    </xf>
    <xf numFmtId="0" fontId="34" fillId="0" borderId="0" xfId="51" applyFont="1" applyAlignment="1">
      <alignment horizontal="right"/>
    </xf>
    <xf numFmtId="0" fontId="33" fillId="0" borderId="79" xfId="51" applyFont="1" applyBorder="1"/>
    <xf numFmtId="3" fontId="33" fillId="0" borderId="76" xfId="51" applyNumberFormat="1" applyFont="1" applyBorder="1"/>
    <xf numFmtId="0" fontId="33" fillId="0" borderId="34" xfId="51" applyFont="1" applyBorder="1" applyAlignment="1">
      <alignment horizontal="justify"/>
    </xf>
    <xf numFmtId="3" fontId="33" fillId="0" borderId="34" xfId="51" applyNumberFormat="1" applyFont="1" applyBorder="1"/>
    <xf numFmtId="0" fontId="33" fillId="0" borderId="28" xfId="51" applyFont="1" applyBorder="1" applyAlignment="1">
      <alignment horizontal="justify"/>
    </xf>
    <xf numFmtId="0" fontId="33" fillId="0" borderId="32" xfId="51" applyFont="1" applyBorder="1"/>
    <xf numFmtId="0" fontId="32" fillId="0" borderId="31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36" fillId="0" borderId="42" xfId="0" applyFont="1" applyBorder="1" applyAlignment="1">
      <alignment horizontal="left" wrapText="1"/>
    </xf>
    <xf numFmtId="0" fontId="37" fillId="0" borderId="31" xfId="0" applyFont="1" applyBorder="1" applyAlignment="1">
      <alignment horizontal="center" wrapText="1"/>
    </xf>
    <xf numFmtId="0" fontId="32" fillId="0" borderId="42" xfId="0" applyFont="1" applyBorder="1" applyAlignment="1">
      <alignment horizontal="left"/>
    </xf>
    <xf numFmtId="0" fontId="32" fillId="0" borderId="46" xfId="0" applyFont="1" applyBorder="1" applyAlignment="1">
      <alignment horizontal="center"/>
    </xf>
    <xf numFmtId="0" fontId="36" fillId="0" borderId="34" xfId="0" applyFont="1" applyBorder="1" applyAlignment="1">
      <alignment wrapText="1"/>
    </xf>
    <xf numFmtId="0" fontId="32" fillId="0" borderId="42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46" xfId="0" applyFont="1" applyBorder="1"/>
    <xf numFmtId="0" fontId="37" fillId="0" borderId="34" xfId="0" applyFont="1" applyBorder="1"/>
    <xf numFmtId="0" fontId="37" fillId="0" borderId="46" xfId="0" applyFont="1" applyBorder="1"/>
    <xf numFmtId="0" fontId="33" fillId="0" borderId="38" xfId="0" applyFont="1" applyBorder="1"/>
    <xf numFmtId="0" fontId="33" fillId="0" borderId="65" xfId="0" applyFont="1" applyBorder="1" applyAlignment="1">
      <alignment wrapText="1"/>
    </xf>
    <xf numFmtId="0" fontId="33" fillId="0" borderId="61" xfId="48" applyFont="1" applyBorder="1" applyAlignment="1">
      <alignment horizontal="left" wrapText="1"/>
    </xf>
    <xf numFmtId="3" fontId="35" fillId="27" borderId="26" xfId="46" applyNumberFormat="1" applyFont="1" applyFill="1" applyBorder="1" applyProtection="1">
      <protection locked="0"/>
    </xf>
    <xf numFmtId="3" fontId="34" fillId="0" borderId="23" xfId="52" applyNumberFormat="1" applyFont="1" applyBorder="1" applyAlignment="1">
      <alignment horizontal="justify" vertical="top" wrapText="1"/>
    </xf>
    <xf numFmtId="0" fontId="32" fillId="0" borderId="42" xfId="0" applyFont="1" applyBorder="1" applyAlignment="1">
      <alignment horizontal="left" wrapText="1"/>
    </xf>
    <xf numFmtId="0" fontId="32" fillId="0" borderId="42" xfId="0" applyFont="1" applyBorder="1"/>
    <xf numFmtId="0" fontId="36" fillId="0" borderId="34" xfId="0" applyFont="1" applyBorder="1" applyAlignment="1">
      <alignment horizontal="justify"/>
    </xf>
    <xf numFmtId="0" fontId="44" fillId="0" borderId="31" xfId="0" applyFont="1" applyBorder="1" applyAlignment="1">
      <alignment horizontal="center"/>
    </xf>
    <xf numFmtId="0" fontId="35" fillId="0" borderId="68" xfId="0" applyFont="1" applyBorder="1"/>
    <xf numFmtId="0" fontId="36" fillId="27" borderId="62" xfId="0" applyFont="1" applyFill="1" applyBorder="1" applyAlignment="1">
      <alignment horizontal="justify" wrapText="1"/>
    </xf>
    <xf numFmtId="0" fontId="34" fillId="0" borderId="63" xfId="0" applyFont="1" applyBorder="1"/>
    <xf numFmtId="3" fontId="36" fillId="27" borderId="42" xfId="0" applyNumberFormat="1" applyFont="1" applyFill="1" applyBorder="1" applyAlignment="1">
      <alignment wrapText="1"/>
    </xf>
    <xf numFmtId="3" fontId="40" fillId="27" borderId="31" xfId="0" applyNumberFormat="1" applyFont="1" applyFill="1" applyBorder="1" applyAlignment="1">
      <alignment horizontal="right" wrapText="1"/>
    </xf>
    <xf numFmtId="3" fontId="35" fillId="27" borderId="40" xfId="0" applyNumberFormat="1" applyFont="1" applyFill="1" applyBorder="1"/>
    <xf numFmtId="3" fontId="40" fillId="0" borderId="30" xfId="0" applyNumberFormat="1" applyFont="1" applyBorder="1"/>
    <xf numFmtId="0" fontId="36" fillId="27" borderId="42" xfId="0" applyFont="1" applyFill="1" applyBorder="1" applyAlignment="1">
      <alignment horizontal="justify"/>
    </xf>
    <xf numFmtId="0" fontId="44" fillId="0" borderId="23" xfId="0" applyFont="1" applyBorder="1" applyAlignment="1">
      <alignment horizontal="justify"/>
    </xf>
    <xf numFmtId="3" fontId="44" fillId="0" borderId="23" xfId="0" applyNumberFormat="1" applyFont="1" applyBorder="1" applyAlignment="1">
      <alignment wrapText="1"/>
    </xf>
    <xf numFmtId="0" fontId="36" fillId="0" borderId="40" xfId="0" applyFont="1" applyBorder="1"/>
    <xf numFmtId="0" fontId="34" fillId="0" borderId="23" xfId="0" applyFont="1" applyBorder="1"/>
    <xf numFmtId="0" fontId="34" fillId="27" borderId="62" xfId="0" applyFont="1" applyFill="1" applyBorder="1"/>
    <xf numFmtId="164" fontId="34" fillId="0" borderId="0" xfId="36" applyFont="1"/>
    <xf numFmtId="3" fontId="34" fillId="0" borderId="82" xfId="0" applyNumberFormat="1" applyFont="1" applyBorder="1" applyAlignment="1">
      <alignment horizontal="left" wrapText="1"/>
    </xf>
    <xf numFmtId="0" fontId="37" fillId="0" borderId="33" xfId="48" applyFont="1" applyBorder="1"/>
    <xf numFmtId="3" fontId="40" fillId="25" borderId="34" xfId="48" applyNumberFormat="1" applyFont="1" applyFill="1" applyBorder="1"/>
    <xf numFmtId="3" fontId="44" fillId="0" borderId="0" xfId="0" applyNumberFormat="1" applyFont="1"/>
    <xf numFmtId="0" fontId="32" fillId="0" borderId="52" xfId="0" applyFont="1" applyBorder="1" applyAlignment="1">
      <alignment wrapText="1"/>
    </xf>
    <xf numFmtId="0" fontId="62" fillId="0" borderId="0" xfId="48" applyFont="1" applyAlignment="1">
      <alignment horizontal="center"/>
    </xf>
    <xf numFmtId="0" fontId="60" fillId="0" borderId="0" xfId="48" applyFont="1"/>
    <xf numFmtId="0" fontId="34" fillId="27" borderId="23" xfId="0" applyFont="1" applyFill="1" applyBorder="1" applyAlignment="1">
      <alignment horizontal="left" wrapText="1"/>
    </xf>
    <xf numFmtId="0" fontId="36" fillId="0" borderId="43" xfId="48" applyFont="1" applyBorder="1" applyAlignment="1">
      <alignment horizontal="center"/>
    </xf>
    <xf numFmtId="0" fontId="36" fillId="0" borderId="42" xfId="0" applyFont="1" applyBorder="1" applyAlignment="1">
      <alignment horizontal="justify" wrapText="1"/>
    </xf>
    <xf numFmtId="0" fontId="36" fillId="27" borderId="26" xfId="0" applyFont="1" applyFill="1" applyBorder="1" applyAlignment="1">
      <alignment horizontal="left" wrapText="1"/>
    </xf>
    <xf numFmtId="3" fontId="63" fillId="0" borderId="0" xfId="47" applyNumberFormat="1" applyFont="1"/>
    <xf numFmtId="3" fontId="4" fillId="0" borderId="0" xfId="47" applyNumberFormat="1" applyFont="1" applyAlignment="1">
      <alignment horizontal="right"/>
    </xf>
    <xf numFmtId="3" fontId="64" fillId="0" borderId="0" xfId="47" applyNumberFormat="1" applyFont="1"/>
    <xf numFmtId="3" fontId="40" fillId="0" borderId="0" xfId="47" applyNumberFormat="1" applyFont="1"/>
    <xf numFmtId="3" fontId="34" fillId="0" borderId="0" xfId="47" applyNumberFormat="1" applyFont="1" applyAlignment="1">
      <alignment horizontal="right"/>
    </xf>
    <xf numFmtId="3" fontId="40" fillId="0" borderId="30" xfId="47" applyNumberFormat="1" applyFont="1" applyBorder="1" applyAlignment="1">
      <alignment horizontal="center"/>
    </xf>
    <xf numFmtId="3" fontId="56" fillId="0" borderId="30" xfId="47" applyNumberFormat="1" applyFont="1" applyBorder="1" applyAlignment="1">
      <alignment horizontal="center"/>
    </xf>
    <xf numFmtId="3" fontId="56" fillId="0" borderId="28" xfId="47" applyNumberFormat="1" applyFont="1" applyBorder="1" applyAlignment="1">
      <alignment horizontal="center"/>
    </xf>
    <xf numFmtId="3" fontId="66" fillId="0" borderId="0" xfId="47" applyNumberFormat="1" applyFont="1" applyAlignment="1">
      <alignment horizontal="center"/>
    </xf>
    <xf numFmtId="3" fontId="65" fillId="0" borderId="31" xfId="47" applyNumberFormat="1" applyFont="1" applyBorder="1" applyAlignment="1">
      <alignment horizontal="center" vertical="center"/>
    </xf>
    <xf numFmtId="3" fontId="65" fillId="0" borderId="31" xfId="47" applyNumberFormat="1" applyFont="1" applyBorder="1" applyAlignment="1">
      <alignment horizontal="center" vertical="center" wrapText="1"/>
    </xf>
    <xf numFmtId="3" fontId="65" fillId="0" borderId="31" xfId="47" applyNumberFormat="1" applyFont="1" applyBorder="1" applyAlignment="1">
      <alignment horizontal="distributed" vertical="center" wrapText="1"/>
    </xf>
    <xf numFmtId="3" fontId="67" fillId="0" borderId="0" xfId="47" applyNumberFormat="1" applyFont="1" applyAlignment="1">
      <alignment horizontal="distributed"/>
    </xf>
    <xf numFmtId="3" fontId="56" fillId="0" borderId="34" xfId="47" applyNumberFormat="1" applyFont="1" applyBorder="1" applyAlignment="1">
      <alignment horizontal="center" vertical="center"/>
    </xf>
    <xf numFmtId="3" fontId="56" fillId="0" borderId="34" xfId="47" applyNumberFormat="1" applyFont="1" applyBorder="1" applyAlignment="1">
      <alignment horizontal="center"/>
    </xf>
    <xf numFmtId="3" fontId="56" fillId="0" borderId="31" xfId="47" applyNumberFormat="1" applyFont="1" applyBorder="1" applyAlignment="1">
      <alignment horizontal="center"/>
    </xf>
    <xf numFmtId="3" fontId="50" fillId="0" borderId="30" xfId="47" applyNumberFormat="1" applyFont="1" applyBorder="1" applyAlignment="1">
      <alignment horizontal="right"/>
    </xf>
    <xf numFmtId="3" fontId="50" fillId="0" borderId="40" xfId="47" applyNumberFormat="1" applyFont="1" applyBorder="1" applyAlignment="1">
      <alignment horizontal="left"/>
    </xf>
    <xf numFmtId="3" fontId="42" fillId="0" borderId="40" xfId="47" applyNumberFormat="1" applyFont="1" applyBorder="1" applyAlignment="1">
      <alignment horizontal="right"/>
    </xf>
    <xf numFmtId="3" fontId="39" fillId="0" borderId="40" xfId="47" applyNumberFormat="1" applyFont="1" applyBorder="1" applyAlignment="1">
      <alignment horizontal="right"/>
    </xf>
    <xf numFmtId="3" fontId="68" fillId="0" borderId="40" xfId="47" applyNumberFormat="1" applyFont="1" applyBorder="1" applyAlignment="1">
      <alignment horizontal="right"/>
    </xf>
    <xf numFmtId="3" fontId="50" fillId="0" borderId="55" xfId="47" applyNumberFormat="1" applyFont="1" applyBorder="1" applyAlignment="1">
      <alignment horizontal="left"/>
    </xf>
    <xf numFmtId="3" fontId="42" fillId="0" borderId="55" xfId="47" applyNumberFormat="1" applyFont="1" applyBorder="1" applyAlignment="1">
      <alignment horizontal="right"/>
    </xf>
    <xf numFmtId="3" fontId="50" fillId="0" borderId="31" xfId="47" applyNumberFormat="1" applyFont="1" applyBorder="1" applyAlignment="1">
      <alignment horizontal="left"/>
    </xf>
    <xf numFmtId="3" fontId="42" fillId="0" borderId="31" xfId="47" applyNumberFormat="1" applyFont="1" applyBorder="1" applyAlignment="1">
      <alignment horizontal="right"/>
    </xf>
    <xf numFmtId="3" fontId="56" fillId="0" borderId="42" xfId="47" applyNumberFormat="1" applyFont="1" applyBorder="1" applyAlignment="1">
      <alignment horizontal="left"/>
    </xf>
    <xf numFmtId="3" fontId="39" fillId="0" borderId="42" xfId="47" applyNumberFormat="1" applyFont="1" applyBorder="1" applyAlignment="1">
      <alignment horizontal="right"/>
    </xf>
    <xf numFmtId="3" fontId="69" fillId="0" borderId="0" xfId="47" applyNumberFormat="1" applyFont="1"/>
    <xf numFmtId="0" fontId="50" fillId="0" borderId="42" xfId="47" applyFont="1" applyBorder="1"/>
    <xf numFmtId="3" fontId="42" fillId="0" borderId="42" xfId="47" applyNumberFormat="1" applyFont="1" applyBorder="1" applyAlignment="1">
      <alignment horizontal="right"/>
    </xf>
    <xf numFmtId="3" fontId="56" fillId="0" borderId="34" xfId="47" applyNumberFormat="1" applyFont="1" applyBorder="1" applyAlignment="1">
      <alignment horizontal="left"/>
    </xf>
    <xf numFmtId="3" fontId="39" fillId="0" borderId="34" xfId="47" applyNumberFormat="1" applyFont="1" applyBorder="1" applyAlignment="1">
      <alignment horizontal="right"/>
    </xf>
    <xf numFmtId="3" fontId="66" fillId="0" borderId="0" xfId="47" applyNumberFormat="1" applyFont="1"/>
    <xf numFmtId="3" fontId="39" fillId="0" borderId="31" xfId="47" applyNumberFormat="1" applyFont="1" applyBorder="1" applyAlignment="1">
      <alignment horizontal="right"/>
    </xf>
    <xf numFmtId="3" fontId="50" fillId="0" borderId="26" xfId="47" applyNumberFormat="1" applyFont="1" applyBorder="1" applyAlignment="1">
      <alignment horizontal="left"/>
    </xf>
    <xf numFmtId="3" fontId="50" fillId="0" borderId="46" xfId="47" applyNumberFormat="1" applyFont="1" applyBorder="1" applyAlignment="1">
      <alignment horizontal="left"/>
    </xf>
    <xf numFmtId="3" fontId="42" fillId="0" borderId="46" xfId="47" applyNumberFormat="1" applyFont="1" applyBorder="1" applyAlignment="1">
      <alignment horizontal="right"/>
    </xf>
    <xf numFmtId="3" fontId="39" fillId="0" borderId="46" xfId="47" applyNumberFormat="1" applyFont="1" applyBorder="1" applyAlignment="1">
      <alignment horizontal="right"/>
    </xf>
    <xf numFmtId="3" fontId="39" fillId="0" borderId="30" xfId="47" applyNumberFormat="1" applyFont="1" applyBorder="1" applyAlignment="1">
      <alignment horizontal="right"/>
    </xf>
    <xf numFmtId="3" fontId="42" fillId="0" borderId="34" xfId="47" applyNumberFormat="1" applyFont="1" applyBorder="1" applyAlignment="1">
      <alignment horizontal="right"/>
    </xf>
    <xf numFmtId="3" fontId="42" fillId="0" borderId="30" xfId="47" applyNumberFormat="1" applyFont="1" applyBorder="1" applyAlignment="1">
      <alignment horizontal="right"/>
    </xf>
    <xf numFmtId="3" fontId="50" fillId="0" borderId="34" xfId="47" applyNumberFormat="1" applyFont="1" applyBorder="1" applyAlignment="1">
      <alignment horizontal="left"/>
    </xf>
    <xf numFmtId="3" fontId="50" fillId="0" borderId="40" xfId="47" applyNumberFormat="1" applyFont="1" applyBorder="1"/>
    <xf numFmtId="3" fontId="39" fillId="0" borderId="55" xfId="47" applyNumberFormat="1" applyFont="1" applyBorder="1" applyAlignment="1">
      <alignment horizontal="right"/>
    </xf>
    <xf numFmtId="3" fontId="70" fillId="0" borderId="0" xfId="47" applyNumberFormat="1" applyFont="1"/>
    <xf numFmtId="0" fontId="71" fillId="0" borderId="0" xfId="47" applyFont="1"/>
    <xf numFmtId="3" fontId="64" fillId="0" borderId="0" xfId="47" applyNumberFormat="1" applyFont="1" applyAlignment="1">
      <alignment horizontal="right"/>
    </xf>
    <xf numFmtId="3" fontId="72" fillId="0" borderId="0" xfId="47" applyNumberFormat="1" applyFont="1"/>
    <xf numFmtId="3" fontId="66" fillId="0" borderId="0" xfId="47" applyNumberFormat="1" applyFont="1" applyAlignment="1">
      <alignment horizontal="right"/>
    </xf>
    <xf numFmtId="3" fontId="65" fillId="0" borderId="0" xfId="47" applyNumberFormat="1" applyFont="1" applyAlignment="1">
      <alignment horizontal="center"/>
    </xf>
    <xf numFmtId="3" fontId="56" fillId="0" borderId="0" xfId="47" applyNumberFormat="1" applyFont="1"/>
    <xf numFmtId="3" fontId="36" fillId="0" borderId="0" xfId="47" applyNumberFormat="1" applyFont="1" applyAlignment="1">
      <alignment horizontal="right"/>
    </xf>
    <xf numFmtId="3" fontId="39" fillId="0" borderId="30" xfId="47" applyNumberFormat="1" applyFont="1" applyBorder="1" applyAlignment="1">
      <alignment horizontal="center"/>
    </xf>
    <xf numFmtId="3" fontId="40" fillId="0" borderId="72" xfId="47" applyNumberFormat="1" applyFont="1" applyBorder="1" applyAlignment="1">
      <alignment horizontal="center"/>
    </xf>
    <xf numFmtId="3" fontId="40" fillId="0" borderId="0" xfId="47" applyNumberFormat="1" applyFont="1" applyAlignment="1">
      <alignment horizontal="center"/>
    </xf>
    <xf numFmtId="3" fontId="65" fillId="0" borderId="23" xfId="47" applyNumberFormat="1" applyFont="1" applyBorder="1" applyAlignment="1">
      <alignment horizontal="center" vertical="center"/>
    </xf>
    <xf numFmtId="3" fontId="65" fillId="0" borderId="23" xfId="47" applyNumberFormat="1" applyFont="1" applyBorder="1" applyAlignment="1">
      <alignment horizontal="distributed" vertical="center" wrapText="1"/>
    </xf>
    <xf numFmtId="3" fontId="65" fillId="0" borderId="31" xfId="47" applyNumberFormat="1" applyFont="1" applyBorder="1" applyAlignment="1">
      <alignment horizontal="distributed" vertical="center"/>
    </xf>
    <xf numFmtId="3" fontId="65" fillId="0" borderId="43" xfId="47" applyNumberFormat="1" applyFont="1" applyBorder="1" applyAlignment="1">
      <alignment horizontal="center" vertical="center" wrapText="1"/>
    </xf>
    <xf numFmtId="3" fontId="65" fillId="0" borderId="0" xfId="47" applyNumberFormat="1" applyFont="1" applyAlignment="1">
      <alignment horizontal="distributed" vertical="center"/>
    </xf>
    <xf numFmtId="3" fontId="66" fillId="0" borderId="0" xfId="47" applyNumberFormat="1" applyFont="1" applyAlignment="1">
      <alignment horizontal="distributed"/>
    </xf>
    <xf numFmtId="3" fontId="56" fillId="0" borderId="32" xfId="47" applyNumberFormat="1" applyFont="1" applyBorder="1" applyAlignment="1">
      <alignment horizontal="center" vertical="center"/>
    </xf>
    <xf numFmtId="3" fontId="56" fillId="0" borderId="32" xfId="47" applyNumberFormat="1" applyFont="1" applyBorder="1" applyAlignment="1">
      <alignment horizontal="center"/>
    </xf>
    <xf numFmtId="3" fontId="40" fillId="0" borderId="34" xfId="47" applyNumberFormat="1" applyFont="1" applyBorder="1" applyAlignment="1">
      <alignment horizontal="justify" vertical="center"/>
    </xf>
    <xf numFmtId="3" fontId="40" fillId="0" borderId="44" xfId="47" applyNumberFormat="1" applyFont="1" applyBorder="1" applyAlignment="1">
      <alignment horizontal="justify" vertical="center"/>
    </xf>
    <xf numFmtId="3" fontId="56" fillId="0" borderId="0" xfId="47" applyNumberFormat="1" applyFont="1" applyAlignment="1">
      <alignment horizontal="center"/>
    </xf>
    <xf numFmtId="3" fontId="66" fillId="0" borderId="0" xfId="47" applyNumberFormat="1" applyFont="1" applyAlignment="1">
      <alignment horizontal="justify"/>
    </xf>
    <xf numFmtId="3" fontId="56" fillId="0" borderId="30" xfId="47" applyNumberFormat="1" applyFont="1" applyBorder="1" applyAlignment="1">
      <alignment horizontal="right"/>
    </xf>
    <xf numFmtId="3" fontId="40" fillId="0" borderId="30" xfId="47" applyNumberFormat="1" applyFont="1" applyBorder="1" applyAlignment="1">
      <alignment horizontal="center" vertical="center"/>
    </xf>
    <xf numFmtId="3" fontId="40" fillId="0" borderId="31" xfId="47" applyNumberFormat="1" applyFont="1" applyBorder="1" applyAlignment="1">
      <alignment horizontal="center" vertical="center"/>
    </xf>
    <xf numFmtId="0" fontId="40" fillId="0" borderId="31" xfId="47" applyFont="1" applyBorder="1"/>
    <xf numFmtId="0" fontId="40" fillId="0" borderId="0" xfId="47" applyFont="1"/>
    <xf numFmtId="3" fontId="42" fillId="0" borderId="31" xfId="47" applyNumberFormat="1" applyFont="1" applyBorder="1"/>
    <xf numFmtId="3" fontId="39" fillId="0" borderId="31" xfId="47" applyNumberFormat="1" applyFont="1" applyBorder="1"/>
    <xf numFmtId="3" fontId="39" fillId="0" borderId="23" xfId="47" applyNumberFormat="1" applyFont="1" applyBorder="1"/>
    <xf numFmtId="3" fontId="42" fillId="0" borderId="55" xfId="47" applyNumberFormat="1" applyFont="1" applyBorder="1"/>
    <xf numFmtId="3" fontId="39" fillId="0" borderId="55" xfId="47" applyNumberFormat="1" applyFont="1" applyBorder="1"/>
    <xf numFmtId="3" fontId="42" fillId="0" borderId="40" xfId="47" applyNumberFormat="1" applyFont="1" applyBorder="1"/>
    <xf numFmtId="3" fontId="39" fillId="0" borderId="40" xfId="47" applyNumberFormat="1" applyFont="1" applyBorder="1"/>
    <xf numFmtId="3" fontId="42" fillId="0" borderId="31" xfId="47" applyNumberFormat="1" applyFont="1" applyBorder="1" applyAlignment="1">
      <alignment horizontal="left"/>
    </xf>
    <xf numFmtId="3" fontId="39" fillId="0" borderId="23" xfId="47" applyNumberFormat="1" applyFont="1" applyBorder="1" applyAlignment="1">
      <alignment horizontal="right"/>
    </xf>
    <xf numFmtId="3" fontId="42" fillId="0" borderId="42" xfId="47" applyNumberFormat="1" applyFont="1" applyBorder="1"/>
    <xf numFmtId="3" fontId="39" fillId="0" borderId="42" xfId="47" applyNumberFormat="1" applyFont="1" applyBorder="1"/>
    <xf numFmtId="3" fontId="56" fillId="0" borderId="81" xfId="47" applyNumberFormat="1" applyFont="1" applyBorder="1" applyAlignment="1">
      <alignment horizontal="left"/>
    </xf>
    <xf numFmtId="3" fontId="39" fillId="0" borderId="43" xfId="47" applyNumberFormat="1" applyFont="1" applyBorder="1" applyAlignment="1">
      <alignment horizontal="right"/>
    </xf>
    <xf numFmtId="3" fontId="39" fillId="0" borderId="31" xfId="47" applyNumberFormat="1" applyFont="1" applyBorder="1" applyAlignment="1">
      <alignment horizontal="center" vertical="center"/>
    </xf>
    <xf numFmtId="3" fontId="39" fillId="0" borderId="23" xfId="47" applyNumberFormat="1" applyFont="1" applyBorder="1" applyAlignment="1">
      <alignment horizontal="center" vertical="center"/>
    </xf>
    <xf numFmtId="3" fontId="56" fillId="0" borderId="23" xfId="47" applyNumberFormat="1" applyFont="1" applyBorder="1" applyAlignment="1">
      <alignment horizontal="center"/>
    </xf>
    <xf numFmtId="3" fontId="56" fillId="0" borderId="31" xfId="47" applyNumberFormat="1" applyFont="1" applyBorder="1" applyAlignment="1">
      <alignment horizontal="right"/>
    </xf>
    <xf numFmtId="3" fontId="56" fillId="0" borderId="43" xfId="47" applyNumberFormat="1" applyFont="1" applyBorder="1" applyAlignment="1">
      <alignment horizontal="right"/>
    </xf>
    <xf numFmtId="3" fontId="56" fillId="0" borderId="19" xfId="47" applyNumberFormat="1" applyFont="1" applyBorder="1" applyAlignment="1">
      <alignment horizontal="right"/>
    </xf>
    <xf numFmtId="3" fontId="74" fillId="0" borderId="23" xfId="47" applyNumberFormat="1" applyFont="1" applyBorder="1" applyAlignment="1">
      <alignment horizontal="center"/>
    </xf>
    <xf numFmtId="3" fontId="50" fillId="0" borderId="63" xfId="47" applyNumberFormat="1" applyFont="1" applyBorder="1" applyAlignment="1">
      <alignment horizontal="left"/>
    </xf>
    <xf numFmtId="3" fontId="42" fillId="0" borderId="17" xfId="47" applyNumberFormat="1" applyFont="1" applyBorder="1" applyAlignment="1">
      <alignment horizontal="right"/>
    </xf>
    <xf numFmtId="3" fontId="50" fillId="0" borderId="13" xfId="47" applyNumberFormat="1" applyFont="1" applyBorder="1" applyAlignment="1">
      <alignment horizontal="left"/>
    </xf>
    <xf numFmtId="3" fontId="42" fillId="0" borderId="14" xfId="47" applyNumberFormat="1" applyFont="1" applyBorder="1" applyAlignment="1">
      <alignment horizontal="right"/>
    </xf>
    <xf numFmtId="3" fontId="39" fillId="0" borderId="0" xfId="47" applyNumberFormat="1" applyFont="1" applyAlignment="1">
      <alignment horizontal="right"/>
    </xf>
    <xf numFmtId="3" fontId="50" fillId="0" borderId="59" xfId="47" applyNumberFormat="1" applyFont="1" applyBorder="1" applyAlignment="1">
      <alignment horizontal="left"/>
    </xf>
    <xf numFmtId="3" fontId="42" fillId="0" borderId="41" xfId="47" applyNumberFormat="1" applyFont="1" applyBorder="1" applyAlignment="1">
      <alignment horizontal="right"/>
    </xf>
    <xf numFmtId="3" fontId="42" fillId="0" borderId="46" xfId="47" applyNumberFormat="1" applyFont="1" applyBorder="1"/>
    <xf numFmtId="3" fontId="39" fillId="0" borderId="46" xfId="47" applyNumberFormat="1" applyFont="1" applyBorder="1"/>
    <xf numFmtId="3" fontId="74" fillId="0" borderId="30" xfId="47" applyNumberFormat="1" applyFont="1" applyBorder="1" applyAlignment="1">
      <alignment horizontal="center"/>
    </xf>
    <xf numFmtId="3" fontId="39" fillId="0" borderId="0" xfId="47" applyNumberFormat="1" applyFont="1" applyAlignment="1">
      <alignment horizontal="center"/>
    </xf>
    <xf numFmtId="3" fontId="42" fillId="0" borderId="34" xfId="47" applyNumberFormat="1" applyFont="1" applyBorder="1"/>
    <xf numFmtId="3" fontId="39" fillId="0" borderId="34" xfId="47" applyNumberFormat="1" applyFont="1" applyBorder="1"/>
    <xf numFmtId="3" fontId="75" fillId="0" borderId="30" xfId="47" applyNumberFormat="1" applyFont="1" applyBorder="1" applyAlignment="1">
      <alignment horizontal="center"/>
    </xf>
    <xf numFmtId="0" fontId="56" fillId="0" borderId="42" xfId="47" applyFont="1" applyBorder="1"/>
    <xf numFmtId="3" fontId="35" fillId="0" borderId="0" xfId="47" applyNumberFormat="1" applyFont="1"/>
    <xf numFmtId="0" fontId="77" fillId="0" borderId="0" xfId="57" applyFont="1"/>
    <xf numFmtId="0" fontId="79" fillId="0" borderId="0" xfId="58" applyFont="1"/>
    <xf numFmtId="0" fontId="76" fillId="0" borderId="0" xfId="57" applyFont="1"/>
    <xf numFmtId="0" fontId="39" fillId="0" borderId="0" xfId="57" applyFont="1" applyAlignment="1">
      <alignment horizontal="center"/>
    </xf>
    <xf numFmtId="0" fontId="80" fillId="0" borderId="0" xfId="57" applyFont="1"/>
    <xf numFmtId="0" fontId="78" fillId="0" borderId="0" xfId="58"/>
    <xf numFmtId="0" fontId="76" fillId="0" borderId="30" xfId="57" applyFont="1" applyBorder="1"/>
    <xf numFmtId="0" fontId="82" fillId="0" borderId="0" xfId="58" applyFont="1"/>
    <xf numFmtId="3" fontId="76" fillId="0" borderId="31" xfId="59" applyNumberFormat="1" applyFont="1" applyBorder="1" applyAlignment="1">
      <alignment horizontal="center"/>
    </xf>
    <xf numFmtId="3" fontId="76" fillId="0" borderId="34" xfId="59" applyNumberFormat="1" applyFont="1" applyBorder="1" applyAlignment="1">
      <alignment horizontal="left"/>
    </xf>
    <xf numFmtId="4" fontId="76" fillId="0" borderId="34" xfId="57" applyNumberFormat="1" applyFont="1" applyBorder="1" applyAlignment="1">
      <alignment horizontal="center"/>
    </xf>
    <xf numFmtId="3" fontId="76" fillId="0" borderId="34" xfId="57" applyNumberFormat="1" applyFont="1" applyBorder="1" applyAlignment="1">
      <alignment horizontal="center"/>
    </xf>
    <xf numFmtId="4" fontId="76" fillId="0" borderId="43" xfId="57" applyNumberFormat="1" applyFont="1" applyBorder="1" applyAlignment="1">
      <alignment horizontal="center"/>
    </xf>
    <xf numFmtId="4" fontId="83" fillId="0" borderId="31" xfId="57" applyNumberFormat="1" applyFont="1" applyBorder="1" applyAlignment="1">
      <alignment horizontal="center"/>
    </xf>
    <xf numFmtId="4" fontId="40" fillId="0" borderId="30" xfId="57" applyNumberFormat="1" applyFont="1" applyBorder="1" applyAlignment="1">
      <alignment horizontal="justify"/>
    </xf>
    <xf numFmtId="4" fontId="40" fillId="0" borderId="72" xfId="57" applyNumberFormat="1" applyFont="1" applyBorder="1" applyAlignment="1">
      <alignment horizontal="justify"/>
    </xf>
    <xf numFmtId="0" fontId="84" fillId="0" borderId="0" xfId="57" applyFont="1" applyAlignment="1">
      <alignment horizontal="justify"/>
    </xf>
    <xf numFmtId="0" fontId="78" fillId="0" borderId="0" xfId="58" applyAlignment="1">
      <alignment horizontal="justify"/>
    </xf>
    <xf numFmtId="3" fontId="85" fillId="0" borderId="40" xfId="0" applyNumberFormat="1" applyFont="1" applyBorder="1" applyAlignment="1">
      <alignment horizontal="left"/>
    </xf>
    <xf numFmtId="4" fontId="86" fillId="0" borderId="31" xfId="57" applyNumberFormat="1" applyFont="1" applyBorder="1"/>
    <xf numFmtId="3" fontId="86" fillId="0" borderId="43" xfId="57" applyNumberFormat="1" applyFont="1" applyBorder="1"/>
    <xf numFmtId="4" fontId="86" fillId="0" borderId="43" xfId="57" applyNumberFormat="1" applyFont="1" applyBorder="1"/>
    <xf numFmtId="4" fontId="81" fillId="0" borderId="43" xfId="57" applyNumberFormat="1" applyFont="1" applyBorder="1"/>
    <xf numFmtId="3" fontId="81" fillId="0" borderId="43" xfId="57" applyNumberFormat="1" applyFont="1" applyBorder="1"/>
    <xf numFmtId="0" fontId="84" fillId="0" borderId="0" xfId="57" applyFont="1"/>
    <xf numFmtId="3" fontId="85" fillId="0" borderId="55" xfId="0" applyNumberFormat="1" applyFont="1" applyBorder="1" applyAlignment="1">
      <alignment horizontal="left"/>
    </xf>
    <xf numFmtId="4" fontId="86" fillId="0" borderId="55" xfId="57" applyNumberFormat="1" applyFont="1" applyBorder="1"/>
    <xf numFmtId="3" fontId="86" fillId="0" borderId="14" xfId="57" applyNumberFormat="1" applyFont="1" applyBorder="1"/>
    <xf numFmtId="4" fontId="81" fillId="0" borderId="55" xfId="57" applyNumberFormat="1" applyFont="1" applyBorder="1"/>
    <xf numFmtId="3" fontId="81" fillId="0" borderId="14" xfId="57" applyNumberFormat="1" applyFont="1" applyBorder="1"/>
    <xf numFmtId="3" fontId="85" fillId="0" borderId="31" xfId="0" applyNumberFormat="1" applyFont="1" applyBorder="1" applyAlignment="1">
      <alignment horizontal="left"/>
    </xf>
    <xf numFmtId="4" fontId="76" fillId="0" borderId="42" xfId="57" applyNumberFormat="1" applyFont="1" applyBorder="1"/>
    <xf numFmtId="4" fontId="81" fillId="0" borderId="42" xfId="57" applyNumberFormat="1" applyFont="1" applyBorder="1"/>
    <xf numFmtId="3" fontId="81" fillId="0" borderId="42" xfId="57" applyNumberFormat="1" applyFont="1" applyBorder="1"/>
    <xf numFmtId="4" fontId="85" fillId="0" borderId="42" xfId="57" applyNumberFormat="1" applyFont="1" applyBorder="1"/>
    <xf numFmtId="3" fontId="81" fillId="0" borderId="49" xfId="57" applyNumberFormat="1" applyFont="1" applyBorder="1"/>
    <xf numFmtId="4" fontId="83" fillId="0" borderId="30" xfId="57" applyNumberFormat="1" applyFont="1" applyBorder="1" applyAlignment="1">
      <alignment horizontal="center"/>
    </xf>
    <xf numFmtId="3" fontId="85" fillId="0" borderId="26" xfId="0" applyNumberFormat="1" applyFont="1" applyBorder="1" applyAlignment="1">
      <alignment horizontal="left" wrapText="1"/>
    </xf>
    <xf numFmtId="4" fontId="86" fillId="0" borderId="14" xfId="57" applyNumberFormat="1" applyFont="1" applyBorder="1"/>
    <xf numFmtId="3" fontId="85" fillId="0" borderId="46" xfId="0" applyNumberFormat="1" applyFont="1" applyBorder="1" applyAlignment="1">
      <alignment horizontal="left"/>
    </xf>
    <xf numFmtId="4" fontId="81" fillId="0" borderId="49" xfId="57" applyNumberFormat="1" applyFont="1" applyBorder="1"/>
    <xf numFmtId="4" fontId="81" fillId="0" borderId="72" xfId="57" applyNumberFormat="1" applyFont="1" applyBorder="1"/>
    <xf numFmtId="3" fontId="85" fillId="0" borderId="26" xfId="0" applyNumberFormat="1" applyFont="1" applyBorder="1" applyAlignment="1">
      <alignment horizontal="left"/>
    </xf>
    <xf numFmtId="4" fontId="86" fillId="0" borderId="40" xfId="57" applyNumberFormat="1" applyFont="1" applyBorder="1"/>
    <xf numFmtId="3" fontId="86" fillId="0" borderId="17" xfId="57" applyNumberFormat="1" applyFont="1" applyBorder="1"/>
    <xf numFmtId="4" fontId="81" fillId="0" borderId="17" xfId="57" applyNumberFormat="1" applyFont="1" applyBorder="1"/>
    <xf numFmtId="3" fontId="81" fillId="0" borderId="17" xfId="57" applyNumberFormat="1" applyFont="1" applyBorder="1"/>
    <xf numFmtId="0" fontId="85" fillId="0" borderId="55" xfId="0" applyFont="1" applyBorder="1" applyAlignment="1">
      <alignment horizontal="left"/>
    </xf>
    <xf numFmtId="4" fontId="81" fillId="0" borderId="14" xfId="57" applyNumberFormat="1" applyFont="1" applyBorder="1"/>
    <xf numFmtId="4" fontId="81" fillId="0" borderId="44" xfId="57" applyNumberFormat="1" applyFont="1" applyBorder="1"/>
    <xf numFmtId="3" fontId="81" fillId="0" borderId="44" xfId="57" applyNumberFormat="1" applyFont="1" applyBorder="1"/>
    <xf numFmtId="4" fontId="76" fillId="0" borderId="34" xfId="57" applyNumberFormat="1" applyFont="1" applyBorder="1"/>
    <xf numFmtId="4" fontId="76" fillId="0" borderId="34" xfId="57" applyNumberFormat="1" applyFont="1" applyBorder="1" applyAlignment="1">
      <alignment horizontal="left"/>
    </xf>
    <xf numFmtId="4" fontId="77" fillId="0" borderId="0" xfId="57" applyNumberFormat="1" applyFont="1" applyAlignment="1">
      <alignment horizontal="left"/>
    </xf>
    <xf numFmtId="4" fontId="87" fillId="0" borderId="0" xfId="57" applyNumberFormat="1" applyFont="1"/>
    <xf numFmtId="3" fontId="87" fillId="0" borderId="0" xfId="57" applyNumberFormat="1" applyFont="1"/>
    <xf numFmtId="0" fontId="89" fillId="0" borderId="0" xfId="58" applyFont="1"/>
    <xf numFmtId="0" fontId="90" fillId="0" borderId="0" xfId="57" applyFont="1"/>
    <xf numFmtId="4" fontId="91" fillId="0" borderId="0" xfId="57" applyNumberFormat="1" applyFont="1"/>
    <xf numFmtId="0" fontId="92" fillId="0" borderId="0" xfId="57" applyFont="1"/>
    <xf numFmtId="0" fontId="90" fillId="0" borderId="0" xfId="57" applyFont="1" applyAlignment="1">
      <alignment horizontal="left"/>
    </xf>
    <xf numFmtId="49" fontId="88" fillId="0" borderId="0" xfId="57" applyNumberFormat="1" applyFont="1"/>
    <xf numFmtId="49" fontId="84" fillId="0" borderId="0" xfId="57" applyNumberFormat="1" applyFont="1"/>
    <xf numFmtId="0" fontId="93" fillId="0" borderId="0" xfId="61" applyFont="1"/>
    <xf numFmtId="0" fontId="95" fillId="0" borderId="0" xfId="61" applyFont="1"/>
    <xf numFmtId="0" fontId="95" fillId="0" borderId="0" xfId="61" applyFont="1" applyAlignment="1">
      <alignment wrapText="1"/>
    </xf>
    <xf numFmtId="3" fontId="93" fillId="0" borderId="0" xfId="61" applyNumberFormat="1" applyFont="1"/>
    <xf numFmtId="3" fontId="96" fillId="0" borderId="0" xfId="61" applyNumberFormat="1" applyFont="1"/>
    <xf numFmtId="0" fontId="58" fillId="0" borderId="79" xfId="61" applyFont="1" applyBorder="1" applyAlignment="1">
      <alignment horizontal="center" wrapText="1"/>
    </xf>
    <xf numFmtId="3" fontId="24" fillId="0" borderId="10" xfId="61" applyNumberFormat="1" applyFont="1" applyBorder="1" applyAlignment="1">
      <alignment horizontal="center" vertical="center" wrapText="1"/>
    </xf>
    <xf numFmtId="3" fontId="94" fillId="0" borderId="10" xfId="61" applyNumberFormat="1" applyFont="1" applyBorder="1" applyAlignment="1">
      <alignment horizontal="center" vertical="center" wrapText="1"/>
    </xf>
    <xf numFmtId="0" fontId="97" fillId="0" borderId="0" xfId="61" applyFont="1"/>
    <xf numFmtId="0" fontId="24" fillId="0" borderId="69" xfId="61" applyFont="1" applyBorder="1" applyAlignment="1">
      <alignment wrapText="1"/>
    </xf>
    <xf numFmtId="3" fontId="98" fillId="0" borderId="80" xfId="61" applyNumberFormat="1" applyFont="1" applyBorder="1"/>
    <xf numFmtId="0" fontId="59" fillId="0" borderId="0" xfId="61" applyFont="1"/>
    <xf numFmtId="0" fontId="99" fillId="0" borderId="27" xfId="61" applyFont="1" applyBorder="1" applyAlignment="1">
      <alignment wrapText="1"/>
    </xf>
    <xf numFmtId="3" fontId="100" fillId="0" borderId="12" xfId="61" applyNumberFormat="1" applyFont="1" applyBorder="1"/>
    <xf numFmtId="0" fontId="99" fillId="0" borderId="13" xfId="61" applyFont="1" applyBorder="1" applyAlignment="1">
      <alignment wrapText="1"/>
    </xf>
    <xf numFmtId="3" fontId="100" fillId="0" borderId="16" xfId="61" applyNumberFormat="1" applyFont="1" applyBorder="1"/>
    <xf numFmtId="3" fontId="100" fillId="28" borderId="16" xfId="61" applyNumberFormat="1" applyFont="1" applyFill="1" applyBorder="1"/>
    <xf numFmtId="0" fontId="99" fillId="0" borderId="23" xfId="61" applyFont="1" applyBorder="1" applyAlignment="1">
      <alignment wrapText="1"/>
    </xf>
    <xf numFmtId="0" fontId="24" fillId="29" borderId="83" xfId="61" applyFont="1" applyFill="1" applyBorder="1" applyAlignment="1">
      <alignment wrapText="1"/>
    </xf>
    <xf numFmtId="3" fontId="61" fillId="29" borderId="84" xfId="61" applyNumberFormat="1" applyFont="1" applyFill="1" applyBorder="1"/>
    <xf numFmtId="0" fontId="24" fillId="0" borderId="0" xfId="61" applyFont="1"/>
    <xf numFmtId="0" fontId="24" fillId="0" borderId="23" xfId="61" applyFont="1" applyBorder="1" applyAlignment="1">
      <alignment wrapText="1"/>
    </xf>
    <xf numFmtId="3" fontId="61" fillId="0" borderId="19" xfId="61" applyNumberFormat="1" applyFont="1" applyBorder="1"/>
    <xf numFmtId="0" fontId="101" fillId="0" borderId="23" xfId="61" applyFont="1" applyBorder="1" applyAlignment="1">
      <alignment wrapText="1"/>
    </xf>
    <xf numFmtId="3" fontId="100" fillId="0" borderId="19" xfId="61" applyNumberFormat="1" applyFont="1" applyBorder="1"/>
    <xf numFmtId="0" fontId="102" fillId="0" borderId="27" xfId="61" applyFont="1" applyBorder="1" applyAlignment="1">
      <alignment wrapText="1"/>
    </xf>
    <xf numFmtId="0" fontId="103" fillId="0" borderId="23" xfId="61" applyFont="1" applyBorder="1" applyAlignment="1">
      <alignment wrapText="1"/>
    </xf>
    <xf numFmtId="3" fontId="100" fillId="0" borderId="80" xfId="61" applyNumberFormat="1" applyFont="1" applyBorder="1"/>
    <xf numFmtId="0" fontId="101" fillId="0" borderId="27" xfId="61" applyFont="1" applyBorder="1" applyAlignment="1">
      <alignment wrapText="1"/>
    </xf>
    <xf numFmtId="0" fontId="101" fillId="0" borderId="69" xfId="61" applyFont="1" applyBorder="1" applyAlignment="1">
      <alignment wrapText="1"/>
    </xf>
    <xf numFmtId="0" fontId="104" fillId="0" borderId="23" xfId="61" applyFont="1" applyBorder="1" applyAlignment="1">
      <alignment wrapText="1"/>
    </xf>
    <xf numFmtId="0" fontId="101" fillId="0" borderId="18" xfId="61" applyFont="1" applyBorder="1" applyAlignment="1">
      <alignment wrapText="1"/>
    </xf>
    <xf numFmtId="0" fontId="99" fillId="0" borderId="23" xfId="61" applyFont="1" applyBorder="1" applyAlignment="1">
      <alignment horizontal="left" wrapText="1"/>
    </xf>
    <xf numFmtId="0" fontId="99" fillId="0" borderId="50" xfId="61" applyFont="1" applyBorder="1" applyAlignment="1">
      <alignment wrapText="1"/>
    </xf>
    <xf numFmtId="0" fontId="99" fillId="0" borderId="11" xfId="61" applyFont="1" applyBorder="1" applyAlignment="1">
      <alignment horizontal="left" wrapText="1"/>
    </xf>
    <xf numFmtId="0" fontId="102" fillId="0" borderId="69" xfId="61" applyFont="1" applyBorder="1" applyAlignment="1">
      <alignment wrapText="1"/>
    </xf>
    <xf numFmtId="0" fontId="104" fillId="0" borderId="27" xfId="61" applyFont="1" applyBorder="1" applyAlignment="1">
      <alignment wrapText="1"/>
    </xf>
    <xf numFmtId="0" fontId="99" fillId="0" borderId="85" xfId="61" applyFont="1" applyBorder="1" applyAlignment="1">
      <alignment wrapText="1"/>
    </xf>
    <xf numFmtId="3" fontId="100" fillId="0" borderId="86" xfId="61" applyNumberFormat="1" applyFont="1" applyBorder="1"/>
    <xf numFmtId="3" fontId="100" fillId="29" borderId="84" xfId="61" applyNumberFormat="1" applyFont="1" applyFill="1" applyBorder="1"/>
    <xf numFmtId="0" fontId="25" fillId="0" borderId="0" xfId="61" applyFont="1"/>
    <xf numFmtId="3" fontId="99" fillId="0" borderId="23" xfId="61" applyNumberFormat="1" applyFont="1" applyBorder="1"/>
    <xf numFmtId="3" fontId="100" fillId="28" borderId="12" xfId="61" applyNumberFormat="1" applyFont="1" applyFill="1" applyBorder="1"/>
    <xf numFmtId="0" fontId="99" fillId="28" borderId="13" xfId="61" applyFont="1" applyFill="1" applyBorder="1" applyAlignment="1">
      <alignment wrapText="1"/>
    </xf>
    <xf numFmtId="0" fontId="104" fillId="0" borderId="13" xfId="61" applyFont="1" applyBorder="1" applyAlignment="1">
      <alignment wrapText="1"/>
    </xf>
    <xf numFmtId="0" fontId="105" fillId="0" borderId="13" xfId="61" applyFont="1" applyBorder="1" applyAlignment="1">
      <alignment wrapText="1"/>
    </xf>
    <xf numFmtId="0" fontId="101" fillId="0" borderId="83" xfId="61" applyFont="1" applyBorder="1" applyAlignment="1">
      <alignment wrapText="1"/>
    </xf>
    <xf numFmtId="3" fontId="100" fillId="0" borderId="84" xfId="61" applyNumberFormat="1" applyFont="1" applyBorder="1"/>
    <xf numFmtId="0" fontId="101" fillId="0" borderId="85" xfId="61" applyFont="1" applyBorder="1" applyAlignment="1">
      <alignment wrapText="1"/>
    </xf>
    <xf numFmtId="0" fontId="101" fillId="0" borderId="87" xfId="61" applyFont="1" applyBorder="1" applyAlignment="1">
      <alignment wrapText="1"/>
    </xf>
    <xf numFmtId="3" fontId="100" fillId="0" borderId="88" xfId="61" applyNumberFormat="1" applyFont="1" applyBorder="1"/>
    <xf numFmtId="0" fontId="97" fillId="0" borderId="23" xfId="61" applyFont="1" applyBorder="1" applyAlignment="1">
      <alignment wrapText="1"/>
    </xf>
    <xf numFmtId="0" fontId="31" fillId="0" borderId="23" xfId="61" applyFont="1" applyBorder="1" applyAlignment="1">
      <alignment wrapText="1"/>
    </xf>
    <xf numFmtId="0" fontId="107" fillId="0" borderId="23" xfId="61" applyFont="1" applyBorder="1" applyAlignment="1">
      <alignment wrapText="1"/>
    </xf>
    <xf numFmtId="0" fontId="107" fillId="0" borderId="13" xfId="61" applyFont="1" applyBorder="1" applyAlignment="1">
      <alignment horizontal="left" wrapText="1"/>
    </xf>
    <xf numFmtId="0" fontId="97" fillId="29" borderId="83" xfId="61" applyFont="1" applyFill="1" applyBorder="1" applyAlignment="1">
      <alignment wrapText="1"/>
    </xf>
    <xf numFmtId="0" fontId="97" fillId="0" borderId="87" xfId="61" applyFont="1" applyBorder="1" applyAlignment="1">
      <alignment wrapText="1"/>
    </xf>
    <xf numFmtId="0" fontId="59" fillId="0" borderId="27" xfId="61" applyFont="1" applyBorder="1" applyAlignment="1">
      <alignment wrapText="1"/>
    </xf>
    <xf numFmtId="0" fontId="59" fillId="0" borderId="13" xfId="61" applyFont="1" applyBorder="1" applyAlignment="1">
      <alignment wrapText="1"/>
    </xf>
    <xf numFmtId="0" fontId="97" fillId="29" borderId="89" xfId="61" applyFont="1" applyFill="1" applyBorder="1" applyAlignment="1">
      <alignment wrapText="1"/>
    </xf>
    <xf numFmtId="3" fontId="100" fillId="29" borderId="90" xfId="61" applyNumberFormat="1" applyFont="1" applyFill="1" applyBorder="1"/>
    <xf numFmtId="0" fontId="31" fillId="0" borderId="28" xfId="61" applyFont="1" applyBorder="1" applyAlignment="1">
      <alignment horizontal="center" wrapText="1"/>
    </xf>
    <xf numFmtId="3" fontId="108" fillId="0" borderId="21" xfId="61" applyNumberFormat="1" applyFont="1" applyBorder="1" applyAlignment="1">
      <alignment horizontal="center"/>
    </xf>
    <xf numFmtId="0" fontId="109" fillId="28" borderId="27" xfId="60" applyFont="1" applyFill="1" applyBorder="1" applyAlignment="1">
      <alignment horizontal="left"/>
    </xf>
    <xf numFmtId="3" fontId="61" fillId="28" borderId="19" xfId="61" applyNumberFormat="1" applyFont="1" applyFill="1" applyBorder="1"/>
    <xf numFmtId="3" fontId="61" fillId="28" borderId="16" xfId="61" applyNumberFormat="1" applyFont="1" applyFill="1" applyBorder="1"/>
    <xf numFmtId="0" fontId="109" fillId="28" borderId="23" xfId="60" applyFont="1" applyFill="1" applyBorder="1"/>
    <xf numFmtId="0" fontId="109" fillId="0" borderId="13" xfId="60" applyFont="1" applyBorder="1" applyAlignment="1">
      <alignment wrapText="1"/>
    </xf>
    <xf numFmtId="0" fontId="110" fillId="26" borderId="11" xfId="60" applyFont="1" applyFill="1" applyBorder="1" applyAlignment="1">
      <alignment wrapText="1"/>
    </xf>
    <xf numFmtId="3" fontId="106" fillId="26" borderId="14" xfId="61" applyNumberFormat="1" applyFont="1" applyFill="1" applyBorder="1"/>
    <xf numFmtId="0" fontId="26" fillId="0" borderId="0" xfId="61" applyFont="1"/>
    <xf numFmtId="0" fontId="110" fillId="26" borderId="15" xfId="60" applyFont="1" applyFill="1" applyBorder="1" applyAlignment="1">
      <alignment wrapText="1"/>
    </xf>
    <xf numFmtId="3" fontId="106" fillId="26" borderId="43" xfId="61" applyNumberFormat="1" applyFont="1" applyFill="1" applyBorder="1"/>
    <xf numFmtId="0" fontId="24" fillId="29" borderId="55" xfId="61" applyFont="1" applyFill="1" applyBorder="1" applyAlignment="1">
      <alignment wrapText="1"/>
    </xf>
    <xf numFmtId="3" fontId="61" fillId="29" borderId="55" xfId="61" applyNumberFormat="1" applyFont="1" applyFill="1" applyBorder="1"/>
    <xf numFmtId="3" fontId="24" fillId="29" borderId="85" xfId="61" applyNumberFormat="1" applyFont="1" applyFill="1" applyBorder="1" applyAlignment="1">
      <alignment wrapText="1"/>
    </xf>
    <xf numFmtId="3" fontId="61" fillId="29" borderId="91" xfId="61" applyNumberFormat="1" applyFont="1" applyFill="1" applyBorder="1"/>
    <xf numFmtId="3" fontId="24" fillId="0" borderId="23" xfId="61" applyNumberFormat="1" applyFont="1" applyBorder="1" applyAlignment="1">
      <alignment wrapText="1"/>
    </xf>
    <xf numFmtId="3" fontId="61" fillId="0" borderId="43" xfId="61" applyNumberFormat="1" applyFont="1" applyBorder="1"/>
    <xf numFmtId="0" fontId="73" fillId="0" borderId="23" xfId="60" applyFont="1" applyBorder="1"/>
    <xf numFmtId="0" fontId="109" fillId="0" borderId="27" xfId="60" applyFont="1" applyBorder="1"/>
    <xf numFmtId="3" fontId="61" fillId="0" borderId="12" xfId="61" applyNumberFormat="1" applyFont="1" applyBorder="1"/>
    <xf numFmtId="0" fontId="109" fillId="0" borderId="13" xfId="60" applyFont="1" applyBorder="1"/>
    <xf numFmtId="0" fontId="36" fillId="0" borderId="48" xfId="48" applyFont="1" applyBorder="1" applyAlignment="1">
      <alignment horizontal="left"/>
    </xf>
    <xf numFmtId="0" fontId="24" fillId="29" borderId="89" xfId="61" applyFont="1" applyFill="1" applyBorder="1" applyAlignment="1">
      <alignment wrapText="1"/>
    </xf>
    <xf numFmtId="3" fontId="61" fillId="29" borderId="90" xfId="61" applyNumberFormat="1" applyFont="1" applyFill="1" applyBorder="1"/>
    <xf numFmtId="3" fontId="56" fillId="0" borderId="0" xfId="0" applyNumberFormat="1" applyFont="1" applyAlignment="1">
      <alignment horizontal="center"/>
    </xf>
    <xf numFmtId="3" fontId="50" fillId="0" borderId="0" xfId="0" applyNumberFormat="1" applyFont="1" applyAlignment="1">
      <alignment horizontal="right"/>
    </xf>
    <xf numFmtId="0" fontId="56" fillId="0" borderId="28" xfId="0" applyFont="1" applyBorder="1" applyAlignment="1">
      <alignment horizontal="left"/>
    </xf>
    <xf numFmtId="3" fontId="56" fillId="0" borderId="29" xfId="0" applyNumberFormat="1" applyFont="1" applyBorder="1" applyAlignment="1">
      <alignment horizontal="left"/>
    </xf>
    <xf numFmtId="3" fontId="56" fillId="0" borderId="30" xfId="0" applyNumberFormat="1" applyFont="1" applyBorder="1" applyAlignment="1">
      <alignment horizontal="center"/>
    </xf>
    <xf numFmtId="3" fontId="50" fillId="0" borderId="29" xfId="0" applyNumberFormat="1" applyFont="1" applyBorder="1"/>
    <xf numFmtId="0" fontId="56" fillId="0" borderId="23" xfId="0" applyFont="1" applyBorder="1" applyAlignment="1">
      <alignment horizontal="left"/>
    </xf>
    <xf numFmtId="3" fontId="56" fillId="0" borderId="31" xfId="0" applyNumberFormat="1" applyFont="1" applyBorder="1" applyAlignment="1">
      <alignment horizontal="center"/>
    </xf>
    <xf numFmtId="3" fontId="56" fillId="0" borderId="32" xfId="0" applyNumberFormat="1" applyFont="1" applyBorder="1" applyAlignment="1">
      <alignment horizontal="centerContinuous"/>
    </xf>
    <xf numFmtId="3" fontId="56" fillId="0" borderId="33" xfId="0" applyNumberFormat="1" applyFont="1" applyBorder="1" applyAlignment="1">
      <alignment horizontal="centerContinuous"/>
    </xf>
    <xf numFmtId="0" fontId="50" fillId="0" borderId="33" xfId="0" applyFont="1" applyBorder="1"/>
    <xf numFmtId="3" fontId="56" fillId="0" borderId="33" xfId="0" applyNumberFormat="1" applyFont="1" applyBorder="1" applyAlignment="1">
      <alignment horizontal="right"/>
    </xf>
    <xf numFmtId="0" fontId="50" fillId="0" borderId="35" xfId="0" applyFont="1" applyBorder="1"/>
    <xf numFmtId="0" fontId="50" fillId="0" borderId="77" xfId="0" applyFont="1" applyBorder="1"/>
    <xf numFmtId="3" fontId="56" fillId="0" borderId="77" xfId="0" applyNumberFormat="1" applyFont="1" applyBorder="1" applyAlignment="1">
      <alignment horizontal="right"/>
    </xf>
    <xf numFmtId="0" fontId="50" fillId="0" borderId="63" xfId="0" applyFont="1" applyBorder="1"/>
    <xf numFmtId="3" fontId="56" fillId="0" borderId="24" xfId="0" applyNumberFormat="1" applyFont="1" applyBorder="1"/>
    <xf numFmtId="0" fontId="50" fillId="0" borderId="36" xfId="0" applyFont="1" applyBorder="1"/>
    <xf numFmtId="0" fontId="50" fillId="0" borderId="37" xfId="0" applyFont="1" applyBorder="1"/>
    <xf numFmtId="3" fontId="57" fillId="0" borderId="37" xfId="0" applyNumberFormat="1" applyFont="1" applyBorder="1" applyAlignment="1">
      <alignment horizontal="left"/>
    </xf>
    <xf numFmtId="3" fontId="50" fillId="0" borderId="23" xfId="0" applyNumberFormat="1" applyFont="1" applyBorder="1"/>
    <xf numFmtId="3" fontId="56" fillId="0" borderId="37" xfId="0" applyNumberFormat="1" applyFont="1" applyBorder="1"/>
    <xf numFmtId="0" fontId="50" fillId="0" borderId="23" xfId="0" applyFont="1" applyBorder="1"/>
    <xf numFmtId="0" fontId="50" fillId="0" borderId="31" xfId="0" applyFont="1" applyBorder="1"/>
    <xf numFmtId="3" fontId="50" fillId="0" borderId="37" xfId="0" applyNumberFormat="1" applyFont="1" applyBorder="1"/>
    <xf numFmtId="3" fontId="50" fillId="0" borderId="37" xfId="0" applyNumberFormat="1" applyFont="1" applyBorder="1" applyAlignment="1">
      <alignment horizontal="left"/>
    </xf>
    <xf numFmtId="0" fontId="50" fillId="0" borderId="70" xfId="0" applyFont="1" applyBorder="1"/>
    <xf numFmtId="3" fontId="56" fillId="0" borderId="23" xfId="0" applyNumberFormat="1" applyFont="1" applyBorder="1"/>
    <xf numFmtId="3" fontId="57" fillId="0" borderId="0" xfId="0" applyNumberFormat="1" applyFont="1"/>
    <xf numFmtId="3" fontId="57" fillId="0" borderId="31" xfId="0" applyNumberFormat="1" applyFont="1" applyBorder="1"/>
    <xf numFmtId="0" fontId="50" fillId="0" borderId="37" xfId="0" applyFont="1" applyBorder="1" applyAlignment="1">
      <alignment wrapText="1"/>
    </xf>
    <xf numFmtId="3" fontId="56" fillId="0" borderId="27" xfId="0" applyNumberFormat="1" applyFont="1" applyBorder="1"/>
    <xf numFmtId="0" fontId="56" fillId="0" borderId="25" xfId="0" applyFont="1" applyBorder="1"/>
    <xf numFmtId="3" fontId="56" fillId="0" borderId="25" xfId="0" applyNumberFormat="1" applyFont="1" applyBorder="1"/>
    <xf numFmtId="3" fontId="56" fillId="0" borderId="40" xfId="0" applyNumberFormat="1" applyFont="1" applyBorder="1"/>
    <xf numFmtId="0" fontId="55" fillId="0" borderId="58" xfId="0" applyFont="1" applyBorder="1"/>
    <xf numFmtId="3" fontId="56" fillId="0" borderId="59" xfId="0" applyNumberFormat="1" applyFont="1" applyBorder="1" applyAlignment="1">
      <alignment horizontal="left"/>
    </xf>
    <xf numFmtId="3" fontId="56" fillId="0" borderId="58" xfId="0" applyNumberFormat="1" applyFont="1" applyBorder="1" applyAlignment="1">
      <alignment horizontal="centerContinuous"/>
    </xf>
    <xf numFmtId="3" fontId="56" fillId="0" borderId="78" xfId="0" applyNumberFormat="1" applyFont="1" applyBorder="1" applyAlignment="1">
      <alignment horizontal="center"/>
    </xf>
    <xf numFmtId="3" fontId="56" fillId="0" borderId="72" xfId="0" applyNumberFormat="1" applyFont="1" applyBorder="1" applyAlignment="1">
      <alignment horizontal="left"/>
    </xf>
    <xf numFmtId="0" fontId="56" fillId="0" borderId="29" xfId="0" applyFont="1" applyBorder="1" applyAlignment="1">
      <alignment horizontal="left"/>
    </xf>
    <xf numFmtId="3" fontId="56" fillId="0" borderId="43" xfId="0" applyNumberFormat="1" applyFont="1" applyBorder="1" applyAlignment="1">
      <alignment horizontal="left"/>
    </xf>
    <xf numFmtId="0" fontId="56" fillId="0" borderId="0" xfId="0" applyFont="1" applyAlignment="1">
      <alignment horizontal="left"/>
    </xf>
    <xf numFmtId="3" fontId="56" fillId="0" borderId="44" xfId="0" applyNumberFormat="1" applyFont="1" applyBorder="1" applyAlignment="1">
      <alignment horizontal="centerContinuous"/>
    </xf>
    <xf numFmtId="3" fontId="50" fillId="0" borderId="23" xfId="0" applyNumberFormat="1" applyFont="1" applyBorder="1" applyAlignment="1">
      <alignment horizontal="left"/>
    </xf>
    <xf numFmtId="3" fontId="50" fillId="0" borderId="0" xfId="0" applyNumberFormat="1" applyFont="1" applyAlignment="1">
      <alignment horizontal="left"/>
    </xf>
    <xf numFmtId="3" fontId="50" fillId="0" borderId="0" xfId="0" applyNumberFormat="1" applyFont="1" applyAlignment="1">
      <alignment horizontal="centerContinuous"/>
    </xf>
    <xf numFmtId="0" fontId="56" fillId="0" borderId="29" xfId="0" applyFont="1" applyBorder="1"/>
    <xf numFmtId="3" fontId="56" fillId="0" borderId="29" xfId="0" applyNumberFormat="1" applyFont="1" applyBorder="1" applyAlignment="1">
      <alignment horizontal="right"/>
    </xf>
    <xf numFmtId="3" fontId="56" fillId="0" borderId="30" xfId="0" applyNumberFormat="1" applyFont="1" applyBorder="1" applyAlignment="1">
      <alignment horizontal="right"/>
    </xf>
    <xf numFmtId="3" fontId="50" fillId="0" borderId="36" xfId="0" applyNumberFormat="1" applyFont="1" applyBorder="1" applyAlignment="1">
      <alignment horizontal="left"/>
    </xf>
    <xf numFmtId="3" fontId="50" fillId="0" borderId="37" xfId="0" applyNumberFormat="1" applyFont="1" applyBorder="1" applyAlignment="1">
      <alignment horizontal="centerContinuous"/>
    </xf>
    <xf numFmtId="3" fontId="56" fillId="0" borderId="24" xfId="0" applyNumberFormat="1" applyFont="1" applyBorder="1" applyAlignment="1">
      <alignment horizontal="right"/>
    </xf>
    <xf numFmtId="3" fontId="50" fillId="0" borderId="37" xfId="0" applyNumberFormat="1" applyFont="1" applyBorder="1" applyAlignment="1">
      <alignment horizontal="center"/>
    </xf>
    <xf numFmtId="3" fontId="56" fillId="0" borderId="37" xfId="0" applyNumberFormat="1" applyFont="1" applyBorder="1" applyAlignment="1">
      <alignment horizontal="right"/>
    </xf>
    <xf numFmtId="3" fontId="50" fillId="0" borderId="23" xfId="0" applyNumberFormat="1" applyFont="1" applyBorder="1" applyAlignment="1">
      <alignment horizontal="centerContinuous"/>
    </xf>
    <xf numFmtId="3" fontId="56" fillId="0" borderId="23" xfId="0" applyNumberFormat="1" applyFont="1" applyBorder="1" applyAlignment="1">
      <alignment horizontal="centerContinuous"/>
    </xf>
    <xf numFmtId="3" fontId="56" fillId="0" borderId="0" xfId="0" applyNumberFormat="1" applyFont="1" applyAlignment="1">
      <alignment horizontal="centerContinuous"/>
    </xf>
    <xf numFmtId="0" fontId="56" fillId="0" borderId="45" xfId="0" applyFont="1" applyBorder="1"/>
    <xf numFmtId="3" fontId="56" fillId="0" borderId="45" xfId="0" applyNumberFormat="1" applyFont="1" applyBorder="1" applyAlignment="1">
      <alignment horizontal="right"/>
    </xf>
    <xf numFmtId="3" fontId="56" fillId="0" borderId="23" xfId="0" applyNumberFormat="1" applyFont="1" applyBorder="1" applyAlignment="1">
      <alignment horizontal="left"/>
    </xf>
    <xf numFmtId="0" fontId="50" fillId="0" borderId="0" xfId="48" applyFont="1"/>
    <xf numFmtId="3" fontId="50" fillId="0" borderId="0" xfId="0" applyNumberFormat="1" applyFont="1" applyAlignment="1">
      <alignment horizontal="center"/>
    </xf>
    <xf numFmtId="0" fontId="50" fillId="0" borderId="0" xfId="48" applyFont="1" applyAlignment="1">
      <alignment horizontal="left"/>
    </xf>
    <xf numFmtId="0" fontId="56" fillId="0" borderId="54" xfId="0" applyFont="1" applyBorder="1"/>
    <xf numFmtId="3" fontId="56" fillId="0" borderId="54" xfId="0" applyNumberFormat="1" applyFont="1" applyBorder="1" applyAlignment="1">
      <alignment horizontal="right"/>
    </xf>
    <xf numFmtId="3" fontId="56" fillId="0" borderId="46" xfId="0" applyNumberFormat="1" applyFont="1" applyBorder="1"/>
    <xf numFmtId="3" fontId="56" fillId="0" borderId="48" xfId="0" applyNumberFormat="1" applyFont="1" applyBorder="1"/>
    <xf numFmtId="3" fontId="56" fillId="0" borderId="45" xfId="0" applyNumberFormat="1" applyFont="1" applyBorder="1"/>
    <xf numFmtId="3" fontId="56" fillId="0" borderId="45" xfId="0" applyNumberFormat="1" applyFont="1" applyBorder="1" applyAlignment="1">
      <alignment horizontal="left"/>
    </xf>
    <xf numFmtId="3" fontId="56" fillId="0" borderId="0" xfId="0" applyNumberFormat="1" applyFont="1"/>
    <xf numFmtId="3" fontId="56" fillId="0" borderId="29" xfId="0" applyNumberFormat="1" applyFont="1" applyBorder="1"/>
    <xf numFmtId="3" fontId="56" fillId="0" borderId="20" xfId="0" applyNumberFormat="1" applyFont="1" applyBorder="1"/>
    <xf numFmtId="3" fontId="56" fillId="0" borderId="73" xfId="0" applyNumberFormat="1" applyFont="1" applyBorder="1"/>
    <xf numFmtId="3" fontId="56" fillId="0" borderId="47" xfId="0" applyNumberFormat="1" applyFont="1" applyBorder="1"/>
    <xf numFmtId="3" fontId="56" fillId="0" borderId="47" xfId="0" applyNumberFormat="1" applyFont="1" applyBorder="1" applyAlignment="1">
      <alignment horizontal="left"/>
    </xf>
    <xf numFmtId="0" fontId="50" fillId="28" borderId="24" xfId="48" applyFont="1" applyFill="1" applyBorder="1" applyAlignment="1">
      <alignment horizontal="justify"/>
    </xf>
    <xf numFmtId="0" fontId="50" fillId="0" borderId="37" xfId="48" applyFont="1" applyBorder="1" applyAlignment="1">
      <alignment horizontal="justify"/>
    </xf>
    <xf numFmtId="0" fontId="57" fillId="0" borderId="48" xfId="0" applyFont="1" applyBorder="1"/>
    <xf numFmtId="3" fontId="56" fillId="0" borderId="32" xfId="0" applyNumberFormat="1" applyFont="1" applyBorder="1"/>
    <xf numFmtId="0" fontId="57" fillId="0" borderId="32" xfId="0" applyFont="1" applyBorder="1"/>
    <xf numFmtId="3" fontId="55" fillId="0" borderId="0" xfId="0" applyNumberFormat="1" applyFont="1"/>
    <xf numFmtId="3" fontId="111" fillId="0" borderId="0" xfId="0" applyNumberFormat="1" applyFont="1"/>
    <xf numFmtId="0" fontId="34" fillId="0" borderId="26" xfId="0" applyFont="1" applyBorder="1" applyAlignment="1">
      <alignment horizontal="left"/>
    </xf>
    <xf numFmtId="0" fontId="37" fillId="0" borderId="32" xfId="0" applyFont="1" applyBorder="1" applyAlignment="1">
      <alignment horizontal="left"/>
    </xf>
    <xf numFmtId="0" fontId="36" fillId="0" borderId="48" xfId="0" applyFont="1" applyBorder="1" applyAlignment="1">
      <alignment horizontal="left"/>
    </xf>
    <xf numFmtId="0" fontId="34" fillId="0" borderId="24" xfId="0" applyFont="1" applyBorder="1" applyAlignment="1">
      <alignment horizontal="left"/>
    </xf>
    <xf numFmtId="0" fontId="34" fillId="0" borderId="61" xfId="0" applyFont="1" applyBorder="1" applyAlignment="1">
      <alignment horizontal="left"/>
    </xf>
    <xf numFmtId="0" fontId="34" fillId="0" borderId="37" xfId="0" applyFont="1" applyBorder="1" applyAlignment="1">
      <alignment wrapText="1"/>
    </xf>
    <xf numFmtId="0" fontId="36" fillId="0" borderId="28" xfId="48" applyFont="1" applyBorder="1" applyAlignment="1">
      <alignment horizontal="center"/>
    </xf>
    <xf numFmtId="0" fontId="36" fillId="0" borderId="32" xfId="48" applyFont="1" applyBorder="1" applyAlignment="1">
      <alignment horizontal="center"/>
    </xf>
    <xf numFmtId="0" fontId="34" fillId="0" borderId="31" xfId="0" applyFont="1" applyBorder="1" applyAlignment="1">
      <alignment horizontal="left" wrapText="1" shrinkToFit="1"/>
    </xf>
    <xf numFmtId="3" fontId="34" fillId="0" borderId="31" xfId="0" applyNumberFormat="1" applyFont="1" applyBorder="1" applyAlignment="1">
      <alignment horizontal="right" wrapText="1"/>
    </xf>
    <xf numFmtId="0" fontId="34" fillId="0" borderId="55" xfId="0" applyFont="1" applyBorder="1" applyAlignment="1">
      <alignment horizontal="left"/>
    </xf>
    <xf numFmtId="3" fontId="34" fillId="0" borderId="55" xfId="0" applyNumberFormat="1" applyFont="1" applyBorder="1" applyAlignment="1">
      <alignment horizontal="right" wrapText="1"/>
    </xf>
    <xf numFmtId="3" fontId="34" fillId="0" borderId="15" xfId="52" applyNumberFormat="1" applyFont="1" applyBorder="1" applyAlignment="1">
      <alignment horizontal="justify" wrapText="1"/>
    </xf>
    <xf numFmtId="0" fontId="34" fillId="0" borderId="55" xfId="0" applyFont="1" applyBorder="1" applyAlignment="1">
      <alignment horizontal="left" wrapText="1"/>
    </xf>
    <xf numFmtId="0" fontId="37" fillId="0" borderId="0" xfId="0" applyFont="1" applyAlignment="1">
      <alignment horizontal="center"/>
    </xf>
    <xf numFmtId="3" fontId="5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3" fontId="65" fillId="0" borderId="0" xfId="47" applyNumberFormat="1" applyFont="1" applyAlignment="1">
      <alignment horizontal="center"/>
    </xf>
    <xf numFmtId="0" fontId="24" fillId="0" borderId="0" xfId="60" applyFont="1" applyAlignment="1">
      <alignment horizontal="center"/>
    </xf>
    <xf numFmtId="0" fontId="94" fillId="0" borderId="0" xfId="61" applyFont="1" applyAlignment="1">
      <alignment horizontal="center" wrapText="1"/>
    </xf>
    <xf numFmtId="4" fontId="76" fillId="0" borderId="32" xfId="57" applyNumberFormat="1" applyFont="1" applyBorder="1" applyAlignment="1">
      <alignment horizontal="center"/>
    </xf>
    <xf numFmtId="4" fontId="76" fillId="0" borderId="33" xfId="57" applyNumberFormat="1" applyFont="1" applyBorder="1" applyAlignment="1">
      <alignment horizontal="center"/>
    </xf>
    <xf numFmtId="4" fontId="76" fillId="0" borderId="48" xfId="57" applyNumberFormat="1" applyFont="1" applyBorder="1" applyAlignment="1">
      <alignment horizontal="center"/>
    </xf>
    <xf numFmtId="4" fontId="76" fillId="0" borderId="45" xfId="57" applyNumberFormat="1" applyFont="1" applyBorder="1" applyAlignment="1">
      <alignment horizontal="center"/>
    </xf>
    <xf numFmtId="0" fontId="76" fillId="0" borderId="32" xfId="57" applyFont="1" applyBorder="1" applyAlignment="1">
      <alignment horizontal="center"/>
    </xf>
    <xf numFmtId="0" fontId="76" fillId="0" borderId="44" xfId="57" applyFont="1" applyBorder="1" applyAlignment="1">
      <alignment horizontal="center"/>
    </xf>
    <xf numFmtId="0" fontId="76" fillId="0" borderId="0" xfId="57" applyFont="1" applyAlignment="1">
      <alignment horizontal="center"/>
    </xf>
    <xf numFmtId="0" fontId="39" fillId="0" borderId="33" xfId="57" applyFont="1" applyBorder="1" applyAlignment="1">
      <alignment horizontal="center"/>
    </xf>
    <xf numFmtId="0" fontId="81" fillId="25" borderId="48" xfId="57" applyFont="1" applyFill="1" applyBorder="1" applyAlignment="1">
      <alignment horizontal="center" vertical="center"/>
    </xf>
    <xf numFmtId="0" fontId="81" fillId="25" borderId="45" xfId="57" applyFont="1" applyFill="1" applyBorder="1" applyAlignment="1">
      <alignment horizontal="center" vertical="center"/>
    </xf>
    <xf numFmtId="0" fontId="81" fillId="25" borderId="49" xfId="57" applyFont="1" applyFill="1" applyBorder="1" applyAlignment="1">
      <alignment horizontal="center" vertical="center"/>
    </xf>
    <xf numFmtId="0" fontId="76" fillId="0" borderId="28" xfId="57" applyFont="1" applyBorder="1" applyAlignment="1">
      <alignment horizontal="center" wrapText="1"/>
    </xf>
    <xf numFmtId="0" fontId="76" fillId="0" borderId="72" xfId="57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36" fillId="0" borderId="59" xfId="48" applyFont="1" applyBorder="1" applyAlignment="1">
      <alignment horizontal="left"/>
    </xf>
    <xf numFmtId="0" fontId="36" fillId="0" borderId="58" xfId="48" applyFont="1" applyBorder="1" applyAlignment="1">
      <alignment horizontal="left"/>
    </xf>
    <xf numFmtId="0" fontId="36" fillId="0" borderId="13" xfId="48" applyFont="1" applyBorder="1" applyAlignment="1">
      <alignment horizontal="left"/>
    </xf>
    <xf numFmtId="0" fontId="36" fillId="0" borderId="54" xfId="48" applyFont="1" applyBorder="1" applyAlignment="1">
      <alignment horizontal="left"/>
    </xf>
    <xf numFmtId="0" fontId="36" fillId="0" borderId="48" xfId="48" applyFont="1" applyBorder="1" applyAlignment="1">
      <alignment horizontal="left"/>
    </xf>
    <xf numFmtId="0" fontId="36" fillId="0" borderId="45" xfId="48" applyFont="1" applyBorder="1" applyAlignment="1">
      <alignment horizontal="left"/>
    </xf>
    <xf numFmtId="0" fontId="37" fillId="0" borderId="0" xfId="48" applyFont="1" applyAlignment="1">
      <alignment horizontal="center"/>
    </xf>
    <xf numFmtId="0" fontId="37" fillId="0" borderId="28" xfId="48" applyFont="1" applyBorder="1" applyAlignment="1">
      <alignment horizontal="center"/>
    </xf>
    <xf numFmtId="0" fontId="37" fillId="0" borderId="29" xfId="48" applyFont="1" applyBorder="1" applyAlignment="1">
      <alignment horizontal="center"/>
    </xf>
    <xf numFmtId="0" fontId="32" fillId="0" borderId="23" xfId="48" applyFont="1" applyBorder="1" applyAlignment="1">
      <alignment horizontal="left"/>
    </xf>
    <xf numFmtId="0" fontId="32" fillId="0" borderId="0" xfId="48" applyFont="1" applyAlignment="1">
      <alignment horizontal="left"/>
    </xf>
    <xf numFmtId="0" fontId="40" fillId="0" borderId="0" xfId="48" applyFont="1" applyAlignment="1">
      <alignment horizontal="center"/>
    </xf>
    <xf numFmtId="0" fontId="36" fillId="0" borderId="0" xfId="51" applyFont="1" applyAlignment="1">
      <alignment horizontal="center"/>
    </xf>
    <xf numFmtId="0" fontId="36" fillId="0" borderId="0" xfId="46" applyFont="1" applyAlignment="1">
      <alignment horizontal="center"/>
    </xf>
    <xf numFmtId="0" fontId="36" fillId="0" borderId="0" xfId="48" applyFont="1" applyAlignment="1">
      <alignment horizontal="center"/>
    </xf>
  </cellXfs>
  <cellStyles count="62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61" xr:uid="{00000000-0005-0000-0000-000030000000}"/>
    <cellStyle name="Normál_99LETSZ_LETSZ02" xfId="57" xr:uid="{00000000-0005-0000-0000-000031000000}"/>
    <cellStyle name="Normál_GUCIFEJL" xfId="48" xr:uid="{00000000-0005-0000-0000-000032000000}"/>
    <cellStyle name="Normál_IKÖZI" xfId="60" xr:uid="{00000000-0005-0000-0000-000033000000}"/>
    <cellStyle name="Normál_kiemelt eik 2013" xfId="49" xr:uid="{00000000-0005-0000-0000-000034000000}"/>
    <cellStyle name="Normál_kozvetetttam" xfId="50" xr:uid="{00000000-0005-0000-0000-000035000000}"/>
    <cellStyle name="Normál_LETSZ06" xfId="59" xr:uid="{00000000-0005-0000-0000-000036000000}"/>
    <cellStyle name="Normál_letsz2011" xfId="58" xr:uid="{00000000-0005-0000-0000-000037000000}"/>
    <cellStyle name="Normál_módIV12önk" xfId="51" xr:uid="{00000000-0005-0000-0000-000038000000}"/>
    <cellStyle name="Normál_Munkafüzet2" xfId="52" xr:uid="{00000000-0005-0000-0000-000039000000}"/>
    <cellStyle name="Összesen" xfId="53" xr:uid="{00000000-0005-0000-0000-00003A000000}"/>
    <cellStyle name="Rossz" xfId="54" xr:uid="{00000000-0005-0000-0000-00003B000000}"/>
    <cellStyle name="Semleges" xfId="55" xr:uid="{00000000-0005-0000-0000-00003C000000}"/>
    <cellStyle name="Számítás" xfId="56" xr:uid="{00000000-0005-0000-0000-00003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5\K&#246;lts&#233;gvet&#233;s\Int&#233;zm&#233;nyi%20k&#246;lts&#233;gvet&#233;s\Int&#233;zm&#233;nyi%20Kgy%20t&#225;bl&#225;k\Int.l&#233;tsz&#225;m2025%20kt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étszám2016évi üres"/>
      <sheetName val="létszám ei mód 2024-2025eltérés"/>
      <sheetName val="2025 évi nyitó létszám"/>
    </sheetNames>
    <sheetDataSet>
      <sheetData sheetId="0"/>
      <sheetData sheetId="1">
        <row r="9">
          <cell r="I9">
            <v>33</v>
          </cell>
          <cell r="J9">
            <v>33</v>
          </cell>
          <cell r="P9">
            <v>1</v>
          </cell>
          <cell r="Q9">
            <v>1</v>
          </cell>
        </row>
        <row r="10">
          <cell r="I10">
            <v>23</v>
          </cell>
          <cell r="J10">
            <v>23</v>
          </cell>
          <cell r="P10">
            <v>1</v>
          </cell>
          <cell r="Q10">
            <v>1</v>
          </cell>
        </row>
        <row r="11">
          <cell r="I11">
            <v>23</v>
          </cell>
          <cell r="J11">
            <v>23</v>
          </cell>
          <cell r="P11">
            <v>1</v>
          </cell>
          <cell r="Q11">
            <v>1</v>
          </cell>
        </row>
        <row r="12">
          <cell r="I12">
            <v>28</v>
          </cell>
          <cell r="J12">
            <v>28</v>
          </cell>
          <cell r="P12">
            <v>1</v>
          </cell>
          <cell r="Q12">
            <v>1</v>
          </cell>
        </row>
        <row r="13">
          <cell r="I13">
            <v>26</v>
          </cell>
          <cell r="J13">
            <v>26</v>
          </cell>
          <cell r="P13">
            <v>1</v>
          </cell>
          <cell r="Q13">
            <v>1</v>
          </cell>
        </row>
        <row r="14">
          <cell r="I14">
            <v>23</v>
          </cell>
          <cell r="J14">
            <v>23</v>
          </cell>
          <cell r="P14">
            <v>1</v>
          </cell>
          <cell r="Q14">
            <v>1</v>
          </cell>
        </row>
        <row r="15">
          <cell r="I15">
            <v>18</v>
          </cell>
          <cell r="J15">
            <v>18</v>
          </cell>
          <cell r="P15">
            <v>1</v>
          </cell>
          <cell r="Q15">
            <v>1</v>
          </cell>
        </row>
        <row r="16">
          <cell r="I16">
            <v>18</v>
          </cell>
          <cell r="J16">
            <v>18</v>
          </cell>
          <cell r="P16">
            <v>1</v>
          </cell>
          <cell r="Q16">
            <v>1</v>
          </cell>
        </row>
        <row r="17">
          <cell r="I17">
            <v>27</v>
          </cell>
          <cell r="J17">
            <v>27</v>
          </cell>
          <cell r="P17">
            <v>1</v>
          </cell>
          <cell r="Q17">
            <v>1</v>
          </cell>
        </row>
        <row r="18">
          <cell r="I18">
            <v>30</v>
          </cell>
          <cell r="J18">
            <v>30</v>
          </cell>
          <cell r="P18">
            <v>1</v>
          </cell>
          <cell r="Q18">
            <v>1</v>
          </cell>
        </row>
        <row r="19">
          <cell r="I19">
            <v>15</v>
          </cell>
          <cell r="J19">
            <v>15</v>
          </cell>
          <cell r="P19">
            <v>1</v>
          </cell>
          <cell r="Q19">
            <v>1</v>
          </cell>
        </row>
        <row r="20">
          <cell r="I20">
            <v>13.5</v>
          </cell>
          <cell r="J20">
            <v>13</v>
          </cell>
          <cell r="P20">
            <v>1.5</v>
          </cell>
          <cell r="Q20">
            <v>2</v>
          </cell>
        </row>
        <row r="21">
          <cell r="I21">
            <v>19</v>
          </cell>
          <cell r="J21">
            <v>19</v>
          </cell>
          <cell r="P21">
            <v>1</v>
          </cell>
          <cell r="Q21">
            <v>1</v>
          </cell>
        </row>
        <row r="22">
          <cell r="I22">
            <v>20</v>
          </cell>
          <cell r="J22">
            <v>20</v>
          </cell>
          <cell r="P22">
            <v>1</v>
          </cell>
          <cell r="Q22">
            <v>1</v>
          </cell>
        </row>
        <row r="23">
          <cell r="I23">
            <v>31</v>
          </cell>
          <cell r="J23">
            <v>31</v>
          </cell>
          <cell r="P23">
            <v>1</v>
          </cell>
          <cell r="Q23">
            <v>1</v>
          </cell>
        </row>
        <row r="24">
          <cell r="I24">
            <v>23</v>
          </cell>
          <cell r="J24">
            <v>23</v>
          </cell>
          <cell r="P24">
            <v>1</v>
          </cell>
          <cell r="Q24">
            <v>1</v>
          </cell>
        </row>
        <row r="25">
          <cell r="I25">
            <v>17</v>
          </cell>
          <cell r="J25">
            <v>17</v>
          </cell>
          <cell r="P25">
            <v>1</v>
          </cell>
          <cell r="Q25">
            <v>1</v>
          </cell>
        </row>
        <row r="26">
          <cell r="I26">
            <v>11.5</v>
          </cell>
          <cell r="J26">
            <v>12</v>
          </cell>
          <cell r="P26">
            <v>1.5</v>
          </cell>
          <cell r="Q26">
            <v>1</v>
          </cell>
        </row>
        <row r="28">
          <cell r="I28">
            <v>0</v>
          </cell>
          <cell r="J28">
            <v>0</v>
          </cell>
          <cell r="P28">
            <v>44</v>
          </cell>
          <cell r="Q28">
            <v>44</v>
          </cell>
        </row>
        <row r="32">
          <cell r="I32">
            <v>18</v>
          </cell>
          <cell r="J32">
            <v>18</v>
          </cell>
          <cell r="P32">
            <v>1.75</v>
          </cell>
          <cell r="Q32">
            <v>2</v>
          </cell>
        </row>
        <row r="33">
          <cell r="I33">
            <v>77</v>
          </cell>
          <cell r="J33">
            <v>77</v>
          </cell>
          <cell r="P33">
            <v>7.5</v>
          </cell>
          <cell r="Q33">
            <v>7</v>
          </cell>
        </row>
        <row r="34">
          <cell r="I34">
            <v>35</v>
          </cell>
          <cell r="J34">
            <v>35</v>
          </cell>
          <cell r="P34">
            <v>11</v>
          </cell>
          <cell r="Q34">
            <v>11</v>
          </cell>
        </row>
        <row r="35">
          <cell r="I35">
            <v>66.5</v>
          </cell>
          <cell r="J35">
            <v>67</v>
          </cell>
          <cell r="P35">
            <v>34.25</v>
          </cell>
          <cell r="Q35">
            <v>34</v>
          </cell>
        </row>
        <row r="38">
          <cell r="I38">
            <v>161.25</v>
          </cell>
          <cell r="J38">
            <v>161</v>
          </cell>
          <cell r="P38">
            <v>21.5</v>
          </cell>
          <cell r="Q38">
            <v>22</v>
          </cell>
        </row>
        <row r="40">
          <cell r="I40">
            <v>45</v>
          </cell>
          <cell r="J40">
            <v>45</v>
          </cell>
          <cell r="P40">
            <v>27</v>
          </cell>
          <cell r="Q40">
            <v>27</v>
          </cell>
        </row>
        <row r="42">
          <cell r="I42">
            <v>155.01</v>
          </cell>
          <cell r="J42">
            <v>155</v>
          </cell>
          <cell r="P42">
            <v>46.74499999999999</v>
          </cell>
          <cell r="Q42">
            <v>47</v>
          </cell>
        </row>
        <row r="44">
          <cell r="I44">
            <v>1</v>
          </cell>
          <cell r="J44">
            <v>1</v>
          </cell>
          <cell r="P44">
            <v>13.5</v>
          </cell>
          <cell r="Q44">
            <v>13</v>
          </cell>
        </row>
        <row r="45">
          <cell r="I45">
            <v>301.5</v>
          </cell>
          <cell r="J45">
            <v>302</v>
          </cell>
          <cell r="P45">
            <v>0</v>
          </cell>
          <cell r="Q4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zoomScaleNormal="100" workbookViewId="0">
      <selection activeCell="B9" sqref="B9"/>
    </sheetView>
  </sheetViews>
  <sheetFormatPr defaultRowHeight="15.75" x14ac:dyDescent="0.25"/>
  <cols>
    <col min="1" max="1" width="10.83203125" style="374" customWidth="1"/>
    <col min="2" max="2" width="102.83203125" style="374" customWidth="1"/>
    <col min="3" max="3" width="31.33203125" style="374" customWidth="1"/>
    <col min="4" max="6" width="27" style="374" customWidth="1"/>
    <col min="7" max="7" width="27.5" style="383" customWidth="1"/>
    <col min="8" max="8" width="14" style="383" customWidth="1"/>
    <col min="9" max="9" width="86.1640625" style="374" customWidth="1"/>
    <col min="10" max="13" width="27" style="374" customWidth="1"/>
    <col min="14" max="14" width="27" style="383" customWidth="1"/>
    <col min="15" max="15" width="17.5" style="374" customWidth="1"/>
    <col min="16" max="16" width="23.33203125" style="374" customWidth="1"/>
    <col min="17" max="16384" width="9.33203125" style="374"/>
  </cols>
  <sheetData>
    <row r="1" spans="1:15" ht="29.25" customHeight="1" x14ac:dyDescent="0.3">
      <c r="B1" s="951" t="s">
        <v>224</v>
      </c>
      <c r="C1" s="951"/>
      <c r="D1" s="951"/>
      <c r="E1" s="951"/>
      <c r="F1" s="951"/>
      <c r="G1" s="951"/>
      <c r="H1" s="443"/>
      <c r="I1" s="951" t="s">
        <v>224</v>
      </c>
      <c r="J1" s="951"/>
      <c r="K1" s="951"/>
      <c r="L1" s="951"/>
      <c r="M1" s="951"/>
      <c r="N1" s="951"/>
    </row>
    <row r="2" spans="1:15" ht="36" customHeight="1" x14ac:dyDescent="0.3">
      <c r="B2" s="951" t="s">
        <v>707</v>
      </c>
      <c r="C2" s="951"/>
      <c r="D2" s="951"/>
      <c r="E2" s="951"/>
      <c r="F2" s="951"/>
      <c r="G2" s="951"/>
      <c r="H2" s="443"/>
      <c r="I2" s="951" t="s">
        <v>706</v>
      </c>
      <c r="J2" s="951"/>
      <c r="K2" s="951"/>
      <c r="L2" s="951"/>
      <c r="M2" s="951"/>
      <c r="N2" s="951"/>
    </row>
    <row r="3" spans="1:15" ht="16.5" thickBot="1" x14ac:dyDescent="0.3">
      <c r="A3" s="444"/>
      <c r="N3" s="445" t="s">
        <v>216</v>
      </c>
    </row>
    <row r="4" spans="1:15" ht="33.75" customHeight="1" x14ac:dyDescent="0.25">
      <c r="A4" s="446"/>
      <c r="B4" s="376" t="s">
        <v>215</v>
      </c>
      <c r="C4" s="446" t="s">
        <v>318</v>
      </c>
      <c r="D4" s="447" t="s">
        <v>319</v>
      </c>
      <c r="E4" s="446" t="s">
        <v>319</v>
      </c>
      <c r="F4" s="447" t="s">
        <v>319</v>
      </c>
      <c r="G4" s="447" t="s">
        <v>231</v>
      </c>
      <c r="H4" s="446"/>
      <c r="I4" s="376" t="s">
        <v>239</v>
      </c>
      <c r="J4" s="446" t="s">
        <v>318</v>
      </c>
      <c r="K4" s="447" t="s">
        <v>319</v>
      </c>
      <c r="L4" s="446" t="s">
        <v>319</v>
      </c>
      <c r="M4" s="447" t="s">
        <v>319</v>
      </c>
      <c r="N4" s="447" t="s">
        <v>231</v>
      </c>
    </row>
    <row r="5" spans="1:15" ht="20.100000000000001" customHeight="1" x14ac:dyDescent="0.25">
      <c r="A5" s="448"/>
      <c r="B5" s="378"/>
      <c r="C5" s="448" t="s">
        <v>320</v>
      </c>
      <c r="D5" s="449"/>
      <c r="E5" s="448"/>
      <c r="F5" s="449" t="s">
        <v>231</v>
      </c>
      <c r="G5" s="449" t="s">
        <v>232</v>
      </c>
      <c r="H5" s="448"/>
      <c r="I5" s="378"/>
      <c r="J5" s="448" t="s">
        <v>321</v>
      </c>
      <c r="K5" s="449"/>
      <c r="L5" s="448"/>
      <c r="M5" s="449" t="s">
        <v>231</v>
      </c>
      <c r="N5" s="449" t="s">
        <v>240</v>
      </c>
    </row>
    <row r="6" spans="1:15" ht="88.5" customHeight="1" thickBot="1" x14ac:dyDescent="0.3">
      <c r="A6" s="450"/>
      <c r="B6" s="380"/>
      <c r="C6" s="451"/>
      <c r="D6" s="452"/>
      <c r="E6" s="381" t="s">
        <v>322</v>
      </c>
      <c r="F6" s="452"/>
      <c r="G6" s="453"/>
      <c r="H6" s="450"/>
      <c r="I6" s="380"/>
      <c r="J6" s="451" t="s">
        <v>199</v>
      </c>
      <c r="K6" s="452" t="s">
        <v>323</v>
      </c>
      <c r="L6" s="381" t="s">
        <v>322</v>
      </c>
      <c r="M6" s="452"/>
      <c r="N6" s="453"/>
    </row>
    <row r="7" spans="1:15" ht="24" customHeight="1" x14ac:dyDescent="0.25">
      <c r="A7" s="448"/>
      <c r="B7" s="454" t="s">
        <v>324</v>
      </c>
      <c r="C7" s="377"/>
      <c r="D7" s="455"/>
      <c r="E7" s="455"/>
      <c r="F7" s="455"/>
      <c r="G7" s="447"/>
      <c r="H7" s="448"/>
      <c r="I7" s="376" t="s">
        <v>325</v>
      </c>
      <c r="J7" s="377"/>
      <c r="K7" s="455"/>
      <c r="L7" s="455"/>
      <c r="M7" s="455"/>
      <c r="N7" s="447"/>
    </row>
    <row r="8" spans="1:15" ht="24" customHeight="1" x14ac:dyDescent="0.3">
      <c r="A8" s="456" t="s">
        <v>326</v>
      </c>
      <c r="B8" s="457" t="s">
        <v>257</v>
      </c>
      <c r="C8" s="458">
        <v>449270</v>
      </c>
      <c r="D8" s="458">
        <v>9551585</v>
      </c>
      <c r="E8" s="458"/>
      <c r="F8" s="458">
        <f>SUM(D8:E8)</f>
        <v>9551585</v>
      </c>
      <c r="G8" s="459">
        <f>SUM(C8+F8)</f>
        <v>10000855</v>
      </c>
      <c r="H8" s="460" t="s">
        <v>327</v>
      </c>
      <c r="I8" s="457" t="s">
        <v>258</v>
      </c>
      <c r="J8" s="461">
        <v>10139276</v>
      </c>
      <c r="K8" s="461">
        <v>475596</v>
      </c>
      <c r="L8" s="458"/>
      <c r="M8" s="458">
        <f>SUM(K8:L8)</f>
        <v>475596</v>
      </c>
      <c r="N8" s="459">
        <f>SUM(J8+M8)</f>
        <v>10614872</v>
      </c>
      <c r="O8" s="375"/>
    </row>
    <row r="9" spans="1:15" ht="44.85" customHeight="1" x14ac:dyDescent="0.3">
      <c r="A9" s="462" t="s">
        <v>328</v>
      </c>
      <c r="B9" s="463" t="s">
        <v>193</v>
      </c>
      <c r="C9" s="458">
        <v>1850</v>
      </c>
      <c r="D9" s="458">
        <v>14308000</v>
      </c>
      <c r="E9" s="458"/>
      <c r="F9" s="458">
        <f>SUM(D9:E9)</f>
        <v>14308000</v>
      </c>
      <c r="G9" s="459">
        <f>SUM(C9+F9)</f>
        <v>14309850</v>
      </c>
      <c r="H9" s="462" t="s">
        <v>329</v>
      </c>
      <c r="I9" s="464" t="s">
        <v>259</v>
      </c>
      <c r="J9" s="465">
        <v>1450628</v>
      </c>
      <c r="K9" s="465">
        <v>63468</v>
      </c>
      <c r="L9" s="458"/>
      <c r="M9" s="458">
        <f>SUM(K9:L9)</f>
        <v>63468</v>
      </c>
      <c r="N9" s="459">
        <f>SUM(J9+M9)</f>
        <v>1514096</v>
      </c>
      <c r="O9" s="375"/>
    </row>
    <row r="10" spans="1:15" ht="24" customHeight="1" x14ac:dyDescent="0.3">
      <c r="A10" s="456" t="s">
        <v>330</v>
      </c>
      <c r="B10" s="457" t="s">
        <v>331</v>
      </c>
      <c r="C10" s="458">
        <v>1548193</v>
      </c>
      <c r="D10" s="458">
        <v>2148686</v>
      </c>
      <c r="E10" s="458"/>
      <c r="F10" s="458">
        <f>SUM(D10:E10)</f>
        <v>2148686</v>
      </c>
      <c r="G10" s="459">
        <f>SUM(C10+F10)</f>
        <v>3696879</v>
      </c>
      <c r="H10" s="462" t="s">
        <v>332</v>
      </c>
      <c r="I10" s="463" t="s">
        <v>260</v>
      </c>
      <c r="J10" s="465">
        <v>4152896</v>
      </c>
      <c r="K10" s="465">
        <v>4118846</v>
      </c>
      <c r="L10" s="458"/>
      <c r="M10" s="458">
        <f>SUM(K10:L10)</f>
        <v>4118846</v>
      </c>
      <c r="N10" s="459">
        <f>SUM(J10+M10)</f>
        <v>8271742</v>
      </c>
      <c r="O10" s="375"/>
    </row>
    <row r="11" spans="1:15" ht="24" customHeight="1" x14ac:dyDescent="0.3">
      <c r="A11" s="462" t="s">
        <v>333</v>
      </c>
      <c r="B11" s="463" t="s">
        <v>113</v>
      </c>
      <c r="C11" s="458"/>
      <c r="D11" s="458"/>
      <c r="E11" s="458"/>
      <c r="F11" s="458">
        <f>SUM(D11:E11)</f>
        <v>0</v>
      </c>
      <c r="G11" s="459">
        <f>SUM(C11+F11)</f>
        <v>0</v>
      </c>
      <c r="H11" s="466" t="s">
        <v>334</v>
      </c>
      <c r="I11" s="467" t="s">
        <v>261</v>
      </c>
      <c r="J11" s="465">
        <v>0</v>
      </c>
      <c r="K11" s="465">
        <v>210270</v>
      </c>
      <c r="L11" s="458"/>
      <c r="M11" s="458">
        <f>SUM(K11:L11)</f>
        <v>210270</v>
      </c>
      <c r="N11" s="459">
        <f>SUM(J11+M11)</f>
        <v>210270</v>
      </c>
      <c r="O11" s="375"/>
    </row>
    <row r="12" spans="1:15" ht="24" customHeight="1" thickBot="1" x14ac:dyDescent="0.35">
      <c r="A12" s="456"/>
      <c r="B12" s="457"/>
      <c r="C12" s="468"/>
      <c r="D12" s="458"/>
      <c r="E12" s="461"/>
      <c r="F12" s="458">
        <f>SUM(D12:E12)</f>
        <v>0</v>
      </c>
      <c r="G12" s="459">
        <f>SUM(C12+F12)</f>
        <v>0</v>
      </c>
      <c r="H12" s="462" t="s">
        <v>335</v>
      </c>
      <c r="I12" s="463" t="s">
        <v>336</v>
      </c>
      <c r="J12" s="458">
        <v>4000</v>
      </c>
      <c r="K12" s="458">
        <v>8719340</v>
      </c>
      <c r="L12" s="458"/>
      <c r="M12" s="458">
        <f>SUM(K12:L12)</f>
        <v>8719340</v>
      </c>
      <c r="N12" s="459">
        <f>SUM(J12+M12)</f>
        <v>8723340</v>
      </c>
      <c r="O12" s="375"/>
    </row>
    <row r="13" spans="1:15" ht="24" customHeight="1" thickBot="1" x14ac:dyDescent="0.35">
      <c r="A13" s="469"/>
      <c r="B13" s="389" t="s">
        <v>234</v>
      </c>
      <c r="C13" s="470">
        <f t="shared" ref="C13:D13" si="0">SUM(C8:C12)</f>
        <v>1999313</v>
      </c>
      <c r="D13" s="470">
        <f t="shared" si="0"/>
        <v>26008271</v>
      </c>
      <c r="E13" s="470">
        <f>SUM(E8:E12)</f>
        <v>0</v>
      </c>
      <c r="F13" s="470">
        <f>SUM(F8:F12)</f>
        <v>26008271</v>
      </c>
      <c r="G13" s="470">
        <f>SUM(G8:G12)</f>
        <v>28007584</v>
      </c>
      <c r="H13" s="469"/>
      <c r="I13" s="389" t="s">
        <v>241</v>
      </c>
      <c r="J13" s="470">
        <f>SUM(J8:J12)</f>
        <v>15746800</v>
      </c>
      <c r="K13" s="470">
        <f>SUM(K8:K12)</f>
        <v>13587520</v>
      </c>
      <c r="L13" s="470">
        <f>SUM(L8:L12)</f>
        <v>0</v>
      </c>
      <c r="M13" s="470">
        <f>SUM(M8:M12)</f>
        <v>13587520</v>
      </c>
      <c r="N13" s="470">
        <f>SUM(N8:N12)</f>
        <v>29334320</v>
      </c>
      <c r="O13" s="375"/>
    </row>
    <row r="14" spans="1:15" s="383" customFormat="1" ht="24" customHeight="1" x14ac:dyDescent="0.3">
      <c r="A14" s="456" t="s">
        <v>337</v>
      </c>
      <c r="B14" s="463" t="s">
        <v>71</v>
      </c>
      <c r="C14" s="458"/>
      <c r="D14" s="458"/>
      <c r="E14" s="458"/>
      <c r="F14" s="458">
        <f>SUM(D14:E14)</f>
        <v>0</v>
      </c>
      <c r="G14" s="459">
        <f>SUM(C14+F14)</f>
        <v>0</v>
      </c>
      <c r="H14" s="471" t="s">
        <v>338</v>
      </c>
      <c r="I14" s="472" t="s">
        <v>149</v>
      </c>
      <c r="J14" s="473">
        <v>72863</v>
      </c>
      <c r="K14" s="473">
        <v>135542</v>
      </c>
      <c r="L14" s="473"/>
      <c r="M14" s="458">
        <f>SUM(K14:L14)</f>
        <v>135542</v>
      </c>
      <c r="N14" s="459">
        <f>SUM(J14+M14)</f>
        <v>208405</v>
      </c>
      <c r="O14" s="375"/>
    </row>
    <row r="15" spans="1:15" ht="24" customHeight="1" x14ac:dyDescent="0.3">
      <c r="A15" s="456" t="s">
        <v>339</v>
      </c>
      <c r="B15" s="463" t="s">
        <v>70</v>
      </c>
      <c r="C15" s="458"/>
      <c r="D15" s="458">
        <v>1000000</v>
      </c>
      <c r="E15" s="458"/>
      <c r="F15" s="458">
        <f>SUM(D15:E15)</f>
        <v>1000000</v>
      </c>
      <c r="G15" s="459">
        <f>SUM(C15+F15)</f>
        <v>1000000</v>
      </c>
      <c r="H15" s="456" t="s">
        <v>340</v>
      </c>
      <c r="I15" s="463" t="s">
        <v>262</v>
      </c>
      <c r="J15" s="465"/>
      <c r="K15" s="465">
        <v>110000</v>
      </c>
      <c r="L15" s="465"/>
      <c r="M15" s="458">
        <f>SUM(K15:L15)</f>
        <v>110000</v>
      </c>
      <c r="N15" s="459">
        <f>SUM(J15+M15)</f>
        <v>110000</v>
      </c>
      <c r="O15" s="375"/>
    </row>
    <row r="16" spans="1:15" ht="24" customHeight="1" thickBot="1" x14ac:dyDescent="0.35">
      <c r="A16" s="456" t="s">
        <v>341</v>
      </c>
      <c r="B16" s="463" t="s">
        <v>263</v>
      </c>
      <c r="C16" s="458"/>
      <c r="D16" s="458">
        <v>8000</v>
      </c>
      <c r="E16" s="461"/>
      <c r="F16" s="458">
        <f>SUM(D16:E16)</f>
        <v>8000</v>
      </c>
      <c r="G16" s="459">
        <f>SUM(C16+F16)</f>
        <v>8000</v>
      </c>
      <c r="H16" s="466" t="s">
        <v>342</v>
      </c>
      <c r="I16" s="474" t="s">
        <v>264</v>
      </c>
      <c r="J16" s="461"/>
      <c r="K16" s="461">
        <v>51200</v>
      </c>
      <c r="L16" s="458"/>
      <c r="M16" s="458">
        <f>SUM(K16:L16)</f>
        <v>51200</v>
      </c>
      <c r="N16" s="459">
        <f>SUM(J16+M16)</f>
        <v>51200</v>
      </c>
      <c r="O16" s="375"/>
    </row>
    <row r="17" spans="1:16" ht="24" customHeight="1" thickBot="1" x14ac:dyDescent="0.35">
      <c r="A17" s="469"/>
      <c r="B17" s="389" t="s">
        <v>235</v>
      </c>
      <c r="C17" s="470">
        <f>SUM(C14:C16)</f>
        <v>0</v>
      </c>
      <c r="D17" s="470">
        <f>SUM(D14:D16)</f>
        <v>1008000</v>
      </c>
      <c r="E17" s="470">
        <f>SUM(E14:E16)</f>
        <v>0</v>
      </c>
      <c r="F17" s="470">
        <f>SUM(F14:F16)</f>
        <v>1008000</v>
      </c>
      <c r="G17" s="470">
        <f>SUM(G14:G16)</f>
        <v>1008000</v>
      </c>
      <c r="H17" s="469"/>
      <c r="I17" s="384" t="s">
        <v>242</v>
      </c>
      <c r="J17" s="470">
        <f>SUM(J14:J16)</f>
        <v>72863</v>
      </c>
      <c r="K17" s="470">
        <f>SUM(K14:K16)</f>
        <v>296742</v>
      </c>
      <c r="L17" s="470">
        <f>SUM(L14:L16)</f>
        <v>0</v>
      </c>
      <c r="M17" s="470">
        <f>SUM(M14:M16)</f>
        <v>296742</v>
      </c>
      <c r="N17" s="470">
        <f>SUM(N14:N16)</f>
        <v>369605</v>
      </c>
    </row>
    <row r="18" spans="1:16" ht="24" customHeight="1" thickBot="1" x14ac:dyDescent="0.35">
      <c r="A18" s="469"/>
      <c r="B18" s="384" t="s">
        <v>236</v>
      </c>
      <c r="C18" s="470">
        <f>+C13+C17</f>
        <v>1999313</v>
      </c>
      <c r="D18" s="470">
        <f>D13+D17</f>
        <v>27016271</v>
      </c>
      <c r="E18" s="470">
        <f>+E13+E17</f>
        <v>0</v>
      </c>
      <c r="F18" s="470">
        <f>F13+F17</f>
        <v>27016271</v>
      </c>
      <c r="G18" s="470">
        <f>SUM(G13+G17)</f>
        <v>29015584</v>
      </c>
      <c r="H18" s="469"/>
      <c r="I18" s="389" t="s">
        <v>243</v>
      </c>
      <c r="J18" s="470">
        <f>SUM(J17,J13)</f>
        <v>15819663</v>
      </c>
      <c r="K18" s="470">
        <f>SUM(K17,K13)</f>
        <v>13884262</v>
      </c>
      <c r="L18" s="470">
        <f>+L13+L17</f>
        <v>0</v>
      </c>
      <c r="M18" s="470">
        <f>SUM(M13+M17)</f>
        <v>13884262</v>
      </c>
      <c r="N18" s="470">
        <f>SUM(N17,N13)</f>
        <v>29703925</v>
      </c>
    </row>
    <row r="19" spans="1:16" ht="24" customHeight="1" thickBot="1" x14ac:dyDescent="0.35">
      <c r="A19" s="460" t="s">
        <v>343</v>
      </c>
      <c r="B19" s="475" t="s">
        <v>237</v>
      </c>
      <c r="C19" s="476"/>
      <c r="D19" s="477">
        <v>1090095</v>
      </c>
      <c r="E19" s="477"/>
      <c r="F19" s="458">
        <f>SUM(D19:E19)</f>
        <v>1090095</v>
      </c>
      <c r="G19" s="459">
        <f>SUM(C19+F19)</f>
        <v>1090095</v>
      </c>
      <c r="H19" s="478" t="s">
        <v>344</v>
      </c>
      <c r="I19" s="394" t="s">
        <v>244</v>
      </c>
      <c r="J19" s="465"/>
      <c r="K19" s="465">
        <v>401754</v>
      </c>
      <c r="L19" s="479"/>
      <c r="M19" s="458">
        <f>SUM(K19:L19)</f>
        <v>401754</v>
      </c>
      <c r="N19" s="459">
        <f>SUM(J19+M19)</f>
        <v>401754</v>
      </c>
    </row>
    <row r="20" spans="1:16" ht="49.5" customHeight="1" thickBot="1" x14ac:dyDescent="0.35">
      <c r="A20" s="469"/>
      <c r="B20" s="389" t="s">
        <v>238</v>
      </c>
      <c r="C20" s="470">
        <f>SUM(C18:C19)</f>
        <v>1999313</v>
      </c>
      <c r="D20" s="470">
        <f>SUM(D18:D19)</f>
        <v>28106366</v>
      </c>
      <c r="E20" s="470">
        <f>+E18+E19</f>
        <v>0</v>
      </c>
      <c r="F20" s="470">
        <f>SUM(F18:F19)</f>
        <v>28106366</v>
      </c>
      <c r="G20" s="470">
        <f>SUM(G18:G19)</f>
        <v>30105679</v>
      </c>
      <c r="H20" s="469"/>
      <c r="I20" s="389" t="s">
        <v>245</v>
      </c>
      <c r="J20" s="470">
        <f>SUM(J18:J19)</f>
        <v>15819663</v>
      </c>
      <c r="K20" s="470">
        <f>SUM(K18:K19)</f>
        <v>14286016</v>
      </c>
      <c r="L20" s="470">
        <f>SUM(L18:L19)</f>
        <v>0</v>
      </c>
      <c r="M20" s="470">
        <f>SUM(M18:M19)</f>
        <v>14286016</v>
      </c>
      <c r="N20" s="470">
        <f>SUM(N18:N19)</f>
        <v>30105679</v>
      </c>
      <c r="P20" s="480"/>
    </row>
    <row r="22" spans="1:16" x14ac:dyDescent="0.25">
      <c r="F22" s="480"/>
      <c r="G22" s="480"/>
      <c r="M22" s="480"/>
      <c r="N22" s="480"/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5" orientation="landscape" r:id="rId1"/>
  <headerFooter alignWithMargins="0">
    <oddHeader xml:space="preserve">&amp;R&amp;"Times New Roman CE,Félkövér"&amp;16 &amp;12 1. melléklet a 4/2025. (II.28.) önkormányzati &amp;"-,Félkövér"rendelethez&amp;16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1"/>
  <dimension ref="A1:D45"/>
  <sheetViews>
    <sheetView zoomScaleNormal="100" workbookViewId="0">
      <selection activeCell="B9" sqref="B9"/>
    </sheetView>
  </sheetViews>
  <sheetFormatPr defaultRowHeight="15.75" x14ac:dyDescent="0.25"/>
  <cols>
    <col min="1" max="1" width="90.1640625" style="180" customWidth="1"/>
    <col min="2" max="2" width="29.6640625" style="180" bestFit="1" customWidth="1"/>
    <col min="3" max="3" width="39.33203125" style="180" customWidth="1"/>
    <col min="4" max="4" width="38.33203125" style="180" bestFit="1" customWidth="1"/>
    <col min="5" max="16384" width="9.33203125" style="180"/>
  </cols>
  <sheetData>
    <row r="1" spans="1:4" x14ac:dyDescent="0.25">
      <c r="A1" s="179"/>
      <c r="B1" s="179"/>
      <c r="C1" s="179"/>
      <c r="D1" s="179"/>
    </row>
    <row r="2" spans="1:4" ht="21" x14ac:dyDescent="0.35">
      <c r="A2" s="972" t="s">
        <v>56</v>
      </c>
      <c r="B2" s="972"/>
      <c r="C2" s="972"/>
      <c r="D2" s="972"/>
    </row>
    <row r="3" spans="1:4" x14ac:dyDescent="0.25">
      <c r="A3" s="179"/>
      <c r="B3" s="179"/>
      <c r="C3" s="179"/>
      <c r="D3" s="179"/>
    </row>
    <row r="4" spans="1:4" ht="19.5" thickBot="1" x14ac:dyDescent="0.35">
      <c r="A4" s="70" t="s">
        <v>38</v>
      </c>
      <c r="B4" s="70"/>
      <c r="C4" s="70"/>
      <c r="D4" s="181" t="s">
        <v>216</v>
      </c>
    </row>
    <row r="5" spans="1:4" x14ac:dyDescent="0.25">
      <c r="A5" s="182" t="s">
        <v>167</v>
      </c>
      <c r="B5" s="16" t="s">
        <v>437</v>
      </c>
      <c r="C5" s="16" t="s">
        <v>686</v>
      </c>
      <c r="D5" s="16" t="s">
        <v>476</v>
      </c>
    </row>
    <row r="6" spans="1:4" ht="20.25" customHeight="1" thickBot="1" x14ac:dyDescent="0.3">
      <c r="A6" s="183"/>
      <c r="B6" s="17" t="s">
        <v>353</v>
      </c>
      <c r="C6" s="17" t="s">
        <v>368</v>
      </c>
      <c r="D6" s="17" t="s">
        <v>353</v>
      </c>
    </row>
    <row r="7" spans="1:4" s="47" customFormat="1" ht="21.75" thickBot="1" x14ac:dyDescent="0.4">
      <c r="A7" s="573" t="s">
        <v>581</v>
      </c>
      <c r="B7" s="521">
        <v>1557335</v>
      </c>
      <c r="C7" s="521">
        <v>1843790</v>
      </c>
      <c r="D7" s="521">
        <f>1557335-81000+81000-24828+116909+58119+10129</f>
        <v>1717664</v>
      </c>
    </row>
    <row r="8" spans="1:4" ht="21" x14ac:dyDescent="0.35">
      <c r="A8" s="185" t="s">
        <v>651</v>
      </c>
      <c r="B8" s="187"/>
      <c r="C8" s="186"/>
      <c r="D8" s="187"/>
    </row>
    <row r="9" spans="1:4" ht="21" x14ac:dyDescent="0.35">
      <c r="A9" s="528" t="s">
        <v>579</v>
      </c>
      <c r="B9" s="188">
        <f>150000+100000-50000-50000+75000+230000+34000</f>
        <v>489000</v>
      </c>
      <c r="C9" s="188">
        <v>458793</v>
      </c>
      <c r="D9" s="188">
        <f>150000+100000-50000-50000+75000+230000+34000-339000+34000+75000-34500-19000-1000-500</f>
        <v>204000</v>
      </c>
    </row>
    <row r="10" spans="1:4" ht="21" x14ac:dyDescent="0.35">
      <c r="A10" s="184" t="s">
        <v>498</v>
      </c>
      <c r="B10" s="188">
        <f>142000+39272</f>
        <v>181272</v>
      </c>
      <c r="C10" s="188">
        <v>181272</v>
      </c>
      <c r="D10" s="188">
        <f>142000+39272-14000</f>
        <v>167272</v>
      </c>
    </row>
    <row r="11" spans="1:4" ht="33" x14ac:dyDescent="0.35">
      <c r="A11" s="586" t="s">
        <v>484</v>
      </c>
      <c r="B11" s="156"/>
      <c r="C11" s="156">
        <v>15000</v>
      </c>
      <c r="D11" s="156">
        <f>15000-7000</f>
        <v>8000</v>
      </c>
    </row>
    <row r="12" spans="1:4" ht="21" x14ac:dyDescent="0.35">
      <c r="A12" s="189" t="s">
        <v>389</v>
      </c>
      <c r="B12" s="156">
        <v>2000</v>
      </c>
      <c r="C12" s="156">
        <v>2000</v>
      </c>
      <c r="D12" s="156">
        <v>2000</v>
      </c>
    </row>
    <row r="13" spans="1:4" ht="21" x14ac:dyDescent="0.35">
      <c r="A13" s="134" t="s">
        <v>271</v>
      </c>
      <c r="B13" s="156">
        <f>1555+500</f>
        <v>2055</v>
      </c>
      <c r="C13" s="156">
        <v>2154</v>
      </c>
      <c r="D13" s="156">
        <f>1555+500</f>
        <v>2055</v>
      </c>
    </row>
    <row r="14" spans="1:4" ht="21" x14ac:dyDescent="0.35">
      <c r="A14" s="134" t="s">
        <v>20</v>
      </c>
      <c r="B14" s="156">
        <v>2500</v>
      </c>
      <c r="C14" s="156">
        <v>2500</v>
      </c>
      <c r="D14" s="156">
        <v>2500</v>
      </c>
    </row>
    <row r="15" spans="1:4" ht="21" x14ac:dyDescent="0.35">
      <c r="A15" s="134" t="s">
        <v>18</v>
      </c>
      <c r="B15" s="156">
        <f>500+2000-500</f>
        <v>2000</v>
      </c>
      <c r="C15" s="156">
        <v>0</v>
      </c>
      <c r="D15" s="156">
        <v>1000</v>
      </c>
    </row>
    <row r="16" spans="1:4" ht="21" x14ac:dyDescent="0.35">
      <c r="A16" s="134" t="s">
        <v>98</v>
      </c>
      <c r="B16" s="156">
        <f>6500+2500+2000</f>
        <v>11000</v>
      </c>
      <c r="C16" s="156">
        <v>11000</v>
      </c>
      <c r="D16" s="156">
        <f>6500+2500+2000-3000+3000</f>
        <v>11000</v>
      </c>
    </row>
    <row r="17" spans="1:4" ht="39" customHeight="1" x14ac:dyDescent="0.35">
      <c r="A17" s="134" t="s">
        <v>395</v>
      </c>
      <c r="B17" s="156">
        <v>10000</v>
      </c>
      <c r="C17" s="156">
        <v>10000</v>
      </c>
      <c r="D17" s="156">
        <f>10000-8000+8000-2000</f>
        <v>8000</v>
      </c>
    </row>
    <row r="18" spans="1:4" ht="33" x14ac:dyDescent="0.35">
      <c r="A18" s="190" t="s">
        <v>394</v>
      </c>
      <c r="B18" s="156">
        <f>4500-1200</f>
        <v>3300</v>
      </c>
      <c r="C18" s="156">
        <v>3325</v>
      </c>
      <c r="D18" s="156">
        <f>4500-1200</f>
        <v>3300</v>
      </c>
    </row>
    <row r="19" spans="1:4" ht="21" x14ac:dyDescent="0.35">
      <c r="A19" s="191" t="s">
        <v>0</v>
      </c>
      <c r="B19" s="156">
        <f>57000+13000-10000+20000</f>
        <v>80000</v>
      </c>
      <c r="C19" s="156">
        <v>80007</v>
      </c>
      <c r="D19" s="156">
        <f>57000+13000-10000+20000-30000</f>
        <v>50000</v>
      </c>
    </row>
    <row r="20" spans="1:4" ht="21" x14ac:dyDescent="0.35">
      <c r="A20" s="191" t="s">
        <v>393</v>
      </c>
      <c r="B20" s="156">
        <v>3000</v>
      </c>
      <c r="C20" s="156">
        <v>39069</v>
      </c>
      <c r="D20" s="156">
        <v>3000</v>
      </c>
    </row>
    <row r="21" spans="1:4" ht="21" x14ac:dyDescent="0.35">
      <c r="A21" s="191" t="s">
        <v>467</v>
      </c>
      <c r="B21" s="156"/>
      <c r="C21" s="156">
        <v>50</v>
      </c>
      <c r="D21" s="156"/>
    </row>
    <row r="22" spans="1:4" ht="21" x14ac:dyDescent="0.35">
      <c r="A22" s="184" t="s">
        <v>267</v>
      </c>
      <c r="B22" s="188">
        <v>5000</v>
      </c>
      <c r="C22" s="188">
        <v>0</v>
      </c>
      <c r="D22" s="188">
        <v>5000</v>
      </c>
    </row>
    <row r="23" spans="1:4" ht="21" x14ac:dyDescent="0.35">
      <c r="A23" s="191" t="s">
        <v>273</v>
      </c>
      <c r="B23" s="156">
        <f>500+160</f>
        <v>660</v>
      </c>
      <c r="C23" s="156">
        <v>660</v>
      </c>
      <c r="D23" s="156">
        <f>500+160-660</f>
        <v>0</v>
      </c>
    </row>
    <row r="24" spans="1:4" ht="48.75" x14ac:dyDescent="0.35">
      <c r="A24" s="191" t="s">
        <v>560</v>
      </c>
      <c r="B24" s="156">
        <v>10000</v>
      </c>
      <c r="C24" s="156">
        <v>10000</v>
      </c>
      <c r="D24" s="156">
        <f>10000-10000+5000+2000</f>
        <v>7000</v>
      </c>
    </row>
    <row r="25" spans="1:4" ht="21" x14ac:dyDescent="0.35">
      <c r="A25" s="191" t="s">
        <v>315</v>
      </c>
      <c r="B25" s="156">
        <f>4500+1940+1823</f>
        <v>8263</v>
      </c>
      <c r="C25" s="156">
        <v>10809</v>
      </c>
      <c r="D25" s="156">
        <f>4500+1940+1823</f>
        <v>8263</v>
      </c>
    </row>
    <row r="26" spans="1:4" ht="21" x14ac:dyDescent="0.35">
      <c r="A26" s="191" t="s">
        <v>539</v>
      </c>
      <c r="B26" s="156">
        <v>10000</v>
      </c>
      <c r="C26" s="156">
        <v>10000</v>
      </c>
      <c r="D26" s="156">
        <f>10000-10000</f>
        <v>0</v>
      </c>
    </row>
    <row r="27" spans="1:4" ht="21" x14ac:dyDescent="0.35">
      <c r="A27" s="191" t="s">
        <v>367</v>
      </c>
      <c r="B27" s="156">
        <f>3000</f>
        <v>3000</v>
      </c>
      <c r="C27" s="156">
        <v>3000</v>
      </c>
      <c r="D27" s="156">
        <f>3000</f>
        <v>3000</v>
      </c>
    </row>
    <row r="28" spans="1:4" ht="21" x14ac:dyDescent="0.35">
      <c r="A28" s="191" t="s">
        <v>522</v>
      </c>
      <c r="B28" s="156"/>
      <c r="C28" s="156">
        <v>200</v>
      </c>
      <c r="D28" s="156"/>
    </row>
    <row r="29" spans="1:4" ht="33" x14ac:dyDescent="0.35">
      <c r="A29" s="191" t="s">
        <v>523</v>
      </c>
      <c r="B29" s="156"/>
      <c r="C29" s="156">
        <v>548</v>
      </c>
      <c r="D29" s="156"/>
    </row>
    <row r="30" spans="1:4" ht="21" x14ac:dyDescent="0.35">
      <c r="A30" s="191" t="s">
        <v>636</v>
      </c>
      <c r="B30" s="156"/>
      <c r="C30" s="156">
        <v>400</v>
      </c>
      <c r="D30" s="156"/>
    </row>
    <row r="31" spans="1:4" ht="48.75" x14ac:dyDescent="0.35">
      <c r="A31" s="191" t="s">
        <v>461</v>
      </c>
      <c r="B31" s="156"/>
      <c r="C31" s="156">
        <v>1400</v>
      </c>
      <c r="D31" s="156"/>
    </row>
    <row r="32" spans="1:4" ht="33" x14ac:dyDescent="0.35">
      <c r="A32" s="136" t="s">
        <v>693</v>
      </c>
      <c r="B32" s="156"/>
      <c r="C32" s="156">
        <v>2000</v>
      </c>
      <c r="D32" s="156"/>
    </row>
    <row r="33" spans="1:4" ht="21" x14ac:dyDescent="0.35">
      <c r="A33" s="191" t="s">
        <v>694</v>
      </c>
      <c r="B33" s="156"/>
      <c r="C33" s="156">
        <v>600</v>
      </c>
      <c r="D33" s="156"/>
    </row>
    <row r="34" spans="1:4" ht="48.75" x14ac:dyDescent="0.35">
      <c r="A34" s="191" t="s">
        <v>485</v>
      </c>
      <c r="B34" s="192"/>
      <c r="C34" s="192">
        <v>12790</v>
      </c>
      <c r="D34" s="192"/>
    </row>
    <row r="35" spans="1:4" ht="21.75" thickBot="1" x14ac:dyDescent="0.4">
      <c r="A35" s="194" t="s">
        <v>650</v>
      </c>
      <c r="B35" s="195">
        <f>SUM(B9:B34)</f>
        <v>823050</v>
      </c>
      <c r="C35" s="195">
        <f>SUM(C9:C34)</f>
        <v>857577</v>
      </c>
      <c r="D35" s="195">
        <f>SUM(D9:D34)</f>
        <v>485390</v>
      </c>
    </row>
    <row r="36" spans="1:4" s="198" customFormat="1" ht="21.75" thickBot="1" x14ac:dyDescent="0.4">
      <c r="A36" s="196" t="s">
        <v>293</v>
      </c>
      <c r="B36" s="197">
        <f>B7+B35</f>
        <v>2380385</v>
      </c>
      <c r="C36" s="197">
        <f>C7+C35</f>
        <v>2701367</v>
      </c>
      <c r="D36" s="197">
        <f>D7+D35</f>
        <v>2203054</v>
      </c>
    </row>
    <row r="38" spans="1:4" ht="19.5" thickBot="1" x14ac:dyDescent="0.35">
      <c r="A38" s="70" t="s">
        <v>83</v>
      </c>
      <c r="B38" s="70"/>
      <c r="C38" s="70"/>
      <c r="D38" s="70"/>
    </row>
    <row r="39" spans="1:4" x14ac:dyDescent="0.25">
      <c r="A39" s="199" t="s">
        <v>167</v>
      </c>
      <c r="B39" s="16" t="s">
        <v>437</v>
      </c>
      <c r="C39" s="16" t="s">
        <v>686</v>
      </c>
      <c r="D39" s="16" t="s">
        <v>476</v>
      </c>
    </row>
    <row r="40" spans="1:4" ht="16.5" thickBot="1" x14ac:dyDescent="0.3">
      <c r="A40" s="200"/>
      <c r="B40" s="17" t="s">
        <v>353</v>
      </c>
      <c r="C40" s="17" t="s">
        <v>368</v>
      </c>
      <c r="D40" s="17" t="s">
        <v>353</v>
      </c>
    </row>
    <row r="41" spans="1:4" ht="21.75" thickBot="1" x14ac:dyDescent="0.4">
      <c r="A41" s="530" t="s">
        <v>581</v>
      </c>
      <c r="B41" s="193">
        <v>0</v>
      </c>
      <c r="C41" s="193">
        <v>109880</v>
      </c>
      <c r="D41" s="193">
        <v>0</v>
      </c>
    </row>
    <row r="42" spans="1:4" ht="21.75" thickBot="1" x14ac:dyDescent="0.4">
      <c r="A42" s="202"/>
      <c r="B42" s="203"/>
      <c r="C42" s="203"/>
      <c r="D42" s="203"/>
    </row>
    <row r="43" spans="1:4" ht="21.75" thickBot="1" x14ac:dyDescent="0.4">
      <c r="A43" s="204" t="s">
        <v>294</v>
      </c>
      <c r="B43" s="205">
        <f>+B41+B36</f>
        <v>2380385</v>
      </c>
      <c r="C43" s="205">
        <f>+C41+C36</f>
        <v>2811247</v>
      </c>
      <c r="D43" s="205">
        <f>+D41+D36</f>
        <v>2203054</v>
      </c>
    </row>
    <row r="45" spans="1:4" x14ac:dyDescent="0.25">
      <c r="A45" s="51" t="s">
        <v>76</v>
      </c>
      <c r="B45" s="51"/>
      <c r="C45" s="51"/>
      <c r="D45" s="218"/>
    </row>
  </sheetData>
  <customSheetViews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3" orientation="portrait" r:id="rId3"/>
  <headerFooter alignWithMargins="0">
    <oddHeader xml:space="preserve">&amp;R&amp;"-,Félkövér"&amp;12 
10. melléklet a 4/2025. (II.28.) önkormányzati rendelethe&amp;"Times New Roman CE,Félkövér"z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2"/>
  <dimension ref="A1:D34"/>
  <sheetViews>
    <sheetView zoomScale="89" zoomScaleNormal="89" workbookViewId="0">
      <selection activeCell="B9" sqref="B9"/>
    </sheetView>
  </sheetViews>
  <sheetFormatPr defaultRowHeight="15.75" x14ac:dyDescent="0.25"/>
  <cols>
    <col min="1" max="1" width="91.1640625" style="47" customWidth="1"/>
    <col min="2" max="2" width="29.5" style="47" bestFit="1" customWidth="1"/>
    <col min="3" max="3" width="39.1640625" style="47" customWidth="1"/>
    <col min="4" max="4" width="38.1640625" style="47" bestFit="1" customWidth="1"/>
    <col min="5" max="16384" width="9.33203125" style="47"/>
  </cols>
  <sheetData>
    <row r="1" spans="1:4" x14ac:dyDescent="0.25">
      <c r="A1" s="45"/>
      <c r="B1" s="45"/>
      <c r="C1" s="45"/>
      <c r="D1" s="45"/>
    </row>
    <row r="2" spans="1:4" ht="21" x14ac:dyDescent="0.35">
      <c r="A2" s="971" t="s">
        <v>57</v>
      </c>
      <c r="B2" s="971"/>
      <c r="C2" s="971"/>
      <c r="D2" s="971"/>
    </row>
    <row r="3" spans="1:4" x14ac:dyDescent="0.25">
      <c r="A3" s="45"/>
      <c r="B3" s="45"/>
      <c r="C3" s="45"/>
      <c r="D3" s="45"/>
    </row>
    <row r="4" spans="1:4" ht="19.5" thickBot="1" x14ac:dyDescent="0.35">
      <c r="A4" s="6" t="s">
        <v>38</v>
      </c>
      <c r="B4" s="6"/>
      <c r="C4" s="6"/>
      <c r="D4" s="127" t="s">
        <v>216</v>
      </c>
    </row>
    <row r="5" spans="1:4" x14ac:dyDescent="0.25">
      <c r="A5" s="128" t="s">
        <v>167</v>
      </c>
      <c r="B5" s="16" t="s">
        <v>437</v>
      </c>
      <c r="C5" s="16" t="s">
        <v>686</v>
      </c>
      <c r="D5" s="16" t="s">
        <v>476</v>
      </c>
    </row>
    <row r="6" spans="1:4" ht="16.5" thickBot="1" x14ac:dyDescent="0.3">
      <c r="A6" s="129"/>
      <c r="B6" s="58" t="s">
        <v>353</v>
      </c>
      <c r="C6" s="58" t="s">
        <v>368</v>
      </c>
      <c r="D6" s="58" t="s">
        <v>353</v>
      </c>
    </row>
    <row r="7" spans="1:4" s="51" customFormat="1" ht="21.75" thickBot="1" x14ac:dyDescent="0.4">
      <c r="A7" s="579" t="s">
        <v>648</v>
      </c>
      <c r="B7" s="521">
        <v>867213</v>
      </c>
      <c r="C7" s="521">
        <v>1108530</v>
      </c>
      <c r="D7" s="521">
        <f>867213-38000+11527+19490-15408</f>
        <v>844822</v>
      </c>
    </row>
    <row r="8" spans="1:4" ht="21" x14ac:dyDescent="0.35">
      <c r="A8" s="580" t="s">
        <v>652</v>
      </c>
      <c r="B8" s="578"/>
      <c r="C8" s="578"/>
      <c r="D8" s="578"/>
    </row>
    <row r="9" spans="1:4" ht="21" x14ac:dyDescent="0.35">
      <c r="A9" s="146" t="s">
        <v>194</v>
      </c>
      <c r="B9" s="131">
        <f>10000+2000</f>
        <v>12000</v>
      </c>
      <c r="C9" s="131"/>
      <c r="D9" s="131">
        <f>10000+2000</f>
        <v>12000</v>
      </c>
    </row>
    <row r="10" spans="1:4" ht="21" x14ac:dyDescent="0.35">
      <c r="A10" s="135" t="s">
        <v>145</v>
      </c>
      <c r="B10" s="20">
        <v>800</v>
      </c>
      <c r="C10" s="23"/>
      <c r="D10" s="20">
        <v>500</v>
      </c>
    </row>
    <row r="11" spans="1:4" ht="21" x14ac:dyDescent="0.35">
      <c r="A11" s="134" t="s">
        <v>540</v>
      </c>
      <c r="B11" s="20">
        <v>500</v>
      </c>
      <c r="C11" s="23">
        <v>589</v>
      </c>
      <c r="D11" s="20">
        <f>500-500</f>
        <v>0</v>
      </c>
    </row>
    <row r="12" spans="1:4" ht="21" x14ac:dyDescent="0.35">
      <c r="A12" s="135" t="s">
        <v>268</v>
      </c>
      <c r="B12" s="20">
        <v>2485</v>
      </c>
      <c r="C12" s="23">
        <v>3512</v>
      </c>
      <c r="D12" s="20">
        <v>2485</v>
      </c>
    </row>
    <row r="13" spans="1:4" ht="21" x14ac:dyDescent="0.35">
      <c r="A13" s="135" t="s">
        <v>150</v>
      </c>
      <c r="B13" s="20">
        <f>2000+500</f>
        <v>2500</v>
      </c>
      <c r="C13" s="23">
        <v>2500</v>
      </c>
      <c r="D13" s="20">
        <f>2000+500</f>
        <v>2500</v>
      </c>
    </row>
    <row r="14" spans="1:4" ht="33" x14ac:dyDescent="0.35">
      <c r="A14" s="136" t="s">
        <v>475</v>
      </c>
      <c r="B14" s="20">
        <f>2000+500</f>
        <v>2500</v>
      </c>
      <c r="C14" s="23">
        <v>2500</v>
      </c>
      <c r="D14" s="20">
        <f>2000+500</f>
        <v>2500</v>
      </c>
    </row>
    <row r="15" spans="1:4" ht="21" x14ac:dyDescent="0.35">
      <c r="A15" s="135" t="s">
        <v>79</v>
      </c>
      <c r="B15" s="20">
        <v>3000</v>
      </c>
      <c r="C15" s="23">
        <v>2000</v>
      </c>
      <c r="D15" s="20">
        <f>3000-1500</f>
        <v>1500</v>
      </c>
    </row>
    <row r="16" spans="1:4" ht="21" x14ac:dyDescent="0.35">
      <c r="A16" s="135" t="s">
        <v>510</v>
      </c>
      <c r="B16" s="20">
        <f>6000-6000+6000</f>
        <v>6000</v>
      </c>
      <c r="C16" s="23">
        <v>6000</v>
      </c>
      <c r="D16" s="20">
        <f>6000-6000+6000-6000</f>
        <v>0</v>
      </c>
    </row>
    <row r="17" spans="1:4" ht="21" x14ac:dyDescent="0.35">
      <c r="A17" s="136" t="s">
        <v>576</v>
      </c>
      <c r="B17" s="20">
        <f>30000-15000-3000</f>
        <v>12000</v>
      </c>
      <c r="C17" s="23">
        <v>6979</v>
      </c>
      <c r="D17" s="20">
        <f>30000-15000-3000-12000</f>
        <v>0</v>
      </c>
    </row>
    <row r="18" spans="1:4" ht="21" x14ac:dyDescent="0.35">
      <c r="A18" s="136" t="s">
        <v>400</v>
      </c>
      <c r="B18" s="20">
        <v>37290</v>
      </c>
      <c r="C18" s="23">
        <v>40599</v>
      </c>
      <c r="D18" s="20">
        <f>37290+6780</f>
        <v>44070</v>
      </c>
    </row>
    <row r="19" spans="1:4" ht="21" x14ac:dyDescent="0.35">
      <c r="A19" s="136" t="s">
        <v>512</v>
      </c>
      <c r="B19" s="20">
        <v>2000</v>
      </c>
      <c r="C19" s="23">
        <v>2000</v>
      </c>
      <c r="D19" s="20">
        <f>2000-2000</f>
        <v>0</v>
      </c>
    </row>
    <row r="20" spans="1:4" ht="21" x14ac:dyDescent="0.35">
      <c r="A20" s="209" t="s">
        <v>405</v>
      </c>
      <c r="B20" s="20">
        <v>3000</v>
      </c>
      <c r="C20" s="23">
        <v>3819</v>
      </c>
      <c r="D20" s="20">
        <f>3000-3000+1500</f>
        <v>1500</v>
      </c>
    </row>
    <row r="21" spans="1:4" ht="21.75" thickBot="1" x14ac:dyDescent="0.4">
      <c r="A21" s="210" t="s">
        <v>653</v>
      </c>
      <c r="B21" s="37">
        <f>SUM(B9:B20)</f>
        <v>84075</v>
      </c>
      <c r="C21" s="37">
        <f>SUM(C9:C20)</f>
        <v>70498</v>
      </c>
      <c r="D21" s="37">
        <f>SUM(D9:D20)</f>
        <v>67055</v>
      </c>
    </row>
    <row r="22" spans="1:4" s="51" customFormat="1" ht="21.75" thickBot="1" x14ac:dyDescent="0.4">
      <c r="A22" s="211" t="s">
        <v>296</v>
      </c>
      <c r="B22" s="95">
        <f>B7+B21</f>
        <v>951288</v>
      </c>
      <c r="C22" s="95">
        <f t="shared" ref="C22:D22" si="0">C7+C21</f>
        <v>1179028</v>
      </c>
      <c r="D22" s="95">
        <f t="shared" si="0"/>
        <v>911877</v>
      </c>
    </row>
    <row r="25" spans="1:4" ht="19.5" thickBot="1" x14ac:dyDescent="0.35">
      <c r="A25" s="6" t="s">
        <v>83</v>
      </c>
      <c r="B25" s="6"/>
      <c r="C25" s="6"/>
      <c r="D25" s="6"/>
    </row>
    <row r="26" spans="1:4" x14ac:dyDescent="0.25">
      <c r="A26" s="128" t="s">
        <v>167</v>
      </c>
      <c r="B26" s="16" t="s">
        <v>437</v>
      </c>
      <c r="C26" s="16" t="s">
        <v>686</v>
      </c>
      <c r="D26" s="16" t="s">
        <v>476</v>
      </c>
    </row>
    <row r="27" spans="1:4" ht="16.5" thickBot="1" x14ac:dyDescent="0.3">
      <c r="A27" s="129"/>
      <c r="B27" s="58" t="s">
        <v>353</v>
      </c>
      <c r="C27" s="58" t="s">
        <v>368</v>
      </c>
      <c r="D27" s="58" t="s">
        <v>353</v>
      </c>
    </row>
    <row r="28" spans="1:4" ht="33.75" customHeight="1" x14ac:dyDescent="0.35">
      <c r="A28" s="206" t="s">
        <v>506</v>
      </c>
      <c r="B28" s="212">
        <v>1778</v>
      </c>
      <c r="C28" s="212"/>
      <c r="D28" s="212">
        <f>1778-1778</f>
        <v>0</v>
      </c>
    </row>
    <row r="29" spans="1:4" ht="33.75" customHeight="1" thickBot="1" x14ac:dyDescent="0.4">
      <c r="A29" s="206" t="s">
        <v>507</v>
      </c>
      <c r="B29" s="213">
        <v>250</v>
      </c>
      <c r="C29" s="173"/>
      <c r="D29" s="213">
        <f>250-250</f>
        <v>0</v>
      </c>
    </row>
    <row r="30" spans="1:4" ht="21.75" thickBot="1" x14ac:dyDescent="0.4">
      <c r="A30" s="174" t="s">
        <v>297</v>
      </c>
      <c r="B30" s="38">
        <f>SUM(B28:B29)</f>
        <v>2028</v>
      </c>
      <c r="C30" s="38">
        <v>6403</v>
      </c>
      <c r="D30" s="38">
        <f>SUM(D28:D29)</f>
        <v>0</v>
      </c>
    </row>
    <row r="31" spans="1:4" ht="21.75" thickBot="1" x14ac:dyDescent="0.4">
      <c r="A31" s="176"/>
      <c r="B31" s="149"/>
      <c r="C31" s="149"/>
      <c r="D31" s="149"/>
    </row>
    <row r="32" spans="1:4" ht="21.75" thickBot="1" x14ac:dyDescent="0.4">
      <c r="A32" s="119" t="s">
        <v>298</v>
      </c>
      <c r="B32" s="38">
        <f>+B22+B30</f>
        <v>953316</v>
      </c>
      <c r="C32" s="38">
        <f>+C22+C30</f>
        <v>1185431</v>
      </c>
      <c r="D32" s="38">
        <f>+D22+D30</f>
        <v>911877</v>
      </c>
    </row>
    <row r="34" spans="1:4" x14ac:dyDescent="0.25">
      <c r="A34" s="51" t="s">
        <v>76</v>
      </c>
      <c r="B34" s="51"/>
      <c r="C34" s="51"/>
      <c r="D34" s="218"/>
    </row>
  </sheetData>
  <customSheetViews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3" orientation="portrait" r:id="rId3"/>
  <headerFooter alignWithMargins="0">
    <oddHeader xml:space="preserve">&amp;R&amp;"Times New Roman CE,Félkövér"&amp;12 
&amp;"-,Félkövér"11. melléklet a 4/2025. (II.28.) önkormányzati rendelethez&amp;"Times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3"/>
  <dimension ref="A1:D22"/>
  <sheetViews>
    <sheetView zoomScale="95" zoomScaleNormal="95" workbookViewId="0">
      <selection activeCell="B9" sqref="B9"/>
    </sheetView>
  </sheetViews>
  <sheetFormatPr defaultRowHeight="15.75" x14ac:dyDescent="0.25"/>
  <cols>
    <col min="1" max="1" width="99.6640625" style="47" customWidth="1"/>
    <col min="2" max="2" width="36.6640625" style="47" customWidth="1"/>
    <col min="3" max="3" width="35.5" style="47" customWidth="1"/>
    <col min="4" max="4" width="38.1640625" style="47" bestFit="1" customWidth="1"/>
    <col min="5" max="16384" width="9.33203125" style="47"/>
  </cols>
  <sheetData>
    <row r="1" spans="1:4" x14ac:dyDescent="0.25">
      <c r="A1" s="45"/>
      <c r="B1" s="45"/>
      <c r="C1" s="45"/>
      <c r="D1" s="45"/>
    </row>
    <row r="2" spans="1:4" ht="21" x14ac:dyDescent="0.35">
      <c r="A2" s="971" t="s">
        <v>301</v>
      </c>
      <c r="B2" s="971"/>
      <c r="C2" s="971"/>
      <c r="D2" s="971"/>
    </row>
    <row r="4" spans="1:4" ht="19.5" thickBot="1" x14ac:dyDescent="0.35">
      <c r="A4" s="6" t="s">
        <v>38</v>
      </c>
      <c r="B4" s="6"/>
      <c r="C4" s="6"/>
      <c r="D4" s="15" t="s">
        <v>216</v>
      </c>
    </row>
    <row r="5" spans="1:4" x14ac:dyDescent="0.25">
      <c r="A5" s="128" t="s">
        <v>167</v>
      </c>
      <c r="B5" s="16" t="s">
        <v>437</v>
      </c>
      <c r="C5" s="16" t="s">
        <v>686</v>
      </c>
      <c r="D5" s="16" t="s">
        <v>476</v>
      </c>
    </row>
    <row r="6" spans="1:4" ht="16.5" thickBot="1" x14ac:dyDescent="0.3">
      <c r="A6" s="151"/>
      <c r="B6" s="58" t="s">
        <v>353</v>
      </c>
      <c r="C6" s="58" t="s">
        <v>368</v>
      </c>
      <c r="D6" s="58" t="s">
        <v>353</v>
      </c>
    </row>
    <row r="7" spans="1:4" ht="21.75" thickBot="1" x14ac:dyDescent="0.4">
      <c r="A7" s="575" t="s">
        <v>649</v>
      </c>
      <c r="B7" s="521">
        <v>1713871</v>
      </c>
      <c r="C7" s="521">
        <v>1779167</v>
      </c>
      <c r="D7" s="521">
        <f>1713871+105000-700+13500-30539+46366+6028+104070+13529+8740</f>
        <v>1979865</v>
      </c>
    </row>
    <row r="8" spans="1:4" ht="21" x14ac:dyDescent="0.35">
      <c r="A8" s="581" t="s">
        <v>654</v>
      </c>
      <c r="B8" s="115"/>
      <c r="C8" s="177"/>
      <c r="D8" s="115"/>
    </row>
    <row r="9" spans="1:4" ht="21" x14ac:dyDescent="0.35">
      <c r="A9" s="574" t="s">
        <v>270</v>
      </c>
      <c r="B9" s="20">
        <v>241</v>
      </c>
      <c r="C9" s="515">
        <v>241</v>
      </c>
      <c r="D9" s="20">
        <v>241</v>
      </c>
    </row>
    <row r="10" spans="1:4" ht="21" x14ac:dyDescent="0.35">
      <c r="A10" s="135" t="s">
        <v>723</v>
      </c>
      <c r="B10" s="23"/>
      <c r="C10" s="572"/>
      <c r="D10" s="23">
        <v>10000</v>
      </c>
    </row>
    <row r="11" spans="1:4" ht="52.5" customHeight="1" thickBot="1" x14ac:dyDescent="0.4">
      <c r="A11" s="214" t="s">
        <v>128</v>
      </c>
      <c r="B11" s="23">
        <v>3000</v>
      </c>
      <c r="C11" s="215">
        <v>3000</v>
      </c>
      <c r="D11" s="23">
        <f>3000-3000</f>
        <v>0</v>
      </c>
    </row>
    <row r="12" spans="1:4" ht="21.75" thickBot="1" x14ac:dyDescent="0.4">
      <c r="A12" s="174" t="s">
        <v>655</v>
      </c>
      <c r="B12" s="38">
        <f>SUM(B9:B11)</f>
        <v>3241</v>
      </c>
      <c r="C12" s="38">
        <f>SUM(C9:C11)</f>
        <v>3241</v>
      </c>
      <c r="D12" s="38">
        <f>SUM(D9:D11)</f>
        <v>10241</v>
      </c>
    </row>
    <row r="13" spans="1:4" ht="21.75" thickBot="1" x14ac:dyDescent="0.4">
      <c r="A13" s="216" t="s">
        <v>299</v>
      </c>
      <c r="B13" s="95">
        <f>B7+B12</f>
        <v>1717112</v>
      </c>
      <c r="C13" s="95">
        <f t="shared" ref="C13:D13" si="0">C7+C12</f>
        <v>1782408</v>
      </c>
      <c r="D13" s="95">
        <f t="shared" si="0"/>
        <v>1990106</v>
      </c>
    </row>
    <row r="14" spans="1:4" x14ac:dyDescent="0.25">
      <c r="A14" s="54"/>
      <c r="B14" s="54"/>
      <c r="C14" s="54"/>
      <c r="D14" s="54"/>
    </row>
    <row r="15" spans="1:4" ht="19.5" thickBot="1" x14ac:dyDescent="0.35">
      <c r="A15" s="6" t="s">
        <v>83</v>
      </c>
      <c r="B15" s="6"/>
      <c r="C15" s="6"/>
      <c r="D15" s="6"/>
    </row>
    <row r="16" spans="1:4" x14ac:dyDescent="0.25">
      <c r="A16" s="144" t="s">
        <v>167</v>
      </c>
      <c r="B16" s="16" t="s">
        <v>437</v>
      </c>
      <c r="C16" s="16" t="s">
        <v>686</v>
      </c>
      <c r="D16" s="16" t="s">
        <v>476</v>
      </c>
    </row>
    <row r="17" spans="1:4" ht="16.5" thickBot="1" x14ac:dyDescent="0.3">
      <c r="A17" s="145"/>
      <c r="B17" s="17" t="s">
        <v>353</v>
      </c>
      <c r="C17" s="17" t="s">
        <v>368</v>
      </c>
      <c r="D17" s="17" t="s">
        <v>353</v>
      </c>
    </row>
    <row r="18" spans="1:4" ht="21.75" thickBot="1" x14ac:dyDescent="0.4">
      <c r="A18" s="530" t="s">
        <v>582</v>
      </c>
      <c r="B18" s="38">
        <v>0</v>
      </c>
      <c r="C18" s="38">
        <v>82564</v>
      </c>
      <c r="D18" s="38">
        <f>700</f>
        <v>700</v>
      </c>
    </row>
    <row r="19" spans="1:4" ht="21.75" thickBot="1" x14ac:dyDescent="0.4">
      <c r="A19" s="176"/>
      <c r="B19" s="149"/>
      <c r="C19" s="42"/>
      <c r="D19" s="42"/>
    </row>
    <row r="20" spans="1:4" ht="21.75" thickBot="1" x14ac:dyDescent="0.4">
      <c r="A20" s="119" t="s">
        <v>300</v>
      </c>
      <c r="B20" s="217">
        <f>B13+B18</f>
        <v>1717112</v>
      </c>
      <c r="C20" s="217">
        <f>C13+C18</f>
        <v>1864972</v>
      </c>
      <c r="D20" s="217">
        <f>D13+D18</f>
        <v>1990806</v>
      </c>
    </row>
    <row r="22" spans="1:4" x14ac:dyDescent="0.25">
      <c r="A22" s="51" t="s">
        <v>76</v>
      </c>
      <c r="B22" s="51"/>
      <c r="C22" s="51"/>
      <c r="D22" s="218"/>
    </row>
  </sheetData>
  <customSheetViews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9" orientation="portrait" r:id="rId3"/>
  <headerFooter alignWithMargins="0">
    <oddHeader xml:space="preserve">&amp;R&amp;"-,Félkövér"&amp;12 
12. melléklet a 4/2025. (II.28.) önkormányzati rendelethe&amp;"Times New Roman CE,Félkövér"z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4"/>
  <dimension ref="A2:E113"/>
  <sheetViews>
    <sheetView zoomScale="95" zoomScaleNormal="95" workbookViewId="0">
      <selection activeCell="B9" sqref="B9"/>
    </sheetView>
  </sheetViews>
  <sheetFormatPr defaultRowHeight="15.75" x14ac:dyDescent="0.25"/>
  <cols>
    <col min="1" max="1" width="111.6640625" style="253" customWidth="1"/>
    <col min="2" max="2" width="34.1640625" style="254" customWidth="1"/>
    <col min="3" max="3" width="41.1640625" style="254" customWidth="1"/>
    <col min="4" max="4" width="38.1640625" style="181" bestFit="1" customWidth="1"/>
    <col min="6" max="16384" width="9.33203125" style="219"/>
  </cols>
  <sheetData>
    <row r="2" spans="1:4" ht="21" x14ac:dyDescent="0.35">
      <c r="A2" s="972" t="s">
        <v>129</v>
      </c>
      <c r="B2" s="972"/>
      <c r="C2" s="972"/>
      <c r="D2" s="972"/>
    </row>
    <row r="3" spans="1:4" ht="19.5" thickBot="1" x14ac:dyDescent="0.35">
      <c r="A3" s="220" t="s">
        <v>38</v>
      </c>
      <c r="B3" s="221"/>
      <c r="C3" s="221"/>
      <c r="D3" s="222" t="s">
        <v>216</v>
      </c>
    </row>
    <row r="4" spans="1:4" x14ac:dyDescent="0.25">
      <c r="A4" s="182" t="s">
        <v>167</v>
      </c>
      <c r="B4" s="16" t="s">
        <v>437</v>
      </c>
      <c r="C4" s="16" t="s">
        <v>686</v>
      </c>
      <c r="D4" s="16" t="s">
        <v>476</v>
      </c>
    </row>
    <row r="5" spans="1:4" ht="16.5" thickBot="1" x14ac:dyDescent="0.3">
      <c r="A5" s="223"/>
      <c r="B5" s="58" t="s">
        <v>353</v>
      </c>
      <c r="C5" s="58" t="s">
        <v>368</v>
      </c>
      <c r="D5" s="58" t="s">
        <v>353</v>
      </c>
    </row>
    <row r="6" spans="1:4" s="51" customFormat="1" ht="21.75" thickBot="1" x14ac:dyDescent="0.4">
      <c r="A6" s="595" t="s">
        <v>583</v>
      </c>
      <c r="B6" s="197">
        <v>205809</v>
      </c>
      <c r="C6" s="197">
        <v>218668</v>
      </c>
      <c r="D6" s="197">
        <f>205809-2000+5209</f>
        <v>209018</v>
      </c>
    </row>
    <row r="7" spans="1:4" ht="21" x14ac:dyDescent="0.35">
      <c r="A7" s="596" t="s">
        <v>4</v>
      </c>
      <c r="B7" s="576">
        <f>2722291+249000+2501</f>
        <v>2973792</v>
      </c>
      <c r="C7" s="576">
        <v>3277813</v>
      </c>
      <c r="D7" s="576">
        <f>2722291+249000+2501+142444+2000+15818</f>
        <v>3134054</v>
      </c>
    </row>
    <row r="8" spans="1:4" ht="21.75" thickBot="1" x14ac:dyDescent="0.4">
      <c r="A8" s="228" t="s">
        <v>123</v>
      </c>
      <c r="B8" s="142">
        <f>SUM(B6:B7)</f>
        <v>3179601</v>
      </c>
      <c r="C8" s="142">
        <f t="shared" ref="C8:D8" si="0">SUM(C6:C7)</f>
        <v>3496481</v>
      </c>
      <c r="D8" s="142">
        <f t="shared" si="0"/>
        <v>3343072</v>
      </c>
    </row>
    <row r="9" spans="1:4" ht="21" x14ac:dyDescent="0.35">
      <c r="A9" s="229" t="s">
        <v>188</v>
      </c>
      <c r="B9" s="230"/>
      <c r="C9" s="230"/>
      <c r="D9" s="230"/>
    </row>
    <row r="10" spans="1:4" ht="21" x14ac:dyDescent="0.35">
      <c r="A10" s="226" t="s">
        <v>204</v>
      </c>
      <c r="B10" s="231">
        <v>250000</v>
      </c>
      <c r="C10" s="231">
        <v>266286</v>
      </c>
      <c r="D10" s="231">
        <f>250000+150000</f>
        <v>400000</v>
      </c>
    </row>
    <row r="11" spans="1:4" ht="21" x14ac:dyDescent="0.35">
      <c r="A11" s="232" t="s">
        <v>211</v>
      </c>
      <c r="B11" s="231">
        <v>700000</v>
      </c>
      <c r="C11" s="231">
        <v>700000</v>
      </c>
      <c r="D11" s="231">
        <v>700000</v>
      </c>
    </row>
    <row r="12" spans="1:4" ht="21" x14ac:dyDescent="0.35">
      <c r="A12" s="232" t="s">
        <v>266</v>
      </c>
      <c r="B12" s="231">
        <f>160000+60000</f>
        <v>220000</v>
      </c>
      <c r="C12" s="231">
        <v>300000</v>
      </c>
      <c r="D12" s="231">
        <f>160000+60000-60000</f>
        <v>160000</v>
      </c>
    </row>
    <row r="13" spans="1:4" ht="21" x14ac:dyDescent="0.35">
      <c r="A13" s="232" t="s">
        <v>135</v>
      </c>
      <c r="B13" s="231">
        <v>538480</v>
      </c>
      <c r="C13" s="231">
        <v>538480</v>
      </c>
      <c r="D13" s="231">
        <f>538480+16256</f>
        <v>554736</v>
      </c>
    </row>
    <row r="14" spans="1:4" ht="21" x14ac:dyDescent="0.35">
      <c r="A14" s="232" t="s">
        <v>392</v>
      </c>
      <c r="B14" s="231"/>
      <c r="C14" s="231">
        <v>75865</v>
      </c>
      <c r="D14" s="231">
        <v>0</v>
      </c>
    </row>
    <row r="15" spans="1:4" ht="21" x14ac:dyDescent="0.35">
      <c r="A15" s="233" t="s">
        <v>454</v>
      </c>
      <c r="B15" s="227"/>
      <c r="C15" s="227">
        <v>6140</v>
      </c>
      <c r="D15" s="227">
        <v>0</v>
      </c>
    </row>
    <row r="16" spans="1:4" ht="21" x14ac:dyDescent="0.35">
      <c r="A16" s="234" t="s">
        <v>199</v>
      </c>
      <c r="B16" s="235">
        <f>SUM(B10:B13)</f>
        <v>1708480</v>
      </c>
      <c r="C16" s="235">
        <f>SUM(C10:C15)</f>
        <v>1886771</v>
      </c>
      <c r="D16" s="235">
        <f>SUM(D10:D13)</f>
        <v>1814736</v>
      </c>
    </row>
    <row r="17" spans="1:4" ht="21" x14ac:dyDescent="0.35">
      <c r="A17" s="236" t="s">
        <v>5</v>
      </c>
      <c r="B17" s="230"/>
      <c r="C17" s="230"/>
      <c r="D17" s="230"/>
    </row>
    <row r="18" spans="1:4" ht="21" x14ac:dyDescent="0.35">
      <c r="A18" s="226" t="s">
        <v>401</v>
      </c>
      <c r="B18" s="231">
        <v>50000</v>
      </c>
      <c r="C18" s="231">
        <v>94383</v>
      </c>
      <c r="D18" s="231">
        <f>50000+20000+10000</f>
        <v>80000</v>
      </c>
    </row>
    <row r="19" spans="1:4" ht="21" x14ac:dyDescent="0.35">
      <c r="A19" s="226" t="s">
        <v>386</v>
      </c>
      <c r="B19" s="231">
        <v>130000</v>
      </c>
      <c r="C19" s="231">
        <v>85391</v>
      </c>
      <c r="D19" s="231">
        <f>130000-67000</f>
        <v>63000</v>
      </c>
    </row>
    <row r="20" spans="1:4" ht="21" x14ac:dyDescent="0.35">
      <c r="A20" s="237" t="s">
        <v>222</v>
      </c>
      <c r="B20" s="201">
        <f>2500+5000+10000</f>
        <v>17500</v>
      </c>
      <c r="C20" s="201">
        <v>26600</v>
      </c>
      <c r="D20" s="201">
        <f>2500+5000+10000</f>
        <v>17500</v>
      </c>
    </row>
    <row r="21" spans="1:4" ht="21" x14ac:dyDescent="0.35">
      <c r="A21" s="232" t="s">
        <v>205</v>
      </c>
      <c r="B21" s="231">
        <v>15000</v>
      </c>
      <c r="C21" s="231">
        <v>15000</v>
      </c>
      <c r="D21" s="231">
        <v>15000</v>
      </c>
    </row>
    <row r="22" spans="1:4" ht="21" x14ac:dyDescent="0.35">
      <c r="A22" s="232" t="s">
        <v>718</v>
      </c>
      <c r="B22" s="231"/>
      <c r="C22" s="231"/>
      <c r="D22" s="231">
        <v>472625</v>
      </c>
    </row>
    <row r="23" spans="1:4" ht="21" x14ac:dyDescent="0.35">
      <c r="A23" s="238" t="s">
        <v>118</v>
      </c>
      <c r="B23" s="201">
        <v>4000</v>
      </c>
      <c r="C23" s="201">
        <v>4000</v>
      </c>
      <c r="D23" s="201">
        <v>0</v>
      </c>
    </row>
    <row r="24" spans="1:4" ht="21" x14ac:dyDescent="0.35">
      <c r="A24" s="238" t="s">
        <v>143</v>
      </c>
      <c r="B24" s="201">
        <f>10000+16123-16123</f>
        <v>10000</v>
      </c>
      <c r="C24" s="201">
        <v>34097</v>
      </c>
      <c r="D24" s="201">
        <f>10000+16123-16123</f>
        <v>10000</v>
      </c>
    </row>
    <row r="25" spans="1:4" ht="21" x14ac:dyDescent="0.35">
      <c r="A25" s="238" t="s">
        <v>202</v>
      </c>
      <c r="B25" s="201">
        <v>1000</v>
      </c>
      <c r="C25" s="201">
        <v>850</v>
      </c>
      <c r="D25" s="201">
        <f>1000-1000</f>
        <v>0</v>
      </c>
    </row>
    <row r="26" spans="1:4" ht="21" x14ac:dyDescent="0.35">
      <c r="A26" s="237" t="s">
        <v>474</v>
      </c>
      <c r="B26" s="201">
        <v>2000</v>
      </c>
      <c r="C26" s="201">
        <v>2000</v>
      </c>
      <c r="D26" s="201">
        <f>2000-1000</f>
        <v>1000</v>
      </c>
    </row>
    <row r="27" spans="1:4" ht="21" x14ac:dyDescent="0.35">
      <c r="A27" s="226" t="s">
        <v>130</v>
      </c>
      <c r="B27" s="231">
        <v>13040</v>
      </c>
      <c r="C27" s="231">
        <v>13040</v>
      </c>
      <c r="D27" s="231">
        <v>13040</v>
      </c>
    </row>
    <row r="28" spans="1:4" ht="21" x14ac:dyDescent="0.35">
      <c r="A28" s="238" t="s">
        <v>159</v>
      </c>
      <c r="B28" s="201">
        <v>1200</v>
      </c>
      <c r="C28" s="201">
        <v>1200</v>
      </c>
      <c r="D28" s="201">
        <v>1200</v>
      </c>
    </row>
    <row r="29" spans="1:4" ht="21" x14ac:dyDescent="0.35">
      <c r="A29" s="237" t="s">
        <v>477</v>
      </c>
      <c r="B29" s="201">
        <v>1500</v>
      </c>
      <c r="C29" s="201">
        <v>1500</v>
      </c>
      <c r="D29" s="201">
        <f>1500-1500</f>
        <v>0</v>
      </c>
    </row>
    <row r="30" spans="1:4" ht="21" x14ac:dyDescent="0.35">
      <c r="A30" s="157" t="s">
        <v>587</v>
      </c>
      <c r="B30" s="201">
        <v>1500</v>
      </c>
      <c r="C30" s="201">
        <v>1500</v>
      </c>
      <c r="D30" s="201">
        <f>1500-1500</f>
        <v>0</v>
      </c>
    </row>
    <row r="31" spans="1:4" ht="21" x14ac:dyDescent="0.35">
      <c r="A31" s="10" t="s">
        <v>637</v>
      </c>
      <c r="B31" s="201"/>
      <c r="C31" s="201">
        <v>3000</v>
      </c>
      <c r="D31" s="201">
        <v>0</v>
      </c>
    </row>
    <row r="32" spans="1:4" ht="21" x14ac:dyDescent="0.35">
      <c r="A32" s="237" t="s">
        <v>213</v>
      </c>
      <c r="B32" s="201">
        <f>15389-4842-2023-1555-2485-241-1089</f>
        <v>3154</v>
      </c>
      <c r="C32" s="201">
        <v>3168</v>
      </c>
      <c r="D32" s="201">
        <f>15389-4842-2023-1555-2485-241-1089</f>
        <v>3154</v>
      </c>
    </row>
    <row r="33" spans="1:4" ht="21" x14ac:dyDescent="0.35">
      <c r="A33" s="238" t="s">
        <v>212</v>
      </c>
      <c r="B33" s="201">
        <f>3400+800</f>
        <v>4200</v>
      </c>
      <c r="C33" s="201">
        <v>4200</v>
      </c>
      <c r="D33" s="201">
        <f>3400+800</f>
        <v>4200</v>
      </c>
    </row>
    <row r="34" spans="1:4" ht="21" x14ac:dyDescent="0.35">
      <c r="A34" s="238" t="s">
        <v>456</v>
      </c>
      <c r="B34" s="201">
        <v>1568000</v>
      </c>
      <c r="C34" s="201">
        <v>1579650</v>
      </c>
      <c r="D34" s="201">
        <f>1568000+63000-56000-7000-35000-19000-100000</f>
        <v>1414000</v>
      </c>
    </row>
    <row r="35" spans="1:4" ht="21" x14ac:dyDescent="0.35">
      <c r="A35" s="238" t="s">
        <v>562</v>
      </c>
      <c r="B35" s="201">
        <v>3810</v>
      </c>
      <c r="C35" s="201">
        <v>3810</v>
      </c>
      <c r="D35" s="201">
        <v>3810</v>
      </c>
    </row>
    <row r="36" spans="1:4" ht="33" x14ac:dyDescent="0.35">
      <c r="A36" s="238" t="s">
        <v>445</v>
      </c>
      <c r="B36" s="201">
        <f>1490+466</f>
        <v>1956</v>
      </c>
      <c r="C36" s="201">
        <v>1956</v>
      </c>
      <c r="D36" s="201">
        <f>1490+466+391+153</f>
        <v>2500</v>
      </c>
    </row>
    <row r="37" spans="1:4" ht="21" x14ac:dyDescent="0.35">
      <c r="A37" s="226" t="s">
        <v>646</v>
      </c>
      <c r="B37" s="231">
        <f>208926+16270</f>
        <v>225196</v>
      </c>
      <c r="C37" s="231">
        <v>254517</v>
      </c>
      <c r="D37" s="231"/>
    </row>
    <row r="38" spans="1:4" ht="21" x14ac:dyDescent="0.35">
      <c r="A38" s="232" t="s">
        <v>623</v>
      </c>
      <c r="B38" s="231">
        <v>3670722</v>
      </c>
      <c r="C38" s="231">
        <v>3670722</v>
      </c>
      <c r="D38" s="231">
        <f>3670722+162384</f>
        <v>3833106</v>
      </c>
    </row>
    <row r="39" spans="1:4" ht="21" x14ac:dyDescent="0.35">
      <c r="A39" s="238" t="s">
        <v>610</v>
      </c>
      <c r="B39" s="201"/>
      <c r="C39" s="201">
        <v>5000</v>
      </c>
      <c r="D39" s="201">
        <v>0</v>
      </c>
    </row>
    <row r="40" spans="1:4" ht="21" x14ac:dyDescent="0.35">
      <c r="A40" s="238" t="s">
        <v>611</v>
      </c>
      <c r="B40" s="201"/>
      <c r="C40" s="201">
        <v>5500</v>
      </c>
      <c r="D40" s="201">
        <v>0</v>
      </c>
    </row>
    <row r="41" spans="1:4" ht="21" x14ac:dyDescent="0.35">
      <c r="A41" s="240" t="s">
        <v>420</v>
      </c>
      <c r="B41" s="230"/>
      <c r="C41" s="230"/>
      <c r="D41" s="230"/>
    </row>
    <row r="42" spans="1:4" ht="21" x14ac:dyDescent="0.35">
      <c r="A42" s="237" t="s">
        <v>421</v>
      </c>
      <c r="B42" s="201">
        <f>60000+7000-2000+34000+30000</f>
        <v>129000</v>
      </c>
      <c r="C42" s="201">
        <v>180000</v>
      </c>
      <c r="D42" s="201">
        <f>60000+7000-2000+34000+30000-64500+32500+30000</f>
        <v>127000</v>
      </c>
    </row>
    <row r="43" spans="1:4" ht="33" x14ac:dyDescent="0.35">
      <c r="A43" s="237" t="s">
        <v>486</v>
      </c>
      <c r="B43" s="201">
        <f>50000+4770+23000-7770</f>
        <v>70000</v>
      </c>
      <c r="C43" s="201">
        <v>98978</v>
      </c>
      <c r="D43" s="201">
        <f>50000+4770+23000-7770-10000+7000</f>
        <v>67000</v>
      </c>
    </row>
    <row r="44" spans="1:4" ht="21" x14ac:dyDescent="0.35">
      <c r="A44" s="229" t="s">
        <v>404</v>
      </c>
      <c r="B44" s="201"/>
      <c r="C44" s="201"/>
      <c r="D44" s="201"/>
    </row>
    <row r="45" spans="1:4" ht="21" x14ac:dyDescent="0.35">
      <c r="A45" s="238" t="s">
        <v>487</v>
      </c>
      <c r="B45" s="201">
        <v>1000</v>
      </c>
      <c r="C45" s="201">
        <v>2050</v>
      </c>
      <c r="D45" s="201">
        <v>1000</v>
      </c>
    </row>
    <row r="46" spans="1:4" ht="21" x14ac:dyDescent="0.35">
      <c r="A46" s="237" t="s">
        <v>127</v>
      </c>
      <c r="B46" s="201">
        <v>6000</v>
      </c>
      <c r="C46" s="201">
        <v>6000</v>
      </c>
      <c r="D46" s="201">
        <f>6000+2000</f>
        <v>8000</v>
      </c>
    </row>
    <row r="47" spans="1:4" ht="21" x14ac:dyDescent="0.35">
      <c r="A47" s="238" t="s">
        <v>82</v>
      </c>
      <c r="B47" s="201">
        <f>1000+1000</f>
        <v>2000</v>
      </c>
      <c r="C47" s="201">
        <v>2000</v>
      </c>
      <c r="D47" s="201">
        <f>1000+1000</f>
        <v>2000</v>
      </c>
    </row>
    <row r="48" spans="1:4" ht="21" x14ac:dyDescent="0.35">
      <c r="A48" s="238" t="s">
        <v>580</v>
      </c>
      <c r="B48" s="201">
        <v>2000</v>
      </c>
      <c r="C48" s="201">
        <v>2000</v>
      </c>
      <c r="D48" s="201">
        <v>2000</v>
      </c>
    </row>
    <row r="49" spans="1:4" ht="21" x14ac:dyDescent="0.35">
      <c r="A49" s="238" t="s">
        <v>471</v>
      </c>
      <c r="B49" s="201">
        <v>4000</v>
      </c>
      <c r="C49" s="201">
        <v>4000</v>
      </c>
      <c r="D49" s="201">
        <f>4000-2000-2000</f>
        <v>0</v>
      </c>
    </row>
    <row r="50" spans="1:4" ht="21" x14ac:dyDescent="0.35">
      <c r="A50" s="229" t="s">
        <v>406</v>
      </c>
      <c r="B50" s="241"/>
      <c r="C50" s="241"/>
      <c r="D50" s="241"/>
    </row>
    <row r="51" spans="1:4" ht="21" x14ac:dyDescent="0.35">
      <c r="A51" s="237" t="s">
        <v>409</v>
      </c>
      <c r="B51" s="201">
        <v>130000</v>
      </c>
      <c r="C51" s="201">
        <v>130000</v>
      </c>
      <c r="D51" s="201">
        <f>130000-130000+100000-100000</f>
        <v>0</v>
      </c>
    </row>
    <row r="52" spans="1:4" ht="33" customHeight="1" x14ac:dyDescent="0.35">
      <c r="A52" s="229" t="s">
        <v>414</v>
      </c>
      <c r="B52" s="224"/>
      <c r="C52" s="224"/>
      <c r="D52" s="224"/>
    </row>
    <row r="53" spans="1:4" ht="21" x14ac:dyDescent="0.35">
      <c r="A53" s="226" t="s">
        <v>503</v>
      </c>
      <c r="B53" s="231">
        <f>1905+635+3460+9000</f>
        <v>15000</v>
      </c>
      <c r="C53" s="231">
        <v>16678</v>
      </c>
      <c r="D53" s="231">
        <f>1905+635+3460+9000-9000</f>
        <v>6000</v>
      </c>
    </row>
    <row r="54" spans="1:4" ht="21" x14ac:dyDescent="0.35">
      <c r="A54" s="232" t="s">
        <v>146</v>
      </c>
      <c r="B54" s="231">
        <f>26000+8852-4852</f>
        <v>30000</v>
      </c>
      <c r="C54" s="231">
        <v>30000</v>
      </c>
      <c r="D54" s="231"/>
    </row>
    <row r="55" spans="1:4" ht="21" x14ac:dyDescent="0.35">
      <c r="A55" s="238" t="s">
        <v>86</v>
      </c>
      <c r="B55" s="201">
        <f>10000+10000</f>
        <v>20000</v>
      </c>
      <c r="C55" s="201">
        <v>26624</v>
      </c>
      <c r="D55" s="201"/>
    </row>
    <row r="56" spans="1:4" ht="21" x14ac:dyDescent="0.35">
      <c r="A56" s="238" t="s">
        <v>416</v>
      </c>
      <c r="B56" s="201">
        <v>4482</v>
      </c>
      <c r="C56" s="201">
        <v>4482</v>
      </c>
      <c r="D56" s="201">
        <f>4482-2241</f>
        <v>2241</v>
      </c>
    </row>
    <row r="57" spans="1:4" ht="21" x14ac:dyDescent="0.35">
      <c r="A57" s="238" t="s">
        <v>398</v>
      </c>
      <c r="B57" s="201">
        <v>5500</v>
      </c>
      <c r="C57" s="201">
        <v>18957</v>
      </c>
      <c r="D57" s="201">
        <v>5500</v>
      </c>
    </row>
    <row r="58" spans="1:4" ht="21" x14ac:dyDescent="0.35">
      <c r="A58" s="238" t="s">
        <v>645</v>
      </c>
      <c r="B58" s="201">
        <v>3300</v>
      </c>
      <c r="C58" s="201">
        <v>3300</v>
      </c>
      <c r="D58" s="201">
        <f>3300-3300</f>
        <v>0</v>
      </c>
    </row>
    <row r="59" spans="1:4" ht="21" x14ac:dyDescent="0.35">
      <c r="A59" s="238" t="s">
        <v>488</v>
      </c>
      <c r="B59" s="201"/>
      <c r="C59" s="201">
        <v>26741</v>
      </c>
      <c r="D59" s="201">
        <v>0</v>
      </c>
    </row>
    <row r="60" spans="1:4" ht="21" x14ac:dyDescent="0.35">
      <c r="A60" s="238" t="s">
        <v>677</v>
      </c>
      <c r="B60" s="201">
        <v>200000</v>
      </c>
      <c r="C60" s="201">
        <v>200000</v>
      </c>
      <c r="D60" s="201">
        <f>200000+120000-120000-100000</f>
        <v>100000</v>
      </c>
    </row>
    <row r="61" spans="1:4" ht="21" x14ac:dyDescent="0.35">
      <c r="A61" s="238" t="s">
        <v>577</v>
      </c>
      <c r="B61" s="201">
        <v>144000</v>
      </c>
      <c r="C61" s="201">
        <v>384000</v>
      </c>
      <c r="D61" s="201">
        <f>144000-144000</f>
        <v>0</v>
      </c>
    </row>
    <row r="62" spans="1:4" ht="21" x14ac:dyDescent="0.35">
      <c r="A62" s="238" t="s">
        <v>504</v>
      </c>
      <c r="B62" s="201">
        <v>18500</v>
      </c>
      <c r="C62" s="201">
        <v>20024</v>
      </c>
      <c r="D62" s="201">
        <v>18500</v>
      </c>
    </row>
    <row r="63" spans="1:4" ht="21" x14ac:dyDescent="0.35">
      <c r="A63" s="238" t="s">
        <v>362</v>
      </c>
      <c r="B63" s="201">
        <f>15000+35000+1037-259-778</f>
        <v>50000</v>
      </c>
      <c r="C63" s="201">
        <v>80000</v>
      </c>
      <c r="D63" s="201">
        <f>15000+35000+1037-259-778</f>
        <v>50000</v>
      </c>
    </row>
    <row r="64" spans="1:4" ht="21.75" thickBot="1" x14ac:dyDescent="0.4">
      <c r="A64" s="223" t="s">
        <v>638</v>
      </c>
      <c r="B64" s="517"/>
      <c r="C64" s="517">
        <v>118515</v>
      </c>
      <c r="D64" s="517">
        <v>0</v>
      </c>
    </row>
    <row r="65" spans="1:4" ht="21" x14ac:dyDescent="0.35">
      <c r="A65" s="229" t="s">
        <v>8</v>
      </c>
      <c r="B65" s="241"/>
      <c r="C65" s="241"/>
      <c r="D65" s="241"/>
    </row>
    <row r="66" spans="1:4" ht="33" x14ac:dyDescent="0.35">
      <c r="A66" s="226" t="s">
        <v>37</v>
      </c>
      <c r="B66" s="231">
        <v>8000</v>
      </c>
      <c r="C66" s="231">
        <v>8310</v>
      </c>
      <c r="D66" s="231">
        <v>8000</v>
      </c>
    </row>
    <row r="67" spans="1:4" ht="21" x14ac:dyDescent="0.35">
      <c r="A67" s="242" t="s">
        <v>49</v>
      </c>
      <c r="B67" s="201">
        <v>25500</v>
      </c>
      <c r="C67" s="201">
        <v>25500</v>
      </c>
      <c r="D67" s="201">
        <v>25500</v>
      </c>
    </row>
    <row r="68" spans="1:4" ht="21" x14ac:dyDescent="0.35">
      <c r="A68" s="242" t="s">
        <v>30</v>
      </c>
      <c r="B68" s="201">
        <v>7000</v>
      </c>
      <c r="C68" s="201">
        <v>8006</v>
      </c>
      <c r="D68" s="201">
        <v>7000</v>
      </c>
    </row>
    <row r="69" spans="1:4" ht="21" x14ac:dyDescent="0.35">
      <c r="A69" s="242" t="s">
        <v>357</v>
      </c>
      <c r="B69" s="201">
        <v>28000</v>
      </c>
      <c r="C69" s="201">
        <v>31880</v>
      </c>
      <c r="D69" s="201">
        <f>28000+2000</f>
        <v>30000</v>
      </c>
    </row>
    <row r="70" spans="1:4" ht="21" x14ac:dyDescent="0.35">
      <c r="A70" s="242" t="s">
        <v>229</v>
      </c>
      <c r="B70" s="201">
        <v>600</v>
      </c>
      <c r="C70" s="201">
        <v>600</v>
      </c>
      <c r="D70" s="201">
        <f>600-300</f>
        <v>300</v>
      </c>
    </row>
    <row r="71" spans="1:4" ht="21" x14ac:dyDescent="0.35">
      <c r="A71" s="242" t="s">
        <v>131</v>
      </c>
      <c r="B71" s="201">
        <v>7500</v>
      </c>
      <c r="C71" s="201">
        <v>9215</v>
      </c>
      <c r="D71" s="201">
        <f>7500+800</f>
        <v>8300</v>
      </c>
    </row>
    <row r="72" spans="1:4" ht="21" x14ac:dyDescent="0.35">
      <c r="A72" s="238" t="s">
        <v>364</v>
      </c>
      <c r="B72" s="201">
        <v>4000</v>
      </c>
      <c r="C72" s="201">
        <v>4000</v>
      </c>
      <c r="D72" s="201">
        <f>4000-500</f>
        <v>3500</v>
      </c>
    </row>
    <row r="73" spans="1:4" ht="21" x14ac:dyDescent="0.35">
      <c r="A73" s="238" t="s">
        <v>422</v>
      </c>
      <c r="B73" s="201">
        <v>3810</v>
      </c>
      <c r="C73" s="201">
        <v>3810</v>
      </c>
      <c r="D73" s="201">
        <v>3810</v>
      </c>
    </row>
    <row r="74" spans="1:4" ht="21" x14ac:dyDescent="0.35">
      <c r="A74" s="238" t="s">
        <v>399</v>
      </c>
      <c r="B74" s="201">
        <v>500</v>
      </c>
      <c r="C74" s="201">
        <v>500</v>
      </c>
      <c r="D74" s="201">
        <v>500</v>
      </c>
    </row>
    <row r="75" spans="1:4" ht="21" x14ac:dyDescent="0.35">
      <c r="A75" s="238" t="s">
        <v>466</v>
      </c>
      <c r="B75" s="201">
        <v>1600</v>
      </c>
      <c r="C75" s="201">
        <v>1600</v>
      </c>
      <c r="D75" s="201">
        <f>1600-1600</f>
        <v>0</v>
      </c>
    </row>
    <row r="76" spans="1:4" ht="21" x14ac:dyDescent="0.35">
      <c r="A76" s="238" t="s">
        <v>533</v>
      </c>
      <c r="B76" s="201">
        <v>5500</v>
      </c>
      <c r="C76" s="201">
        <v>5500</v>
      </c>
      <c r="D76" s="201">
        <f>5500+2000</f>
        <v>7500</v>
      </c>
    </row>
    <row r="77" spans="1:4" ht="21" x14ac:dyDescent="0.35">
      <c r="A77" s="238" t="s">
        <v>534</v>
      </c>
      <c r="B77" s="201">
        <v>1500</v>
      </c>
      <c r="C77" s="201">
        <v>1500</v>
      </c>
      <c r="D77" s="201">
        <f>1500-1500</f>
        <v>0</v>
      </c>
    </row>
    <row r="78" spans="1:4" ht="21" x14ac:dyDescent="0.35">
      <c r="A78" s="238" t="s">
        <v>535</v>
      </c>
      <c r="B78" s="201">
        <v>2500</v>
      </c>
      <c r="C78" s="201">
        <v>2500</v>
      </c>
      <c r="D78" s="201">
        <v>2500</v>
      </c>
    </row>
    <row r="79" spans="1:4" ht="21" x14ac:dyDescent="0.35">
      <c r="A79" s="238" t="s">
        <v>536</v>
      </c>
      <c r="B79" s="201">
        <v>2500</v>
      </c>
      <c r="C79" s="201">
        <v>2500</v>
      </c>
      <c r="D79" s="201">
        <v>2500</v>
      </c>
    </row>
    <row r="80" spans="1:4" ht="21" x14ac:dyDescent="0.35">
      <c r="A80" s="229" t="s">
        <v>7</v>
      </c>
      <c r="B80" s="241"/>
      <c r="C80" s="241"/>
      <c r="D80" s="241"/>
    </row>
    <row r="81" spans="1:4" ht="21" x14ac:dyDescent="0.35">
      <c r="A81" s="237" t="s">
        <v>43</v>
      </c>
      <c r="B81" s="201">
        <f>5000+5000+10000</f>
        <v>20000</v>
      </c>
      <c r="C81" s="201">
        <v>99314</v>
      </c>
      <c r="D81" s="201">
        <f>5000+5000+10000-5000</f>
        <v>15000</v>
      </c>
    </row>
    <row r="82" spans="1:4" ht="21" x14ac:dyDescent="0.35">
      <c r="A82" s="244" t="s">
        <v>542</v>
      </c>
      <c r="B82" s="201"/>
      <c r="C82" s="201"/>
      <c r="D82" s="201"/>
    </row>
    <row r="83" spans="1:4" ht="21" x14ac:dyDescent="0.35">
      <c r="A83" s="242" t="s">
        <v>358</v>
      </c>
      <c r="B83" s="201">
        <v>1500</v>
      </c>
      <c r="C83" s="201">
        <v>1975</v>
      </c>
      <c r="D83" s="201">
        <v>1500</v>
      </c>
    </row>
    <row r="84" spans="1:4" ht="21" x14ac:dyDescent="0.35">
      <c r="A84" s="242" t="s">
        <v>584</v>
      </c>
      <c r="B84" s="201">
        <v>1000</v>
      </c>
      <c r="C84" s="201">
        <v>1000</v>
      </c>
      <c r="D84" s="201">
        <f>1000-1000</f>
        <v>0</v>
      </c>
    </row>
    <row r="85" spans="1:4" ht="21" x14ac:dyDescent="0.35">
      <c r="A85" s="242" t="s">
        <v>472</v>
      </c>
      <c r="B85" s="201">
        <v>1000</v>
      </c>
      <c r="C85" s="201">
        <v>1000</v>
      </c>
      <c r="D85" s="201">
        <f>1000-1000</f>
        <v>0</v>
      </c>
    </row>
    <row r="86" spans="1:4" ht="48.75" x14ac:dyDescent="0.35">
      <c r="A86" s="242" t="s">
        <v>388</v>
      </c>
      <c r="B86" s="201">
        <f>2969+531+500</f>
        <v>4000</v>
      </c>
      <c r="C86" s="201">
        <v>4000</v>
      </c>
      <c r="D86" s="201">
        <f>2969+531+500+500</f>
        <v>4500</v>
      </c>
    </row>
    <row r="87" spans="1:4" ht="21" x14ac:dyDescent="0.35">
      <c r="A87" s="245" t="s">
        <v>6</v>
      </c>
      <c r="B87" s="224"/>
      <c r="C87" s="224"/>
      <c r="D87" s="224"/>
    </row>
    <row r="88" spans="1:4" ht="21" x14ac:dyDescent="0.35">
      <c r="A88" s="237" t="s">
        <v>286</v>
      </c>
      <c r="B88" s="201"/>
      <c r="C88" s="201">
        <v>11969</v>
      </c>
      <c r="D88" s="201">
        <v>0</v>
      </c>
    </row>
    <row r="89" spans="1:4" s="179" customFormat="1" ht="21.75" thickBot="1" x14ac:dyDescent="0.4">
      <c r="A89" s="228" t="s">
        <v>214</v>
      </c>
      <c r="B89" s="142">
        <f>SUM(B18:B88)</f>
        <v>6684570</v>
      </c>
      <c r="C89" s="142">
        <f>SUM(C18:C88)</f>
        <v>7390112</v>
      </c>
      <c r="D89" s="142">
        <f>SUM(D18:D88)</f>
        <v>6443786</v>
      </c>
    </row>
    <row r="90" spans="1:4" ht="21" x14ac:dyDescent="0.35">
      <c r="A90" s="246" t="s">
        <v>99</v>
      </c>
      <c r="B90" s="230"/>
      <c r="C90" s="230"/>
      <c r="D90" s="230"/>
    </row>
    <row r="91" spans="1:4" ht="21" x14ac:dyDescent="0.35">
      <c r="A91" s="247" t="s">
        <v>431</v>
      </c>
      <c r="B91" s="201">
        <v>82019</v>
      </c>
      <c r="C91" s="201">
        <v>0</v>
      </c>
      <c r="D91" s="201">
        <f>82019-82019+76672</f>
        <v>76672</v>
      </c>
    </row>
    <row r="92" spans="1:4" ht="21" x14ac:dyDescent="0.35">
      <c r="A92" s="937" t="s">
        <v>573</v>
      </c>
      <c r="B92" s="201">
        <v>1618</v>
      </c>
      <c r="C92" s="201">
        <v>1618</v>
      </c>
      <c r="D92" s="201">
        <f>1618-1618</f>
        <v>0</v>
      </c>
    </row>
    <row r="93" spans="1:4" ht="21" x14ac:dyDescent="0.35">
      <c r="A93" s="247" t="s">
        <v>609</v>
      </c>
      <c r="B93" s="201"/>
      <c r="C93" s="201">
        <v>22841</v>
      </c>
      <c r="D93" s="201"/>
    </row>
    <row r="94" spans="1:4" ht="21" x14ac:dyDescent="0.35">
      <c r="A94" s="247" t="s">
        <v>608</v>
      </c>
      <c r="B94" s="201"/>
      <c r="C94" s="201">
        <v>13619</v>
      </c>
      <c r="D94" s="201"/>
    </row>
    <row r="95" spans="1:4" ht="21" x14ac:dyDescent="0.35">
      <c r="A95" s="239" t="s">
        <v>524</v>
      </c>
      <c r="B95" s="201"/>
      <c r="C95" s="201">
        <v>16432</v>
      </c>
      <c r="D95" s="201"/>
    </row>
    <row r="96" spans="1:4" ht="33" x14ac:dyDescent="0.35">
      <c r="A96" s="247" t="s">
        <v>625</v>
      </c>
      <c r="B96" s="201"/>
      <c r="C96" s="201">
        <v>2000</v>
      </c>
      <c r="D96" s="201"/>
    </row>
    <row r="97" spans="1:4" ht="21" x14ac:dyDescent="0.35">
      <c r="A97" s="247" t="s">
        <v>633</v>
      </c>
      <c r="B97" s="201"/>
      <c r="C97" s="201">
        <v>5620</v>
      </c>
      <c r="D97" s="201"/>
    </row>
    <row r="98" spans="1:4" ht="21" x14ac:dyDescent="0.35">
      <c r="A98" s="247" t="s">
        <v>634</v>
      </c>
      <c r="B98" s="201"/>
      <c r="C98" s="201">
        <v>6355</v>
      </c>
      <c r="D98" s="201"/>
    </row>
    <row r="99" spans="1:4" ht="21" x14ac:dyDescent="0.35">
      <c r="A99" s="239" t="s">
        <v>515</v>
      </c>
      <c r="B99" s="201"/>
      <c r="C99" s="201">
        <v>20828</v>
      </c>
      <c r="D99" s="201"/>
    </row>
    <row r="100" spans="1:4" s="179" customFormat="1" ht="21.75" thickBot="1" x14ac:dyDescent="0.4">
      <c r="A100" s="228" t="s">
        <v>214</v>
      </c>
      <c r="B100" s="142">
        <f>SUM(B91:B99)</f>
        <v>83637</v>
      </c>
      <c r="C100" s="142">
        <f>SUM(C91:C99)</f>
        <v>89313</v>
      </c>
      <c r="D100" s="142">
        <f>SUM(D91:D99)</f>
        <v>76672</v>
      </c>
    </row>
    <row r="101" spans="1:4" s="179" customFormat="1" ht="21.75" thickBot="1" x14ac:dyDescent="0.4">
      <c r="A101" s="248" t="s">
        <v>124</v>
      </c>
      <c r="B101" s="249">
        <f>B16+B89+B100</f>
        <v>8476687</v>
      </c>
      <c r="C101" s="249">
        <f>C16+C89+C100</f>
        <v>9366196</v>
      </c>
      <c r="D101" s="249">
        <f>D16+D89+D100</f>
        <v>8335194</v>
      </c>
    </row>
    <row r="102" spans="1:4" s="252" customFormat="1" ht="44.25" customHeight="1" thickBot="1" x14ac:dyDescent="0.4">
      <c r="A102" s="250" t="s">
        <v>305</v>
      </c>
      <c r="B102" s="251">
        <f>B101+B8</f>
        <v>11656288</v>
      </c>
      <c r="C102" s="251">
        <f>C101+C8</f>
        <v>12862677</v>
      </c>
      <c r="D102" s="251">
        <f>D101+D8</f>
        <v>11678266</v>
      </c>
    </row>
    <row r="104" spans="1:4" ht="19.5" thickBot="1" x14ac:dyDescent="0.35">
      <c r="A104" s="220" t="s">
        <v>83</v>
      </c>
      <c r="B104" s="255"/>
      <c r="C104" s="255"/>
      <c r="D104" s="256"/>
    </row>
    <row r="105" spans="1:4" x14ac:dyDescent="0.25">
      <c r="A105" s="199" t="s">
        <v>167</v>
      </c>
      <c r="B105" s="16" t="s">
        <v>437</v>
      </c>
      <c r="C105" s="16" t="s">
        <v>686</v>
      </c>
      <c r="D105" s="16" t="s">
        <v>476</v>
      </c>
    </row>
    <row r="106" spans="1:4" ht="16.5" thickBot="1" x14ac:dyDescent="0.3">
      <c r="A106" s="257"/>
      <c r="B106" s="17" t="s">
        <v>353</v>
      </c>
      <c r="C106" s="17" t="s">
        <v>368</v>
      </c>
      <c r="D106" s="17" t="s">
        <v>353</v>
      </c>
    </row>
    <row r="107" spans="1:4" ht="21" x14ac:dyDescent="0.35">
      <c r="A107" s="542" t="s">
        <v>583</v>
      </c>
      <c r="B107" s="543">
        <v>0</v>
      </c>
      <c r="C107" s="543">
        <v>13125</v>
      </c>
      <c r="D107" s="543">
        <v>0</v>
      </c>
    </row>
    <row r="108" spans="1:4" ht="21.75" thickBot="1" x14ac:dyDescent="0.4">
      <c r="A108" s="237" t="s">
        <v>4</v>
      </c>
      <c r="B108" s="201">
        <f>136150+124000-110000</f>
        <v>150150</v>
      </c>
      <c r="C108" s="201">
        <v>215588</v>
      </c>
      <c r="D108" s="201">
        <f>136150+124000-110000-150150+300000-200000+72163-100000</f>
        <v>72163</v>
      </c>
    </row>
    <row r="109" spans="1:4" s="179" customFormat="1" ht="42.75" customHeight="1" thickBot="1" x14ac:dyDescent="0.4">
      <c r="A109" s="258" t="s">
        <v>304</v>
      </c>
      <c r="B109" s="225">
        <f>B107+B108</f>
        <v>150150</v>
      </c>
      <c r="C109" s="225">
        <f>C107+C108</f>
        <v>228713</v>
      </c>
      <c r="D109" s="225">
        <f>D107+D108</f>
        <v>72163</v>
      </c>
    </row>
    <row r="110" spans="1:4" ht="21.75" thickBot="1" x14ac:dyDescent="0.4">
      <c r="A110" s="243"/>
      <c r="B110" s="259"/>
      <c r="C110" s="259"/>
      <c r="D110" s="259"/>
    </row>
    <row r="111" spans="1:4" s="179" customFormat="1" ht="41.25" customHeight="1" thickBot="1" x14ac:dyDescent="0.4">
      <c r="A111" s="260" t="s">
        <v>306</v>
      </c>
      <c r="B111" s="225">
        <f>B102+B109</f>
        <v>11806438</v>
      </c>
      <c r="C111" s="225">
        <f>C102+C109</f>
        <v>13091390</v>
      </c>
      <c r="D111" s="225">
        <f>D102+D109</f>
        <v>11750429</v>
      </c>
    </row>
    <row r="113" spans="1:4" x14ac:dyDescent="0.25">
      <c r="A113" s="51" t="s">
        <v>76</v>
      </c>
      <c r="B113" s="51"/>
      <c r="C113" s="51"/>
      <c r="D113" s="218"/>
    </row>
  </sheetData>
  <customSheetViews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58" orientation="portrait" r:id="rId3"/>
  <headerFooter alignWithMargins="0">
    <oddHeader xml:space="preserve">&amp;R&amp;"-,Félkövér"&amp;12 
13. melléklet a 4/2025. (II.28.) önkormányzati rendelethe&amp;"Times New Roman CE,Félkövér"z
</oddHeader>
  </headerFooter>
  <rowBreaks count="1" manualBreakCount="1">
    <brk id="64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9"/>
  <sheetViews>
    <sheetView zoomScale="89" zoomScaleNormal="89" workbookViewId="0">
      <selection activeCell="B9" sqref="B9"/>
    </sheetView>
  </sheetViews>
  <sheetFormatPr defaultRowHeight="15.75" x14ac:dyDescent="0.25"/>
  <cols>
    <col min="1" max="1" width="88.6640625" style="47" customWidth="1"/>
    <col min="2" max="2" width="39.6640625" style="47" customWidth="1"/>
    <col min="3" max="3" width="39.1640625" style="47" customWidth="1"/>
    <col min="4" max="4" width="38.1640625" style="47" bestFit="1" customWidth="1"/>
    <col min="5" max="16384" width="9.33203125" style="47"/>
  </cols>
  <sheetData>
    <row r="1" spans="1:4" x14ac:dyDescent="0.25">
      <c r="A1" s="45"/>
      <c r="B1" s="45"/>
      <c r="C1" s="45"/>
      <c r="D1" s="45"/>
    </row>
    <row r="2" spans="1:4" ht="21" x14ac:dyDescent="0.35">
      <c r="A2" s="971" t="s">
        <v>671</v>
      </c>
      <c r="B2" s="971"/>
      <c r="C2" s="971"/>
      <c r="D2" s="971"/>
    </row>
    <row r="3" spans="1:4" x14ac:dyDescent="0.25">
      <c r="A3" s="51" t="s">
        <v>12</v>
      </c>
      <c r="B3" s="51"/>
      <c r="C3" s="51"/>
      <c r="D3" s="51"/>
    </row>
    <row r="4" spans="1:4" ht="16.5" thickBot="1" x14ac:dyDescent="0.3">
      <c r="D4" s="127" t="s">
        <v>216</v>
      </c>
    </row>
    <row r="5" spans="1:4" x14ac:dyDescent="0.25">
      <c r="A5" s="144" t="s">
        <v>167</v>
      </c>
      <c r="B5" s="16" t="s">
        <v>437</v>
      </c>
      <c r="C5" s="16" t="s">
        <v>686</v>
      </c>
      <c r="D5" s="16" t="s">
        <v>476</v>
      </c>
    </row>
    <row r="6" spans="1:4" ht="16.5" thickBot="1" x14ac:dyDescent="0.3">
      <c r="A6" s="145"/>
      <c r="B6" s="17" t="s">
        <v>353</v>
      </c>
      <c r="C6" s="17" t="s">
        <v>368</v>
      </c>
      <c r="D6" s="17" t="s">
        <v>353</v>
      </c>
    </row>
    <row r="7" spans="1:4" ht="21" x14ac:dyDescent="0.35">
      <c r="A7" s="584" t="s">
        <v>670</v>
      </c>
      <c r="B7" s="133">
        <v>18500</v>
      </c>
      <c r="C7" s="133">
        <v>32689</v>
      </c>
      <c r="D7" s="133">
        <v>18500</v>
      </c>
    </row>
    <row r="8" spans="1:4" ht="21" x14ac:dyDescent="0.35">
      <c r="A8" s="209" t="s">
        <v>468</v>
      </c>
      <c r="B8" s="23">
        <v>6000</v>
      </c>
      <c r="C8" s="23">
        <v>6000</v>
      </c>
      <c r="D8" s="23">
        <f>6000-1200-800</f>
        <v>4000</v>
      </c>
    </row>
    <row r="9" spans="1:4" ht="48.75" x14ac:dyDescent="0.35">
      <c r="A9" s="209" t="s">
        <v>659</v>
      </c>
      <c r="B9" s="20">
        <f>4000+5300+1700+500</f>
        <v>11500</v>
      </c>
      <c r="C9" s="20">
        <v>18000</v>
      </c>
      <c r="D9" s="20">
        <f>4000+5300+1700+500-2300</f>
        <v>9200</v>
      </c>
    </row>
    <row r="10" spans="1:4" ht="21" x14ac:dyDescent="0.35">
      <c r="A10" s="10" t="s">
        <v>669</v>
      </c>
      <c r="B10" s="20">
        <f>180000+125000+65000+50000</f>
        <v>420000</v>
      </c>
      <c r="C10" s="20">
        <v>480000</v>
      </c>
      <c r="D10" s="20">
        <f>180000+125000+65000+50000-50000+50000-20000+20000</f>
        <v>420000</v>
      </c>
    </row>
    <row r="11" spans="1:4" ht="42.6" customHeight="1" x14ac:dyDescent="0.35">
      <c r="A11" s="209" t="s">
        <v>668</v>
      </c>
      <c r="B11" s="23">
        <f>125000+40000+85000+248559-98559-70000</f>
        <v>330000</v>
      </c>
      <c r="C11" s="23">
        <v>347000</v>
      </c>
      <c r="D11" s="23">
        <f>125000+40000+85000+248559-98559-70000-33000</f>
        <v>297000</v>
      </c>
    </row>
    <row r="12" spans="1:4" ht="21" x14ac:dyDescent="0.35">
      <c r="A12" s="159" t="s">
        <v>282</v>
      </c>
      <c r="B12" s="20">
        <f>30000+10000</f>
        <v>40000</v>
      </c>
      <c r="C12" s="20">
        <v>15000</v>
      </c>
      <c r="D12" s="20">
        <f>30000+10000-40000+40000</f>
        <v>40000</v>
      </c>
    </row>
    <row r="13" spans="1:4" ht="21" x14ac:dyDescent="0.35">
      <c r="A13" s="138" t="s">
        <v>429</v>
      </c>
      <c r="B13" s="23">
        <f>50000+12000+3000+5000+9000+19000-8000+5000+4000-3000-5000-1000</f>
        <v>90000</v>
      </c>
      <c r="C13" s="23">
        <v>92637</v>
      </c>
      <c r="D13" s="23">
        <f>50000+12000+3000+5000+9000+19000-8000+5000+4000-3000-5000-1000-10000-12500-12000</f>
        <v>55500</v>
      </c>
    </row>
    <row r="14" spans="1:4" ht="21" x14ac:dyDescent="0.35">
      <c r="A14" s="138" t="s">
        <v>667</v>
      </c>
      <c r="B14" s="23">
        <f>50000-10000</f>
        <v>40000</v>
      </c>
      <c r="C14" s="23">
        <v>40000</v>
      </c>
      <c r="D14" s="23">
        <f>50000-10000-40000</f>
        <v>0</v>
      </c>
    </row>
    <row r="15" spans="1:4" ht="21" x14ac:dyDescent="0.35">
      <c r="A15" s="138" t="s">
        <v>673</v>
      </c>
      <c r="B15" s="23"/>
      <c r="C15" s="23">
        <v>8000</v>
      </c>
      <c r="D15" s="23">
        <f>40000+10000</f>
        <v>50000</v>
      </c>
    </row>
    <row r="16" spans="1:4" ht="21" x14ac:dyDescent="0.35">
      <c r="A16" s="138" t="s">
        <v>459</v>
      </c>
      <c r="B16" s="23">
        <f>5000+5000</f>
        <v>10000</v>
      </c>
      <c r="C16" s="23">
        <v>10000</v>
      </c>
      <c r="D16" s="23">
        <f>5000+5000-5000-5000</f>
        <v>0</v>
      </c>
    </row>
    <row r="17" spans="1:4" ht="33" x14ac:dyDescent="0.35">
      <c r="A17" s="138" t="s">
        <v>666</v>
      </c>
      <c r="B17" s="23">
        <v>8268</v>
      </c>
      <c r="C17" s="23">
        <v>8268</v>
      </c>
      <c r="D17" s="23">
        <v>8268</v>
      </c>
    </row>
    <row r="18" spans="1:4" ht="33" x14ac:dyDescent="0.35">
      <c r="A18" s="138" t="s">
        <v>665</v>
      </c>
      <c r="B18" s="23">
        <v>8220</v>
      </c>
      <c r="C18" s="23">
        <v>8220</v>
      </c>
      <c r="D18" s="23">
        <v>8220</v>
      </c>
    </row>
    <row r="19" spans="1:4" ht="33" x14ac:dyDescent="0.35">
      <c r="A19" s="138" t="s">
        <v>462</v>
      </c>
      <c r="B19" s="27">
        <v>1400</v>
      </c>
      <c r="C19" s="27">
        <v>756</v>
      </c>
      <c r="D19" s="27">
        <f>1400-1400+200</f>
        <v>200</v>
      </c>
    </row>
    <row r="20" spans="1:4" ht="21" x14ac:dyDescent="0.35">
      <c r="A20" s="138" t="s">
        <v>664</v>
      </c>
      <c r="B20" s="27">
        <f>10000-5000-5000+5000</f>
        <v>5000</v>
      </c>
      <c r="C20" s="27">
        <v>5000</v>
      </c>
      <c r="D20" s="27">
        <f>10000-5000-5000+5000</f>
        <v>5000</v>
      </c>
    </row>
    <row r="21" spans="1:4" ht="21" x14ac:dyDescent="0.35">
      <c r="A21" s="157" t="s">
        <v>663</v>
      </c>
      <c r="B21" s="23">
        <v>1089</v>
      </c>
      <c r="C21" s="23">
        <v>1192</v>
      </c>
      <c r="D21" s="23">
        <v>1089</v>
      </c>
    </row>
    <row r="22" spans="1:4" ht="21" x14ac:dyDescent="0.35">
      <c r="A22" s="157" t="s">
        <v>553</v>
      </c>
      <c r="B22" s="23">
        <v>5000</v>
      </c>
      <c r="C22" s="23">
        <v>5900</v>
      </c>
      <c r="D22" s="23">
        <f>5000-5000</f>
        <v>0</v>
      </c>
    </row>
    <row r="23" spans="1:4" ht="21" x14ac:dyDescent="0.35">
      <c r="A23" s="157" t="s">
        <v>639</v>
      </c>
      <c r="B23" s="23"/>
      <c r="C23" s="23">
        <v>30000</v>
      </c>
      <c r="D23" s="23">
        <f>10000-10000</f>
        <v>0</v>
      </c>
    </row>
    <row r="24" spans="1:4" ht="21" x14ac:dyDescent="0.35">
      <c r="A24" s="157" t="s">
        <v>674</v>
      </c>
      <c r="B24" s="23"/>
      <c r="C24" s="23">
        <v>12000</v>
      </c>
      <c r="D24" s="23">
        <v>0</v>
      </c>
    </row>
    <row r="25" spans="1:4" ht="21" x14ac:dyDescent="0.35">
      <c r="A25" s="157" t="s">
        <v>500</v>
      </c>
      <c r="B25" s="23">
        <v>1000</v>
      </c>
      <c r="C25" s="23">
        <v>1000</v>
      </c>
      <c r="D25" s="23">
        <v>1000</v>
      </c>
    </row>
    <row r="26" spans="1:4" ht="21" x14ac:dyDescent="0.35">
      <c r="A26" s="157" t="s">
        <v>712</v>
      </c>
      <c r="B26" s="23"/>
      <c r="C26" s="23"/>
      <c r="D26" s="23">
        <f>12000+7000</f>
        <v>19000</v>
      </c>
    </row>
    <row r="27" spans="1:4" ht="21.75" thickBot="1" x14ac:dyDescent="0.4">
      <c r="A27" s="583" t="s">
        <v>662</v>
      </c>
      <c r="B27" s="23"/>
      <c r="C27" s="23">
        <v>2000</v>
      </c>
      <c r="D27" s="23">
        <v>0</v>
      </c>
    </row>
    <row r="28" spans="1:4" ht="21.75" thickBot="1" x14ac:dyDescent="0.4">
      <c r="A28" s="174" t="s">
        <v>661</v>
      </c>
      <c r="B28" s="38">
        <f>SUM(B7:B27)</f>
        <v>995977</v>
      </c>
      <c r="C28" s="38">
        <f>SUM(C7:C27)</f>
        <v>1123662</v>
      </c>
      <c r="D28" s="38">
        <f>SUM(D7:D27)</f>
        <v>936977</v>
      </c>
    </row>
    <row r="29" spans="1:4" x14ac:dyDescent="0.25">
      <c r="D29" s="48"/>
    </row>
    <row r="30" spans="1:4" x14ac:dyDescent="0.25">
      <c r="A30" s="51" t="s">
        <v>76</v>
      </c>
      <c r="B30" s="51"/>
      <c r="C30" s="51"/>
      <c r="D30" s="218"/>
    </row>
    <row r="31" spans="1:4" x14ac:dyDescent="0.25">
      <c r="D31" s="48"/>
    </row>
    <row r="32" spans="1:4" x14ac:dyDescent="0.25">
      <c r="D32" s="48"/>
    </row>
    <row r="35" spans="4:4" x14ac:dyDescent="0.25">
      <c r="D35" s="48"/>
    </row>
    <row r="39" spans="4:4" x14ac:dyDescent="0.25">
      <c r="D39" s="585"/>
    </row>
  </sheetData>
  <mergeCells count="1">
    <mergeCell ref="A2:D2"/>
  </mergeCells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1"/>
  <headerFooter alignWithMargins="0">
    <oddHeader xml:space="preserve">&amp;R&amp;"-,Félkövér"&amp;12 14. melléklet a 4/2025. (II.28.) önkormányzati rendelethez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8"/>
  <dimension ref="A1:J31"/>
  <sheetViews>
    <sheetView zoomScale="87" zoomScaleNormal="87" workbookViewId="0">
      <selection activeCell="B9" sqref="B9"/>
    </sheetView>
  </sheetViews>
  <sheetFormatPr defaultRowHeight="23.25" x14ac:dyDescent="0.35"/>
  <cols>
    <col min="1" max="1" width="141.33203125" style="47" bestFit="1" customWidth="1"/>
    <col min="2" max="2" width="38.83203125" style="47" customWidth="1"/>
    <col min="3" max="4" width="39.1640625" style="47" customWidth="1"/>
    <col min="5" max="9" width="9.33203125" style="47"/>
    <col min="10" max="10" width="38" style="261" customWidth="1"/>
    <col min="11" max="16384" width="9.33203125" style="47"/>
  </cols>
  <sheetData>
    <row r="1" spans="1:4" x14ac:dyDescent="0.35">
      <c r="A1" s="45"/>
      <c r="B1" s="45"/>
      <c r="C1" s="45"/>
      <c r="D1" s="45"/>
    </row>
    <row r="2" spans="1:4" x14ac:dyDescent="0.35">
      <c r="A2" s="971" t="s">
        <v>94</v>
      </c>
      <c r="B2" s="971"/>
      <c r="C2" s="971"/>
      <c r="D2" s="971"/>
    </row>
    <row r="3" spans="1:4" x14ac:dyDescent="0.35">
      <c r="B3" s="45"/>
      <c r="C3" s="45"/>
      <c r="D3" s="45"/>
    </row>
    <row r="4" spans="1:4" ht="24" thickBot="1" x14ac:dyDescent="0.4">
      <c r="A4" s="49"/>
      <c r="D4" s="262" t="s">
        <v>216</v>
      </c>
    </row>
    <row r="5" spans="1:4" x14ac:dyDescent="0.35">
      <c r="A5" s="144" t="s">
        <v>167</v>
      </c>
      <c r="B5" s="16" t="s">
        <v>437</v>
      </c>
      <c r="C5" s="16" t="s">
        <v>686</v>
      </c>
      <c r="D5" s="16" t="s">
        <v>476</v>
      </c>
    </row>
    <row r="6" spans="1:4" ht="24" thickBot="1" x14ac:dyDescent="0.4">
      <c r="A6" s="145"/>
      <c r="B6" s="58" t="s">
        <v>353</v>
      </c>
      <c r="C6" s="58" t="s">
        <v>368</v>
      </c>
      <c r="D6" s="58" t="s">
        <v>353</v>
      </c>
    </row>
    <row r="7" spans="1:4" x14ac:dyDescent="0.35">
      <c r="A7" s="263" t="s">
        <v>387</v>
      </c>
      <c r="B7" s="264">
        <v>330000</v>
      </c>
      <c r="C7" s="264">
        <v>439163</v>
      </c>
      <c r="D7" s="264">
        <f>330000-30000</f>
        <v>300000</v>
      </c>
    </row>
    <row r="8" spans="1:4" x14ac:dyDescent="0.35">
      <c r="A8" s="265" t="s">
        <v>660</v>
      </c>
      <c r="B8" s="264">
        <f>530000+53000-33000</f>
        <v>550000</v>
      </c>
      <c r="C8" s="264">
        <v>595312</v>
      </c>
      <c r="D8" s="264">
        <f>530000+53000-33000-50000</f>
        <v>500000</v>
      </c>
    </row>
    <row r="9" spans="1:4" x14ac:dyDescent="0.35">
      <c r="A9" s="265" t="s">
        <v>317</v>
      </c>
      <c r="B9" s="264">
        <f>10000-3000</f>
        <v>7000</v>
      </c>
      <c r="C9" s="264">
        <v>4900</v>
      </c>
      <c r="D9" s="264">
        <f>10000-3000-2000</f>
        <v>5000</v>
      </c>
    </row>
    <row r="10" spans="1:4" x14ac:dyDescent="0.35">
      <c r="A10" s="265" t="s">
        <v>77</v>
      </c>
      <c r="B10" s="264"/>
      <c r="C10" s="264">
        <v>3933</v>
      </c>
      <c r="D10" s="264"/>
    </row>
    <row r="11" spans="1:4" x14ac:dyDescent="0.35">
      <c r="A11" s="267" t="s">
        <v>430</v>
      </c>
      <c r="B11" s="264">
        <f>600000+180000</f>
        <v>780000</v>
      </c>
      <c r="C11" s="264">
        <v>839899</v>
      </c>
      <c r="D11" s="264">
        <f>600000+180000-280000+50000</f>
        <v>550000</v>
      </c>
    </row>
    <row r="12" spans="1:4" x14ac:dyDescent="0.35">
      <c r="A12" s="529" t="s">
        <v>554</v>
      </c>
      <c r="B12" s="75">
        <f>15000+35000</f>
        <v>50000</v>
      </c>
      <c r="C12" s="75">
        <v>23607</v>
      </c>
      <c r="D12" s="75">
        <f>15000+35000-50000+15000-4000</f>
        <v>11000</v>
      </c>
    </row>
    <row r="13" spans="1:4" x14ac:dyDescent="0.35">
      <c r="A13" s="267" t="s">
        <v>403</v>
      </c>
      <c r="B13" s="264">
        <v>1200</v>
      </c>
      <c r="C13" s="264">
        <v>1254</v>
      </c>
      <c r="D13" s="264">
        <v>1200</v>
      </c>
    </row>
    <row r="14" spans="1:4" x14ac:dyDescent="0.35">
      <c r="A14" s="267" t="s">
        <v>87</v>
      </c>
      <c r="B14" s="264">
        <f>2400+200</f>
        <v>2600</v>
      </c>
      <c r="C14" s="264">
        <v>4536</v>
      </c>
      <c r="D14" s="264">
        <f>2400+200</f>
        <v>2600</v>
      </c>
    </row>
    <row r="15" spans="1:4" x14ac:dyDescent="0.35">
      <c r="A15" s="267" t="s">
        <v>121</v>
      </c>
      <c r="B15" s="264">
        <v>3000</v>
      </c>
      <c r="C15" s="264">
        <v>5549</v>
      </c>
      <c r="D15" s="264">
        <v>3000</v>
      </c>
    </row>
    <row r="16" spans="1:4" x14ac:dyDescent="0.35">
      <c r="A16" s="267" t="s">
        <v>359</v>
      </c>
      <c r="B16" s="264">
        <f>3500+3000</f>
        <v>6500</v>
      </c>
      <c r="C16" s="264">
        <v>6896</v>
      </c>
      <c r="D16" s="264">
        <f>3500+3000</f>
        <v>6500</v>
      </c>
    </row>
    <row r="17" spans="1:4" x14ac:dyDescent="0.35">
      <c r="A17" s="267" t="s">
        <v>195</v>
      </c>
      <c r="B17" s="264">
        <v>4000</v>
      </c>
      <c r="C17" s="264">
        <v>17400</v>
      </c>
      <c r="D17" s="264">
        <v>4000</v>
      </c>
    </row>
    <row r="18" spans="1:4" x14ac:dyDescent="0.35">
      <c r="A18" s="267" t="s">
        <v>45</v>
      </c>
      <c r="B18" s="264">
        <v>60000</v>
      </c>
      <c r="C18" s="264">
        <v>77540</v>
      </c>
      <c r="D18" s="264">
        <f>60000+6000</f>
        <v>66000</v>
      </c>
    </row>
    <row r="19" spans="1:4" x14ac:dyDescent="0.35">
      <c r="A19" s="267" t="s">
        <v>555</v>
      </c>
      <c r="B19" s="264">
        <v>10000</v>
      </c>
      <c r="C19" s="264">
        <v>20000</v>
      </c>
      <c r="D19" s="264">
        <f>10000-10000</f>
        <v>0</v>
      </c>
    </row>
    <row r="20" spans="1:4" ht="49.5" customHeight="1" thickBot="1" x14ac:dyDescent="0.4">
      <c r="A20" s="266" t="s">
        <v>612</v>
      </c>
      <c r="B20" s="75"/>
      <c r="C20" s="75">
        <v>28632</v>
      </c>
      <c r="D20" s="75">
        <f>28632-14316+14316</f>
        <v>28632</v>
      </c>
    </row>
    <row r="21" spans="1:4" ht="24" thickBot="1" x14ac:dyDescent="0.4">
      <c r="A21" s="268" t="s">
        <v>95</v>
      </c>
      <c r="B21" s="38">
        <f>SUM(B7:B20)</f>
        <v>1804300</v>
      </c>
      <c r="C21" s="38">
        <f>SUM(C7:C20)</f>
        <v>2068621</v>
      </c>
      <c r="D21" s="38">
        <f>SUM(D7:D20)</f>
        <v>1477932</v>
      </c>
    </row>
    <row r="22" spans="1:4" x14ac:dyDescent="0.35">
      <c r="A22" s="18" t="s">
        <v>96</v>
      </c>
      <c r="B22" s="269">
        <v>1000</v>
      </c>
      <c r="C22" s="269">
        <v>820</v>
      </c>
      <c r="D22" s="269">
        <v>1000</v>
      </c>
    </row>
    <row r="23" spans="1:4" x14ac:dyDescent="0.35">
      <c r="A23" s="266" t="s">
        <v>556</v>
      </c>
      <c r="B23" s="80">
        <v>1000</v>
      </c>
      <c r="C23" s="75">
        <v>1000</v>
      </c>
      <c r="D23" s="80">
        <f>1000-1000</f>
        <v>0</v>
      </c>
    </row>
    <row r="24" spans="1:4" x14ac:dyDescent="0.35">
      <c r="A24" s="266" t="s">
        <v>557</v>
      </c>
      <c r="B24" s="80">
        <v>5000</v>
      </c>
      <c r="C24" s="75">
        <v>5000</v>
      </c>
      <c r="D24" s="80">
        <v>5000</v>
      </c>
    </row>
    <row r="25" spans="1:4" x14ac:dyDescent="0.35">
      <c r="A25" s="266" t="s">
        <v>265</v>
      </c>
      <c r="B25" s="116">
        <v>1900</v>
      </c>
      <c r="C25" s="75">
        <v>5450</v>
      </c>
      <c r="D25" s="116">
        <v>1900</v>
      </c>
    </row>
    <row r="26" spans="1:4" x14ac:dyDescent="0.35">
      <c r="A26" s="563" t="s">
        <v>613</v>
      </c>
      <c r="B26" s="116"/>
      <c r="C26" s="75">
        <v>23860</v>
      </c>
      <c r="D26" s="116"/>
    </row>
    <row r="27" spans="1:4" x14ac:dyDescent="0.35">
      <c r="A27" s="563" t="s">
        <v>614</v>
      </c>
      <c r="B27" s="116"/>
      <c r="C27" s="75">
        <v>3500</v>
      </c>
      <c r="D27" s="116"/>
    </row>
    <row r="28" spans="1:4" ht="24" thickBot="1" x14ac:dyDescent="0.4">
      <c r="A28" s="564" t="s">
        <v>615</v>
      </c>
      <c r="B28" s="270"/>
      <c r="C28" s="270">
        <v>2159</v>
      </c>
      <c r="D28" s="270"/>
    </row>
    <row r="29" spans="1:4" ht="24" thickBot="1" x14ac:dyDescent="0.4">
      <c r="A29" s="938" t="s">
        <v>307</v>
      </c>
      <c r="B29" s="95">
        <f>SUM(B21:B28)</f>
        <v>1813200</v>
      </c>
      <c r="C29" s="95">
        <f>SUM(C21:C28)</f>
        <v>2110410</v>
      </c>
      <c r="D29" s="95">
        <f>SUM(D21:D28)</f>
        <v>1485832</v>
      </c>
    </row>
    <row r="31" spans="1:4" x14ac:dyDescent="0.35">
      <c r="A31" s="51" t="s">
        <v>76</v>
      </c>
      <c r="B31" s="51"/>
      <c r="C31" s="51"/>
      <c r="D31" s="218"/>
    </row>
  </sheetData>
  <customSheetViews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8" orientation="portrait" r:id="rId3"/>
  <headerFooter alignWithMargins="0">
    <oddHeader xml:space="preserve">&amp;R&amp;"Times New Roman CE,Félkövér"&amp;12 
&amp;"-,Félkövér"15. melléklet a 4/2025. (II.28.) önkormányzati rendelethez&amp;"Times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9"/>
  <dimension ref="A1:D36"/>
  <sheetViews>
    <sheetView zoomScale="87" zoomScaleNormal="87" workbookViewId="0">
      <selection activeCell="B9" sqref="B9"/>
    </sheetView>
  </sheetViews>
  <sheetFormatPr defaultColWidth="12" defaultRowHeight="15.75" x14ac:dyDescent="0.25"/>
  <cols>
    <col min="1" max="1" width="90" style="47" customWidth="1"/>
    <col min="2" max="2" width="34" style="47" customWidth="1"/>
    <col min="3" max="3" width="39.1640625" style="47" customWidth="1"/>
    <col min="4" max="4" width="38.33203125" style="47" bestFit="1" customWidth="1"/>
    <col min="5" max="16384" width="12" style="47"/>
  </cols>
  <sheetData>
    <row r="1" spans="1:4" x14ac:dyDescent="0.25">
      <c r="A1" s="45"/>
      <c r="B1" s="45"/>
      <c r="C1" s="45"/>
      <c r="D1" s="45"/>
    </row>
    <row r="2" spans="1:4" ht="21" x14ac:dyDescent="0.35">
      <c r="A2" s="971" t="s">
        <v>108</v>
      </c>
      <c r="B2" s="971"/>
      <c r="C2" s="971"/>
      <c r="D2" s="971"/>
    </row>
    <row r="3" spans="1:4" x14ac:dyDescent="0.25">
      <c r="A3" s="45"/>
      <c r="B3" s="45"/>
      <c r="C3" s="45"/>
      <c r="D3" s="45"/>
    </row>
    <row r="4" spans="1:4" ht="19.5" thickBot="1" x14ac:dyDescent="0.35">
      <c r="A4" s="50"/>
      <c r="B4" s="51"/>
      <c r="C4" s="51"/>
      <c r="D4" s="15" t="s">
        <v>216</v>
      </c>
    </row>
    <row r="5" spans="1:4" s="180" customFormat="1" x14ac:dyDescent="0.25">
      <c r="A5" s="271" t="s">
        <v>167</v>
      </c>
      <c r="B5" s="16" t="s">
        <v>437</v>
      </c>
      <c r="C5" s="16" t="s">
        <v>686</v>
      </c>
      <c r="D5" s="16" t="s">
        <v>476</v>
      </c>
    </row>
    <row r="6" spans="1:4" s="180" customFormat="1" ht="16.5" thickBot="1" x14ac:dyDescent="0.3">
      <c r="A6" s="272"/>
      <c r="B6" s="58" t="s">
        <v>353</v>
      </c>
      <c r="C6" s="58" t="s">
        <v>368</v>
      </c>
      <c r="D6" s="58" t="s">
        <v>353</v>
      </c>
    </row>
    <row r="7" spans="1:4" ht="21" x14ac:dyDescent="0.35">
      <c r="A7" s="273" t="s">
        <v>78</v>
      </c>
      <c r="B7" s="566">
        <v>40000</v>
      </c>
      <c r="C7" s="264">
        <v>40000</v>
      </c>
      <c r="D7" s="566">
        <v>40000</v>
      </c>
    </row>
    <row r="8" spans="1:4" ht="21" x14ac:dyDescent="0.35">
      <c r="A8" s="276" t="s">
        <v>190</v>
      </c>
      <c r="B8" s="275">
        <f>17000-2000</f>
        <v>15000</v>
      </c>
      <c r="C8" s="274">
        <v>15000</v>
      </c>
      <c r="D8" s="275">
        <f>17000-2000</f>
        <v>15000</v>
      </c>
    </row>
    <row r="9" spans="1:4" ht="21" x14ac:dyDescent="0.35">
      <c r="A9" s="276" t="s">
        <v>1</v>
      </c>
      <c r="B9" s="275">
        <f>8000-3000</f>
        <v>5000</v>
      </c>
      <c r="C9" s="274">
        <v>1218</v>
      </c>
      <c r="D9" s="275">
        <f>8000-3000</f>
        <v>5000</v>
      </c>
    </row>
    <row r="10" spans="1:4" ht="21" x14ac:dyDescent="0.35">
      <c r="A10" s="276" t="s">
        <v>347</v>
      </c>
      <c r="B10" s="275">
        <f>118000+700+25000</f>
        <v>143700</v>
      </c>
      <c r="C10" s="274">
        <v>196457</v>
      </c>
      <c r="D10" s="275">
        <f>118000+700+25000-43700</f>
        <v>100000</v>
      </c>
    </row>
    <row r="11" spans="1:4" ht="21" x14ac:dyDescent="0.35">
      <c r="A11" s="276" t="s">
        <v>311</v>
      </c>
      <c r="B11" s="275">
        <v>25000</v>
      </c>
      <c r="C11" s="274">
        <v>25000</v>
      </c>
      <c r="D11" s="275">
        <f>25000-5000</f>
        <v>20000</v>
      </c>
    </row>
    <row r="12" spans="1:4" ht="21" x14ac:dyDescent="0.35">
      <c r="A12" s="277" t="s">
        <v>407</v>
      </c>
      <c r="B12" s="275">
        <v>6000</v>
      </c>
      <c r="C12" s="274">
        <v>18932</v>
      </c>
      <c r="D12" s="275">
        <v>6000</v>
      </c>
    </row>
    <row r="13" spans="1:4" ht="21" x14ac:dyDescent="0.35">
      <c r="A13" s="207" t="s">
        <v>408</v>
      </c>
      <c r="B13" s="275">
        <v>5000</v>
      </c>
      <c r="C13" s="274">
        <v>4189</v>
      </c>
      <c r="D13" s="275">
        <v>5000</v>
      </c>
    </row>
    <row r="14" spans="1:4" ht="21" x14ac:dyDescent="0.35">
      <c r="A14" s="276" t="s">
        <v>46</v>
      </c>
      <c r="B14" s="275">
        <v>800</v>
      </c>
      <c r="C14" s="274">
        <v>3264</v>
      </c>
      <c r="D14" s="275">
        <v>800</v>
      </c>
    </row>
    <row r="15" spans="1:4" ht="21" x14ac:dyDescent="0.35">
      <c r="A15" s="276" t="s">
        <v>2</v>
      </c>
      <c r="B15" s="275">
        <v>6000</v>
      </c>
      <c r="C15" s="274">
        <v>6000</v>
      </c>
      <c r="D15" s="275">
        <v>6000</v>
      </c>
    </row>
    <row r="16" spans="1:4" ht="21" x14ac:dyDescent="0.35">
      <c r="A16" s="276" t="s">
        <v>100</v>
      </c>
      <c r="B16" s="275">
        <v>2000</v>
      </c>
      <c r="C16" s="274">
        <v>6783</v>
      </c>
      <c r="D16" s="275">
        <f>2000-2000</f>
        <v>0</v>
      </c>
    </row>
    <row r="17" spans="1:4" ht="21" x14ac:dyDescent="0.35">
      <c r="A17" s="276" t="s">
        <v>191</v>
      </c>
      <c r="B17" s="275">
        <v>130000</v>
      </c>
      <c r="C17" s="274">
        <v>200184</v>
      </c>
      <c r="D17" s="275">
        <f>130000-50000-80000</f>
        <v>0</v>
      </c>
    </row>
    <row r="18" spans="1:4" ht="21" x14ac:dyDescent="0.35">
      <c r="A18" s="276" t="s">
        <v>558</v>
      </c>
      <c r="B18" s="275">
        <f>46000+19000</f>
        <v>65000</v>
      </c>
      <c r="C18" s="274">
        <v>37959</v>
      </c>
      <c r="D18" s="275">
        <f>46000+19000-35000+5000</f>
        <v>35000</v>
      </c>
    </row>
    <row r="19" spans="1:4" ht="21" x14ac:dyDescent="0.35">
      <c r="A19" s="276" t="s">
        <v>91</v>
      </c>
      <c r="B19" s="275">
        <f>18000+3000</f>
        <v>21000</v>
      </c>
      <c r="C19" s="274">
        <v>21000</v>
      </c>
      <c r="D19" s="275">
        <f>18000+3000</f>
        <v>21000</v>
      </c>
    </row>
    <row r="20" spans="1:4" ht="33" x14ac:dyDescent="0.35">
      <c r="A20" s="278" t="s">
        <v>434</v>
      </c>
      <c r="B20" s="275">
        <v>6000</v>
      </c>
      <c r="C20" s="274">
        <v>8986</v>
      </c>
      <c r="D20" s="275">
        <v>6000</v>
      </c>
    </row>
    <row r="21" spans="1:4" ht="21" x14ac:dyDescent="0.35">
      <c r="A21" s="276" t="s">
        <v>559</v>
      </c>
      <c r="B21" s="275">
        <v>4000</v>
      </c>
      <c r="C21" s="274">
        <v>16507</v>
      </c>
      <c r="D21" s="275">
        <v>4000</v>
      </c>
    </row>
    <row r="22" spans="1:4" ht="33" x14ac:dyDescent="0.35">
      <c r="A22" s="207" t="s">
        <v>312</v>
      </c>
      <c r="B22" s="275">
        <v>3000</v>
      </c>
      <c r="C22" s="274">
        <v>6151</v>
      </c>
      <c r="D22" s="275">
        <v>3000</v>
      </c>
    </row>
    <row r="23" spans="1:4" ht="21" x14ac:dyDescent="0.35">
      <c r="A23" s="130" t="s">
        <v>92</v>
      </c>
      <c r="B23" s="275">
        <v>20000</v>
      </c>
      <c r="C23" s="274">
        <v>100478</v>
      </c>
      <c r="D23" s="275">
        <f>20000-20000</f>
        <v>0</v>
      </c>
    </row>
    <row r="24" spans="1:4" ht="21" x14ac:dyDescent="0.35">
      <c r="A24" s="130" t="s">
        <v>508</v>
      </c>
      <c r="B24" s="275">
        <f>50000-40000</f>
        <v>10000</v>
      </c>
      <c r="C24" s="274">
        <v>490</v>
      </c>
      <c r="D24" s="275">
        <f>50000-40000</f>
        <v>10000</v>
      </c>
    </row>
    <row r="25" spans="1:4" ht="21" x14ac:dyDescent="0.35">
      <c r="A25" s="276" t="s">
        <v>230</v>
      </c>
      <c r="B25" s="275">
        <v>1500</v>
      </c>
      <c r="C25" s="274">
        <v>3616</v>
      </c>
      <c r="D25" s="275">
        <v>1500</v>
      </c>
    </row>
    <row r="26" spans="1:4" ht="21" x14ac:dyDescent="0.35">
      <c r="A26" s="278" t="s">
        <v>496</v>
      </c>
      <c r="B26" s="275"/>
      <c r="C26" s="274">
        <v>22300</v>
      </c>
      <c r="D26" s="275"/>
    </row>
    <row r="27" spans="1:4" ht="21" x14ac:dyDescent="0.35">
      <c r="A27" s="278" t="s">
        <v>525</v>
      </c>
      <c r="B27" s="275"/>
      <c r="C27" s="274">
        <v>2427</v>
      </c>
      <c r="D27" s="275"/>
    </row>
    <row r="28" spans="1:4" ht="21" x14ac:dyDescent="0.35">
      <c r="A28" s="278" t="s">
        <v>526</v>
      </c>
      <c r="B28" s="275"/>
      <c r="C28" s="274">
        <v>28000</v>
      </c>
      <c r="D28" s="275"/>
    </row>
    <row r="29" spans="1:4" ht="21" x14ac:dyDescent="0.35">
      <c r="A29" s="278" t="s">
        <v>489</v>
      </c>
      <c r="B29" s="275">
        <v>10000</v>
      </c>
      <c r="C29" s="274">
        <v>21728</v>
      </c>
      <c r="D29" s="275">
        <v>10000</v>
      </c>
    </row>
    <row r="30" spans="1:4" ht="33" x14ac:dyDescent="0.35">
      <c r="A30" s="278" t="s">
        <v>543</v>
      </c>
      <c r="B30" s="275"/>
      <c r="C30" s="274">
        <v>89902</v>
      </c>
      <c r="D30" s="275"/>
    </row>
    <row r="31" spans="1:4" ht="33" x14ac:dyDescent="0.35">
      <c r="A31" s="278" t="s">
        <v>640</v>
      </c>
      <c r="B31" s="275"/>
      <c r="C31" s="274">
        <v>19583</v>
      </c>
      <c r="D31" s="275"/>
    </row>
    <row r="32" spans="1:4" ht="21" x14ac:dyDescent="0.35">
      <c r="A32" s="278" t="s">
        <v>544</v>
      </c>
      <c r="B32" s="275">
        <v>400000</v>
      </c>
      <c r="C32" s="274">
        <v>390326</v>
      </c>
      <c r="D32" s="275">
        <f>400000-400000</f>
        <v>0</v>
      </c>
    </row>
    <row r="33" spans="1:4" ht="21.75" thickBot="1" x14ac:dyDescent="0.4">
      <c r="A33" s="593" t="s">
        <v>717</v>
      </c>
      <c r="B33" s="280"/>
      <c r="C33" s="279"/>
      <c r="D33" s="280">
        <f>100000-21000</f>
        <v>79000</v>
      </c>
    </row>
    <row r="34" spans="1:4" ht="21.75" thickBot="1" x14ac:dyDescent="0.4">
      <c r="A34" s="939" t="s">
        <v>308</v>
      </c>
      <c r="B34" s="38">
        <f>SUM(B7:B33)</f>
        <v>919000</v>
      </c>
      <c r="C34" s="38">
        <f t="shared" ref="C34:D34" si="0">SUM(C7:C33)</f>
        <v>1286480</v>
      </c>
      <c r="D34" s="38">
        <f t="shared" si="0"/>
        <v>367300</v>
      </c>
    </row>
    <row r="36" spans="1:4" x14ac:dyDescent="0.25">
      <c r="A36" s="51" t="s">
        <v>76</v>
      </c>
      <c r="B36" s="51"/>
      <c r="C36" s="51"/>
      <c r="D36" s="218"/>
    </row>
  </sheetData>
  <customSheetViews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1" orientation="portrait" r:id="rId3"/>
  <headerFooter alignWithMargins="0">
    <oddHeader xml:space="preserve">&amp;R&amp;"-,Félkövér"&amp;12 16. melléklet a 4/2025. (II.28.) önkormányzati rendelethez&amp;"Times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32"/>
  <dimension ref="A1:E35"/>
  <sheetViews>
    <sheetView zoomScale="75" zoomScaleNormal="75" workbookViewId="0">
      <selection activeCell="B9" sqref="B9"/>
    </sheetView>
  </sheetViews>
  <sheetFormatPr defaultColWidth="10.6640625" defaultRowHeight="15.75" x14ac:dyDescent="0.25"/>
  <cols>
    <col min="1" max="1" width="6" style="281" customWidth="1"/>
    <col min="2" max="2" width="133.5" style="281" customWidth="1"/>
    <col min="3" max="3" width="37.83203125" style="281" customWidth="1"/>
    <col min="4" max="4" width="39.1640625" style="281" customWidth="1"/>
    <col min="5" max="5" width="38.1640625" style="281" bestFit="1" customWidth="1"/>
    <col min="6" max="16384" width="10.6640625" style="281"/>
  </cols>
  <sheetData>
    <row r="1" spans="1:5" ht="18.75" x14ac:dyDescent="0.3">
      <c r="A1" s="979" t="s">
        <v>141</v>
      </c>
      <c r="B1" s="979"/>
      <c r="C1" s="979"/>
      <c r="D1" s="979"/>
      <c r="E1" s="979"/>
    </row>
    <row r="2" spans="1:5" ht="19.5" thickBot="1" x14ac:dyDescent="0.35">
      <c r="B2" s="282"/>
      <c r="C2" s="282"/>
      <c r="D2" s="282"/>
      <c r="E2" s="15" t="s">
        <v>216</v>
      </c>
    </row>
    <row r="3" spans="1:5" ht="18" customHeight="1" x14ac:dyDescent="0.25">
      <c r="A3" s="283"/>
      <c r="B3" s="284" t="s">
        <v>167</v>
      </c>
      <c r="C3" s="16" t="s">
        <v>437</v>
      </c>
      <c r="D3" s="16" t="s">
        <v>686</v>
      </c>
      <c r="E3" s="16" t="s">
        <v>476</v>
      </c>
    </row>
    <row r="4" spans="1:5" ht="33" customHeight="1" thickBot="1" x14ac:dyDescent="0.3">
      <c r="A4" s="285"/>
      <c r="B4" s="286"/>
      <c r="C4" s="17" t="s">
        <v>353</v>
      </c>
      <c r="D4" s="17" t="s">
        <v>368</v>
      </c>
      <c r="E4" s="17" t="s">
        <v>353</v>
      </c>
    </row>
    <row r="5" spans="1:5" x14ac:dyDescent="0.25">
      <c r="A5" s="287" t="s">
        <v>63</v>
      </c>
      <c r="B5" s="288"/>
      <c r="C5" s="289"/>
      <c r="D5" s="289"/>
      <c r="E5" s="289"/>
    </row>
    <row r="6" spans="1:5" ht="21" x14ac:dyDescent="0.35">
      <c r="A6" s="11"/>
      <c r="B6" s="292" t="s">
        <v>28</v>
      </c>
      <c r="C6" s="293"/>
      <c r="D6" s="293"/>
      <c r="E6" s="293"/>
    </row>
    <row r="7" spans="1:5" x14ac:dyDescent="0.25">
      <c r="A7" s="12"/>
      <c r="B7" s="180"/>
      <c r="C7" s="294"/>
      <c r="D7" s="294"/>
      <c r="E7" s="294"/>
    </row>
    <row r="8" spans="1:5" ht="21" x14ac:dyDescent="0.35">
      <c r="A8" s="295"/>
      <c r="B8" s="296" t="s">
        <v>53</v>
      </c>
      <c r="C8" s="293">
        <f>SUM(C7)</f>
        <v>0</v>
      </c>
      <c r="D8" s="293">
        <f>SUM(D7)</f>
        <v>0</v>
      </c>
      <c r="E8" s="293">
        <f>SUM(E7)</f>
        <v>0</v>
      </c>
    </row>
    <row r="9" spans="1:5" ht="33" x14ac:dyDescent="0.35">
      <c r="A9" s="295"/>
      <c r="B9" s="297" t="s">
        <v>490</v>
      </c>
      <c r="C9" s="291"/>
      <c r="D9" s="291">
        <v>568871</v>
      </c>
      <c r="E9" s="291"/>
    </row>
    <row r="10" spans="1:5" ht="21.75" thickBot="1" x14ac:dyDescent="0.4">
      <c r="A10" s="298"/>
      <c r="B10" s="299" t="s">
        <v>29</v>
      </c>
      <c r="C10" s="300">
        <f>SUM(C9:C9)</f>
        <v>0</v>
      </c>
      <c r="D10" s="300">
        <f>SUM(D9:D9)</f>
        <v>568871</v>
      </c>
      <c r="E10" s="300">
        <f>SUM(E9:E9)</f>
        <v>0</v>
      </c>
    </row>
    <row r="11" spans="1:5" ht="25.35" customHeight="1" thickBot="1" x14ac:dyDescent="0.4">
      <c r="A11" s="977" t="s">
        <v>67</v>
      </c>
      <c r="B11" s="978"/>
      <c r="C11" s="301">
        <f>C6+C8+C10</f>
        <v>0</v>
      </c>
      <c r="D11" s="301">
        <f>D6+D8+D10</f>
        <v>568871</v>
      </c>
      <c r="E11" s="301">
        <f>E6+E8+E10</f>
        <v>0</v>
      </c>
    </row>
    <row r="12" spans="1:5" x14ac:dyDescent="0.25">
      <c r="A12" s="287" t="s">
        <v>61</v>
      </c>
      <c r="B12" s="288"/>
      <c r="C12" s="289"/>
      <c r="D12" s="289"/>
      <c r="E12" s="289"/>
    </row>
    <row r="13" spans="1:5" ht="21" x14ac:dyDescent="0.35">
      <c r="A13" s="12"/>
      <c r="B13" s="302" t="s">
        <v>136</v>
      </c>
      <c r="C13" s="290">
        <f>70931+595980-595980+203160</f>
        <v>274091</v>
      </c>
      <c r="D13" s="291">
        <v>363931</v>
      </c>
      <c r="E13" s="290">
        <f>500000+500000</f>
        <v>1000000</v>
      </c>
    </row>
    <row r="14" spans="1:5" ht="21" x14ac:dyDescent="0.35">
      <c r="A14" s="12"/>
      <c r="B14" s="302" t="s">
        <v>567</v>
      </c>
      <c r="C14" s="290">
        <v>15400</v>
      </c>
      <c r="D14" s="291">
        <v>15400</v>
      </c>
      <c r="E14" s="290"/>
    </row>
    <row r="15" spans="1:5" ht="21" x14ac:dyDescent="0.35">
      <c r="A15" s="12"/>
      <c r="B15" s="302" t="s">
        <v>527</v>
      </c>
      <c r="C15" s="291"/>
      <c r="D15" s="291">
        <v>1000</v>
      </c>
      <c r="E15" s="290"/>
    </row>
    <row r="16" spans="1:5" ht="21.75" thickBot="1" x14ac:dyDescent="0.4">
      <c r="A16" s="12"/>
      <c r="B16" s="302" t="s">
        <v>545</v>
      </c>
      <c r="C16" s="291"/>
      <c r="D16" s="291">
        <v>33600</v>
      </c>
      <c r="E16" s="290"/>
    </row>
    <row r="17" spans="1:5" ht="21.75" thickBot="1" x14ac:dyDescent="0.4">
      <c r="A17" s="303" t="s">
        <v>62</v>
      </c>
      <c r="B17" s="304"/>
      <c r="C17" s="31">
        <f>SUM(C13:C16)</f>
        <v>289491</v>
      </c>
      <c r="D17" s="31">
        <f>SUM(D13:D16)</f>
        <v>413931</v>
      </c>
      <c r="E17" s="31">
        <f>SUM(E13:E16)</f>
        <v>1000000</v>
      </c>
    </row>
    <row r="18" spans="1:5" ht="16.5" customHeight="1" x14ac:dyDescent="0.25">
      <c r="A18" s="305" t="s">
        <v>68</v>
      </c>
      <c r="B18" s="306"/>
      <c r="C18" s="307"/>
      <c r="D18" s="307"/>
      <c r="E18" s="307"/>
    </row>
    <row r="19" spans="1:5" ht="44.25" customHeight="1" x14ac:dyDescent="0.25">
      <c r="A19" s="308"/>
      <c r="B19" s="309" t="s">
        <v>31</v>
      </c>
      <c r="C19" s="310"/>
      <c r="D19" s="310"/>
      <c r="E19" s="310"/>
    </row>
    <row r="20" spans="1:5" ht="21" x14ac:dyDescent="0.35">
      <c r="A20" s="12"/>
      <c r="B20" s="311" t="s">
        <v>138</v>
      </c>
      <c r="C20" s="290">
        <v>10000</v>
      </c>
      <c r="D20" s="290">
        <v>11449</v>
      </c>
      <c r="E20" s="290">
        <v>8000</v>
      </c>
    </row>
    <row r="21" spans="1:5" ht="21" x14ac:dyDescent="0.35">
      <c r="A21" s="12"/>
      <c r="B21" s="312" t="s">
        <v>120</v>
      </c>
      <c r="C21" s="290"/>
      <c r="D21" s="290">
        <v>2037</v>
      </c>
      <c r="E21" s="290"/>
    </row>
    <row r="22" spans="1:5" ht="21" x14ac:dyDescent="0.35">
      <c r="A22" s="308"/>
      <c r="B22" s="313" t="s">
        <v>32</v>
      </c>
      <c r="C22" s="314"/>
      <c r="D22" s="315"/>
      <c r="E22" s="314"/>
    </row>
    <row r="23" spans="1:5" ht="21" x14ac:dyDescent="0.35">
      <c r="A23" s="12"/>
      <c r="B23" s="311" t="s">
        <v>463</v>
      </c>
      <c r="C23" s="290"/>
      <c r="D23" s="290">
        <v>103863</v>
      </c>
      <c r="E23" s="290"/>
    </row>
    <row r="24" spans="1:5" ht="21" x14ac:dyDescent="0.35">
      <c r="A24" s="975" t="s">
        <v>69</v>
      </c>
      <c r="B24" s="976"/>
      <c r="C24" s="316">
        <f>SUM(C19:C22)</f>
        <v>10000</v>
      </c>
      <c r="D24" s="316">
        <f>SUM(D19:D23)</f>
        <v>117349</v>
      </c>
      <c r="E24" s="316">
        <f>SUM(E19:E22)</f>
        <v>8000</v>
      </c>
    </row>
    <row r="25" spans="1:5" x14ac:dyDescent="0.25">
      <c r="A25" s="176" t="s">
        <v>109</v>
      </c>
      <c r="B25" s="317"/>
      <c r="C25" s="318"/>
      <c r="D25" s="318"/>
      <c r="E25" s="318"/>
    </row>
    <row r="26" spans="1:5" ht="21" x14ac:dyDescent="0.35">
      <c r="A26" s="308"/>
      <c r="B26" s="319" t="s">
        <v>391</v>
      </c>
      <c r="C26" s="320"/>
      <c r="D26" s="320">
        <v>160</v>
      </c>
      <c r="E26" s="290"/>
    </row>
    <row r="27" spans="1:5" ht="21" x14ac:dyDescent="0.35">
      <c r="A27" s="308"/>
      <c r="B27" s="319" t="s">
        <v>103</v>
      </c>
      <c r="C27" s="320"/>
      <c r="D27" s="320">
        <v>43280</v>
      </c>
      <c r="E27" s="290"/>
    </row>
    <row r="28" spans="1:5" ht="21" x14ac:dyDescent="0.35">
      <c r="A28" s="308"/>
      <c r="B28" s="319" t="s">
        <v>115</v>
      </c>
      <c r="C28" s="320"/>
      <c r="D28" s="320">
        <v>6826</v>
      </c>
      <c r="E28" s="290"/>
    </row>
    <row r="29" spans="1:5" ht="21" x14ac:dyDescent="0.35">
      <c r="A29" s="308"/>
      <c r="B29" s="319" t="s">
        <v>256</v>
      </c>
      <c r="C29" s="320">
        <v>250</v>
      </c>
      <c r="D29" s="320">
        <v>272</v>
      </c>
      <c r="E29" s="290"/>
    </row>
    <row r="30" spans="1:5" ht="21" x14ac:dyDescent="0.35">
      <c r="A30" s="308"/>
      <c r="B30" s="319" t="s">
        <v>13</v>
      </c>
      <c r="C30" s="320"/>
      <c r="D30" s="320"/>
      <c r="E30" s="290"/>
    </row>
    <row r="31" spans="1:5" ht="21" x14ac:dyDescent="0.35">
      <c r="A31" s="308"/>
      <c r="B31" s="319" t="s">
        <v>152</v>
      </c>
      <c r="C31" s="320"/>
      <c r="D31" s="320"/>
      <c r="E31" s="290"/>
    </row>
    <row r="32" spans="1:5" ht="21" x14ac:dyDescent="0.35">
      <c r="A32" s="308"/>
      <c r="B32" s="319" t="s">
        <v>4</v>
      </c>
      <c r="C32" s="320"/>
      <c r="D32" s="320">
        <v>1653</v>
      </c>
      <c r="E32" s="290"/>
    </row>
    <row r="33" spans="1:5" ht="21" x14ac:dyDescent="0.35">
      <c r="A33" s="975" t="s">
        <v>66</v>
      </c>
      <c r="B33" s="976"/>
      <c r="C33" s="321">
        <f>SUM(C26:C32)</f>
        <v>250</v>
      </c>
      <c r="D33" s="321">
        <f>SUM(D26:D32)</f>
        <v>52191</v>
      </c>
      <c r="E33" s="321">
        <f>SUM(E26:E32)</f>
        <v>0</v>
      </c>
    </row>
    <row r="34" spans="1:5" ht="21.75" thickBot="1" x14ac:dyDescent="0.4">
      <c r="A34" s="973" t="s">
        <v>309</v>
      </c>
      <c r="B34" s="974"/>
      <c r="C34" s="322">
        <f>C17+C11+C24+C33</f>
        <v>299741</v>
      </c>
      <c r="D34" s="322">
        <f>D17+D11+D24+D33</f>
        <v>1152342</v>
      </c>
      <c r="E34" s="322">
        <f>E17+E11+E24+E33</f>
        <v>1008000</v>
      </c>
    </row>
    <row r="35" spans="1:5" x14ac:dyDescent="0.25">
      <c r="A35" s="323"/>
      <c r="B35" s="323"/>
      <c r="C35" s="323"/>
      <c r="D35" s="323"/>
      <c r="E35" s="323"/>
    </row>
  </sheetData>
  <mergeCells count="5">
    <mergeCell ref="A34:B34"/>
    <mergeCell ref="A24:B24"/>
    <mergeCell ref="A11:B11"/>
    <mergeCell ref="A33:B33"/>
    <mergeCell ref="A1:E1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9" orientation="portrait" r:id="rId1"/>
  <headerFooter alignWithMargins="0">
    <oddHeader xml:space="preserve">&amp;R&amp;"-,Félkövér"&amp;12 17. melléklet a 4/2025. (II.28.) önkormányzati rendelethe&amp;"Times New Roman CE,Félkövér"z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21"/>
  <dimension ref="A1:K80"/>
  <sheetViews>
    <sheetView zoomScale="91" zoomScaleNormal="91" zoomScalePageLayoutView="55" workbookViewId="0">
      <selection activeCell="B9" sqref="B9"/>
    </sheetView>
  </sheetViews>
  <sheetFormatPr defaultColWidth="10.6640625" defaultRowHeight="15" customHeight="1" x14ac:dyDescent="0.3"/>
  <cols>
    <col min="1" max="1" width="5.6640625" style="36" customWidth="1"/>
    <col min="2" max="2" width="146.5" style="36" customWidth="1"/>
    <col min="3" max="3" width="33.1640625" style="36" customWidth="1"/>
    <col min="4" max="4" width="36" style="36" customWidth="1"/>
    <col min="5" max="5" width="33.1640625" style="36" customWidth="1"/>
    <col min="6" max="6" width="29.33203125" style="36" customWidth="1"/>
    <col min="7" max="7" width="26.6640625" style="36" customWidth="1"/>
    <col min="8" max="8" width="38.1640625" style="36" customWidth="1"/>
    <col min="9" max="9" width="10.6640625" style="326"/>
    <col min="10" max="10" width="12.33203125" style="36" bestFit="1" customWidth="1"/>
    <col min="11" max="16384" width="10.6640625" style="36"/>
  </cols>
  <sheetData>
    <row r="1" spans="1:9" ht="15" customHeight="1" x14ac:dyDescent="0.3">
      <c r="A1" s="324"/>
      <c r="B1" s="324"/>
      <c r="C1" s="325"/>
      <c r="D1" s="325"/>
      <c r="E1" s="325"/>
      <c r="F1" s="325"/>
      <c r="G1" s="325"/>
      <c r="H1" s="325"/>
    </row>
    <row r="2" spans="1:9" ht="23.25" customHeight="1" x14ac:dyDescent="0.35">
      <c r="A2" s="984" t="s">
        <v>169</v>
      </c>
      <c r="B2" s="984"/>
      <c r="C2" s="984"/>
      <c r="D2" s="984"/>
      <c r="E2" s="984"/>
      <c r="F2" s="984"/>
      <c r="G2" s="984"/>
      <c r="H2" s="324"/>
    </row>
    <row r="3" spans="1:9" ht="15" customHeight="1" thickBot="1" x14ac:dyDescent="0.35">
      <c r="A3" s="36" t="s">
        <v>12</v>
      </c>
      <c r="F3" s="15"/>
      <c r="G3" s="15" t="s">
        <v>216</v>
      </c>
      <c r="H3" s="15"/>
      <c r="I3" s="36"/>
    </row>
    <row r="4" spans="1:9" ht="18.75" customHeight="1" x14ac:dyDescent="0.3">
      <c r="A4" s="980" t="s">
        <v>167</v>
      </c>
      <c r="B4" s="981"/>
      <c r="C4" s="16" t="s">
        <v>437</v>
      </c>
      <c r="D4" s="16" t="s">
        <v>686</v>
      </c>
      <c r="E4" s="16" t="s">
        <v>476</v>
      </c>
      <c r="F4" s="16" t="s">
        <v>513</v>
      </c>
      <c r="G4" s="16" t="s">
        <v>589</v>
      </c>
      <c r="H4" s="46"/>
      <c r="I4" s="36"/>
    </row>
    <row r="5" spans="1:9" ht="31.5" customHeight="1" thickBot="1" x14ac:dyDescent="0.35">
      <c r="A5" s="327"/>
      <c r="B5" s="328"/>
      <c r="C5" s="17" t="s">
        <v>353</v>
      </c>
      <c r="D5" s="17" t="s">
        <v>368</v>
      </c>
      <c r="E5" s="17" t="s">
        <v>353</v>
      </c>
      <c r="F5" s="272" t="s">
        <v>353</v>
      </c>
      <c r="G5" s="272" t="s">
        <v>353</v>
      </c>
      <c r="H5" s="46"/>
      <c r="I5" s="36"/>
    </row>
    <row r="6" spans="1:9" ht="21" x14ac:dyDescent="0.35">
      <c r="A6" s="329" t="s">
        <v>179</v>
      </c>
      <c r="B6" s="330" t="s">
        <v>137</v>
      </c>
      <c r="C6" s="331"/>
      <c r="D6" s="331"/>
      <c r="E6" s="331"/>
      <c r="F6" s="331"/>
      <c r="G6" s="331"/>
      <c r="H6" s="332"/>
      <c r="I6" s="36"/>
    </row>
    <row r="7" spans="1:9" ht="21" x14ac:dyDescent="0.35">
      <c r="A7" s="333"/>
      <c r="B7" s="335" t="s">
        <v>491</v>
      </c>
      <c r="C7" s="320"/>
      <c r="D7" s="334">
        <v>81755</v>
      </c>
      <c r="E7" s="320"/>
      <c r="F7" s="320"/>
      <c r="G7" s="320"/>
      <c r="H7" s="332"/>
      <c r="I7" s="36"/>
    </row>
    <row r="8" spans="1:9" ht="21" x14ac:dyDescent="0.35">
      <c r="A8" s="333"/>
      <c r="B8" s="565" t="s">
        <v>616</v>
      </c>
      <c r="C8" s="320"/>
      <c r="D8" s="334">
        <v>18411</v>
      </c>
      <c r="E8" s="320"/>
      <c r="F8" s="320"/>
      <c r="G8" s="320"/>
      <c r="H8" s="332"/>
      <c r="I8" s="36"/>
    </row>
    <row r="9" spans="1:9" ht="21" x14ac:dyDescent="0.35">
      <c r="A9" s="333"/>
      <c r="B9" s="565" t="s">
        <v>617</v>
      </c>
      <c r="C9" s="320"/>
      <c r="D9" s="334">
        <v>3783</v>
      </c>
      <c r="E9" s="320"/>
      <c r="F9" s="320"/>
      <c r="G9" s="320"/>
      <c r="H9" s="332"/>
      <c r="I9" s="36"/>
    </row>
    <row r="10" spans="1:9" ht="38.25" x14ac:dyDescent="0.35">
      <c r="A10" s="333"/>
      <c r="B10" s="565" t="s">
        <v>676</v>
      </c>
      <c r="C10" s="320"/>
      <c r="D10" s="334">
        <v>4000</v>
      </c>
      <c r="E10" s="320"/>
      <c r="F10" s="320"/>
      <c r="G10" s="320"/>
      <c r="H10" s="332"/>
      <c r="I10" s="36"/>
    </row>
    <row r="11" spans="1:9" ht="21" x14ac:dyDescent="0.35">
      <c r="A11" s="333"/>
      <c r="B11" s="565" t="s">
        <v>695</v>
      </c>
      <c r="C11" s="320"/>
      <c r="D11" s="334">
        <v>21345</v>
      </c>
      <c r="E11" s="320"/>
      <c r="F11" s="320"/>
      <c r="G11" s="320"/>
      <c r="H11" s="332"/>
      <c r="I11" s="36"/>
    </row>
    <row r="12" spans="1:9" ht="21" x14ac:dyDescent="0.35">
      <c r="A12" s="333"/>
      <c r="B12" s="565" t="s">
        <v>675</v>
      </c>
      <c r="C12" s="320"/>
      <c r="D12" s="334">
        <v>8729</v>
      </c>
      <c r="E12" s="320">
        <v>50000</v>
      </c>
      <c r="F12" s="320">
        <v>10000</v>
      </c>
      <c r="G12" s="320">
        <v>10000</v>
      </c>
      <c r="H12" s="332"/>
      <c r="I12" s="36"/>
    </row>
    <row r="13" spans="1:9" ht="21" x14ac:dyDescent="0.35">
      <c r="A13" s="336"/>
      <c r="B13" s="337" t="s">
        <v>165</v>
      </c>
      <c r="C13" s="316">
        <f>SUM(C7:C12)</f>
        <v>0</v>
      </c>
      <c r="D13" s="316">
        <f>SUM(D7:D12)</f>
        <v>138023</v>
      </c>
      <c r="E13" s="316">
        <f>SUM(E7:E12)</f>
        <v>50000</v>
      </c>
      <c r="F13" s="316">
        <f>SUM(F7:F12)</f>
        <v>10000</v>
      </c>
      <c r="G13" s="316">
        <f>SUM(G7:G12)</f>
        <v>10000</v>
      </c>
      <c r="H13" s="332"/>
      <c r="I13" s="36"/>
    </row>
    <row r="14" spans="1:9" ht="15" customHeight="1" x14ac:dyDescent="0.35">
      <c r="A14" s="339" t="s">
        <v>180</v>
      </c>
      <c r="B14" s="340" t="s">
        <v>166</v>
      </c>
      <c r="C14" s="342"/>
      <c r="D14" s="341"/>
      <c r="E14" s="342"/>
      <c r="F14" s="342"/>
      <c r="G14" s="342"/>
      <c r="H14" s="332"/>
      <c r="I14" s="36"/>
    </row>
    <row r="15" spans="1:9" ht="21" x14ac:dyDescent="0.35">
      <c r="A15" s="329"/>
      <c r="B15" s="565" t="s">
        <v>699</v>
      </c>
      <c r="C15" s="290"/>
      <c r="D15" s="344"/>
      <c r="E15" s="290">
        <v>100000</v>
      </c>
      <c r="F15" s="290">
        <v>200000</v>
      </c>
      <c r="G15" s="290"/>
      <c r="H15" s="332"/>
      <c r="I15" s="36"/>
    </row>
    <row r="16" spans="1:9" ht="21" x14ac:dyDescent="0.35">
      <c r="A16" s="336"/>
      <c r="B16" s="337" t="s">
        <v>133</v>
      </c>
      <c r="C16" s="316">
        <f>SUM(C15:C15)</f>
        <v>0</v>
      </c>
      <c r="D16" s="338">
        <f>SUM(D15:D15)</f>
        <v>0</v>
      </c>
      <c r="E16" s="316">
        <f>SUM(E15:E15)</f>
        <v>100000</v>
      </c>
      <c r="F16" s="338">
        <f>SUM(F15:F15)</f>
        <v>200000</v>
      </c>
      <c r="G16" s="338">
        <f>SUM(G15:G15)</f>
        <v>0</v>
      </c>
      <c r="H16" s="332"/>
      <c r="I16" s="36"/>
    </row>
    <row r="17" spans="1:11" ht="15" customHeight="1" x14ac:dyDescent="0.35">
      <c r="A17" s="329" t="s">
        <v>181</v>
      </c>
      <c r="B17" s="340" t="s">
        <v>178</v>
      </c>
      <c r="C17" s="342"/>
      <c r="D17" s="342"/>
      <c r="E17" s="342"/>
      <c r="F17" s="342"/>
      <c r="G17" s="342"/>
      <c r="H17" s="332"/>
      <c r="I17" s="36"/>
    </row>
    <row r="18" spans="1:11" ht="21" x14ac:dyDescent="0.35">
      <c r="A18" s="333"/>
      <c r="B18" s="343"/>
      <c r="C18" s="290"/>
      <c r="D18" s="346"/>
      <c r="E18" s="290"/>
      <c r="F18" s="290"/>
      <c r="G18" s="290"/>
      <c r="H18" s="332"/>
      <c r="I18" s="36"/>
    </row>
    <row r="19" spans="1:11" ht="15" customHeight="1" x14ac:dyDescent="0.35">
      <c r="A19" s="336"/>
      <c r="B19" s="337" t="s">
        <v>147</v>
      </c>
      <c r="C19" s="316">
        <f>SUM(C18:C18)</f>
        <v>0</v>
      </c>
      <c r="D19" s="338">
        <f>SUM(D18:D18)</f>
        <v>0</v>
      </c>
      <c r="E19" s="316">
        <f>SUM(E18:E18)</f>
        <v>0</v>
      </c>
      <c r="F19" s="316">
        <f>SUM(F18:F18)</f>
        <v>0</v>
      </c>
      <c r="G19" s="316">
        <f>SUM(G18:G18)</f>
        <v>0</v>
      </c>
      <c r="H19" s="332"/>
      <c r="I19" s="36"/>
    </row>
    <row r="20" spans="1:11" ht="15" customHeight="1" x14ac:dyDescent="0.35">
      <c r="A20" s="329" t="s">
        <v>182</v>
      </c>
      <c r="B20" s="340" t="s">
        <v>183</v>
      </c>
      <c r="C20" s="342"/>
      <c r="D20" s="342"/>
      <c r="E20" s="342"/>
      <c r="F20" s="342"/>
      <c r="G20" s="342"/>
      <c r="H20" s="332"/>
      <c r="I20" s="36"/>
    </row>
    <row r="21" spans="1:11" ht="21" x14ac:dyDescent="0.35">
      <c r="A21" s="333"/>
      <c r="B21" s="347" t="s">
        <v>366</v>
      </c>
      <c r="C21" s="290"/>
      <c r="D21" s="21">
        <v>108283</v>
      </c>
      <c r="E21" s="290">
        <f>15000+20000-20000</f>
        <v>15000</v>
      </c>
      <c r="F21" s="290">
        <v>15000</v>
      </c>
      <c r="G21" s="290">
        <v>15000</v>
      </c>
      <c r="H21" s="332"/>
      <c r="I21" s="36"/>
    </row>
    <row r="22" spans="1:11" ht="21" x14ac:dyDescent="0.35">
      <c r="A22" s="333"/>
      <c r="B22" s="537" t="s">
        <v>658</v>
      </c>
      <c r="C22" s="291"/>
      <c r="D22" s="24"/>
      <c r="E22" s="291">
        <v>40000</v>
      </c>
      <c r="F22" s="291"/>
      <c r="G22" s="291"/>
      <c r="H22" s="332"/>
      <c r="I22" s="36"/>
    </row>
    <row r="23" spans="1:11" ht="21" x14ac:dyDescent="0.35">
      <c r="A23" s="333"/>
      <c r="B23" s="537" t="s">
        <v>568</v>
      </c>
      <c r="C23" s="345">
        <v>15400</v>
      </c>
      <c r="D23" s="34">
        <v>15400</v>
      </c>
      <c r="E23" s="345"/>
      <c r="F23" s="345"/>
      <c r="G23" s="345"/>
      <c r="H23" s="332"/>
      <c r="I23" s="36"/>
    </row>
    <row r="24" spans="1:11" ht="21" x14ac:dyDescent="0.35">
      <c r="A24" s="336"/>
      <c r="B24" s="348" t="s">
        <v>148</v>
      </c>
      <c r="C24" s="316">
        <f>SUM(C21:C23)</f>
        <v>15400</v>
      </c>
      <c r="D24" s="316">
        <f>SUM(D21:D23)</f>
        <v>123683</v>
      </c>
      <c r="E24" s="316">
        <f>SUM(E21:E23)</f>
        <v>55000</v>
      </c>
      <c r="F24" s="316">
        <f>SUM(F21:F23)</f>
        <v>15000</v>
      </c>
      <c r="G24" s="316">
        <f>SUM(G21:G23)</f>
        <v>15000</v>
      </c>
      <c r="H24" s="332"/>
      <c r="I24" s="36"/>
      <c r="K24" s="349"/>
    </row>
    <row r="25" spans="1:11" ht="15" customHeight="1" x14ac:dyDescent="0.35">
      <c r="A25" s="329" t="s">
        <v>184</v>
      </c>
      <c r="B25" s="340" t="s">
        <v>149</v>
      </c>
      <c r="C25" s="342"/>
      <c r="D25" s="342"/>
      <c r="E25" s="342"/>
      <c r="F25" s="342"/>
      <c r="G25" s="342"/>
      <c r="H25" s="332"/>
      <c r="I25" s="36"/>
    </row>
    <row r="26" spans="1:11" ht="21" x14ac:dyDescent="0.35">
      <c r="A26" s="350" t="s">
        <v>176</v>
      </c>
      <c r="B26" s="351"/>
      <c r="C26" s="352"/>
      <c r="D26" s="352"/>
      <c r="E26" s="352"/>
      <c r="F26" s="352"/>
      <c r="G26" s="352"/>
      <c r="H26" s="332"/>
      <c r="I26" s="36"/>
    </row>
    <row r="27" spans="1:11" ht="21" x14ac:dyDescent="0.35">
      <c r="A27" s="333"/>
      <c r="B27" s="353" t="s">
        <v>283</v>
      </c>
      <c r="C27" s="21"/>
      <c r="D27" s="21">
        <v>715232</v>
      </c>
      <c r="E27" s="21"/>
      <c r="F27" s="21"/>
      <c r="G27" s="21"/>
      <c r="H27" s="332"/>
      <c r="I27" s="36"/>
    </row>
    <row r="28" spans="1:11" ht="21" x14ac:dyDescent="0.35">
      <c r="A28" s="333"/>
      <c r="B28" s="353" t="s">
        <v>360</v>
      </c>
      <c r="C28" s="21"/>
      <c r="D28" s="21">
        <v>103019</v>
      </c>
      <c r="E28" s="21"/>
      <c r="F28" s="21"/>
      <c r="G28" s="21"/>
      <c r="H28" s="332"/>
      <c r="I28" s="36"/>
    </row>
    <row r="29" spans="1:11" ht="21" x14ac:dyDescent="0.35">
      <c r="A29" s="333"/>
      <c r="B29" s="353" t="s">
        <v>618</v>
      </c>
      <c r="C29" s="34"/>
      <c r="D29" s="34">
        <v>500</v>
      </c>
      <c r="E29" s="34"/>
      <c r="F29" s="34"/>
      <c r="G29" s="34"/>
      <c r="H29" s="332"/>
      <c r="I29" s="36"/>
    </row>
    <row r="30" spans="1:11" ht="21" x14ac:dyDescent="0.35">
      <c r="A30" s="350" t="s">
        <v>175</v>
      </c>
      <c r="B30" s="351"/>
      <c r="C30" s="172"/>
      <c r="D30" s="172"/>
      <c r="E30" s="172"/>
      <c r="F30" s="172"/>
      <c r="G30" s="172"/>
      <c r="H30" s="332"/>
      <c r="I30" s="36"/>
    </row>
    <row r="31" spans="1:11" ht="21" x14ac:dyDescent="0.35">
      <c r="A31" s="333"/>
      <c r="B31" s="347" t="s">
        <v>528</v>
      </c>
      <c r="C31" s="290"/>
      <c r="D31" s="21">
        <v>9990</v>
      </c>
      <c r="E31" s="290"/>
      <c r="F31" s="290"/>
      <c r="G31" s="290"/>
      <c r="H31" s="332"/>
      <c r="I31" s="36"/>
    </row>
    <row r="32" spans="1:11" ht="21" x14ac:dyDescent="0.35">
      <c r="A32" s="333"/>
      <c r="B32" s="347" t="s">
        <v>478</v>
      </c>
      <c r="C32" s="290"/>
      <c r="D32" s="21">
        <v>7239</v>
      </c>
      <c r="E32" s="290">
        <f>196761-196761</f>
        <v>0</v>
      </c>
      <c r="F32" s="290">
        <v>196761</v>
      </c>
      <c r="G32" s="290"/>
      <c r="H32" s="332"/>
      <c r="I32" s="36"/>
    </row>
    <row r="33" spans="1:9" ht="21" x14ac:dyDescent="0.35">
      <c r="A33" s="333"/>
      <c r="B33" s="347" t="s">
        <v>532</v>
      </c>
      <c r="C33" s="290"/>
      <c r="D33" s="21">
        <v>18000</v>
      </c>
      <c r="E33" s="290">
        <v>10000</v>
      </c>
      <c r="F33" s="290"/>
      <c r="G33" s="290"/>
      <c r="H33" s="332"/>
      <c r="I33" s="36"/>
    </row>
    <row r="34" spans="1:9" ht="21" x14ac:dyDescent="0.35">
      <c r="A34" s="333"/>
      <c r="B34" s="347" t="s">
        <v>494</v>
      </c>
      <c r="C34" s="21"/>
      <c r="D34" s="21">
        <v>910</v>
      </c>
      <c r="E34" s="21"/>
      <c r="F34" s="21"/>
      <c r="G34" s="21"/>
      <c r="H34" s="332"/>
      <c r="I34" s="36"/>
    </row>
    <row r="35" spans="1:9" ht="21" x14ac:dyDescent="0.35">
      <c r="A35" s="333"/>
      <c r="B35" s="354" t="s">
        <v>495</v>
      </c>
      <c r="C35" s="21"/>
      <c r="D35" s="21">
        <v>5516</v>
      </c>
      <c r="E35" s="21"/>
      <c r="F35" s="21"/>
      <c r="G35" s="21"/>
      <c r="H35" s="332"/>
      <c r="I35" s="36"/>
    </row>
    <row r="36" spans="1:9" ht="21" x14ac:dyDescent="0.35">
      <c r="A36" s="333"/>
      <c r="B36" s="354" t="s">
        <v>529</v>
      </c>
      <c r="C36" s="21"/>
      <c r="D36" s="21">
        <v>1263</v>
      </c>
      <c r="E36" s="21"/>
      <c r="F36" s="21"/>
      <c r="G36" s="21"/>
      <c r="H36" s="332"/>
      <c r="I36" s="36"/>
    </row>
    <row r="37" spans="1:9" ht="21" x14ac:dyDescent="0.35">
      <c r="A37" s="333"/>
      <c r="B37" s="354" t="s">
        <v>530</v>
      </c>
      <c r="C37" s="21"/>
      <c r="D37" s="21">
        <v>1307</v>
      </c>
      <c r="E37" s="21"/>
      <c r="F37" s="21"/>
      <c r="G37" s="21"/>
      <c r="H37" s="332"/>
      <c r="I37" s="36"/>
    </row>
    <row r="38" spans="1:9" ht="21" x14ac:dyDescent="0.35">
      <c r="A38" s="333"/>
      <c r="B38" s="354" t="s">
        <v>544</v>
      </c>
      <c r="C38" s="21">
        <v>400000</v>
      </c>
      <c r="D38" s="21">
        <v>389842</v>
      </c>
      <c r="E38" s="21"/>
      <c r="F38" s="21"/>
      <c r="G38" s="21"/>
      <c r="H38" s="332"/>
      <c r="I38" s="36"/>
    </row>
    <row r="39" spans="1:9" ht="21" x14ac:dyDescent="0.35">
      <c r="A39" s="333"/>
      <c r="B39" s="354" t="s">
        <v>641</v>
      </c>
      <c r="C39" s="21"/>
      <c r="D39" s="21">
        <v>10158</v>
      </c>
      <c r="E39" s="21"/>
      <c r="F39" s="21"/>
      <c r="G39" s="21"/>
      <c r="H39" s="332"/>
      <c r="I39" s="36"/>
    </row>
    <row r="40" spans="1:9" ht="21" x14ac:dyDescent="0.35">
      <c r="A40" s="333"/>
      <c r="B40" s="354" t="s">
        <v>700</v>
      </c>
      <c r="C40" s="21"/>
      <c r="D40" s="21"/>
      <c r="E40" s="21">
        <v>15000</v>
      </c>
      <c r="F40" s="21"/>
      <c r="G40" s="21"/>
      <c r="H40" s="332"/>
      <c r="I40" s="36"/>
    </row>
    <row r="41" spans="1:9" ht="21" x14ac:dyDescent="0.35">
      <c r="A41" s="350" t="s">
        <v>177</v>
      </c>
      <c r="B41" s="355"/>
      <c r="C41" s="314"/>
      <c r="D41" s="172"/>
      <c r="E41" s="314"/>
      <c r="F41" s="314"/>
      <c r="G41" s="314"/>
      <c r="H41" s="332"/>
      <c r="I41" s="36"/>
    </row>
    <row r="42" spans="1:9" ht="38.25" x14ac:dyDescent="0.35">
      <c r="A42" s="350"/>
      <c r="B42" s="347" t="s">
        <v>619</v>
      </c>
      <c r="C42" s="290"/>
      <c r="D42" s="21">
        <v>35822</v>
      </c>
      <c r="E42" s="290"/>
      <c r="F42" s="290"/>
      <c r="G42" s="290"/>
      <c r="H42" s="332"/>
      <c r="I42" s="36"/>
    </row>
    <row r="43" spans="1:9" ht="21" x14ac:dyDescent="0.35">
      <c r="A43" s="333"/>
      <c r="B43" s="347" t="s">
        <v>122</v>
      </c>
      <c r="C43" s="290"/>
      <c r="D43" s="21">
        <v>3425</v>
      </c>
      <c r="E43" s="290"/>
      <c r="F43" s="290"/>
      <c r="G43" s="290"/>
      <c r="H43" s="332"/>
      <c r="I43" s="36"/>
    </row>
    <row r="44" spans="1:9" ht="21" x14ac:dyDescent="0.35">
      <c r="A44" s="333"/>
      <c r="B44" s="356" t="s">
        <v>352</v>
      </c>
      <c r="C44" s="290"/>
      <c r="D44" s="21">
        <v>45</v>
      </c>
      <c r="E44" s="290"/>
      <c r="F44" s="290"/>
      <c r="G44" s="290"/>
      <c r="H44" s="332"/>
      <c r="I44" s="36"/>
    </row>
    <row r="45" spans="1:9" s="358" customFormat="1" ht="21" x14ac:dyDescent="0.35">
      <c r="A45" s="357"/>
      <c r="B45" s="335" t="s">
        <v>314</v>
      </c>
      <c r="C45" s="290"/>
      <c r="D45" s="201">
        <v>691</v>
      </c>
      <c r="E45" s="290"/>
      <c r="F45" s="290"/>
      <c r="G45" s="290"/>
      <c r="H45" s="332"/>
    </row>
    <row r="46" spans="1:9" ht="21" x14ac:dyDescent="0.35">
      <c r="A46" s="359"/>
      <c r="B46" s="335" t="s">
        <v>402</v>
      </c>
      <c r="C46" s="290"/>
      <c r="D46" s="21">
        <v>3998</v>
      </c>
      <c r="E46" s="290"/>
      <c r="F46" s="290"/>
      <c r="G46" s="290"/>
      <c r="H46" s="332"/>
      <c r="I46" s="36"/>
    </row>
    <row r="47" spans="1:9" ht="21" x14ac:dyDescent="0.35">
      <c r="A47" s="359"/>
      <c r="B47" s="335" t="s">
        <v>428</v>
      </c>
      <c r="C47" s="290"/>
      <c r="D47" s="21">
        <v>385</v>
      </c>
      <c r="E47" s="290"/>
      <c r="F47" s="290"/>
      <c r="G47" s="290"/>
      <c r="H47" s="332"/>
      <c r="I47" s="36"/>
    </row>
    <row r="48" spans="1:9" ht="21" x14ac:dyDescent="0.35">
      <c r="A48" s="359"/>
      <c r="B48" s="335" t="s">
        <v>455</v>
      </c>
      <c r="C48" s="290"/>
      <c r="D48" s="21">
        <v>18606</v>
      </c>
      <c r="E48" s="290"/>
      <c r="F48" s="290"/>
      <c r="G48" s="290"/>
      <c r="H48" s="332"/>
      <c r="I48" s="36"/>
    </row>
    <row r="49" spans="1:9" ht="21" x14ac:dyDescent="0.35">
      <c r="A49" s="359"/>
      <c r="B49" s="335" t="s">
        <v>492</v>
      </c>
      <c r="C49" s="290"/>
      <c r="D49" s="21">
        <v>478694</v>
      </c>
      <c r="E49" s="290"/>
      <c r="F49" s="290"/>
      <c r="G49" s="290"/>
      <c r="H49" s="332"/>
      <c r="I49" s="36"/>
    </row>
    <row r="50" spans="1:9" ht="38.25" x14ac:dyDescent="0.35">
      <c r="A50" s="359"/>
      <c r="B50" s="335" t="s">
        <v>531</v>
      </c>
      <c r="C50" s="290"/>
      <c r="D50" s="21">
        <v>80353</v>
      </c>
      <c r="E50" s="290"/>
      <c r="F50" s="290"/>
      <c r="G50" s="290"/>
      <c r="H50" s="332"/>
      <c r="I50" s="36"/>
    </row>
    <row r="51" spans="1:9" ht="38.25" x14ac:dyDescent="0.35">
      <c r="A51" s="359"/>
      <c r="B51" s="335" t="s">
        <v>620</v>
      </c>
      <c r="C51" s="290"/>
      <c r="D51" s="21">
        <v>1270</v>
      </c>
      <c r="E51" s="290"/>
      <c r="F51" s="290"/>
      <c r="G51" s="290"/>
      <c r="H51" s="332"/>
      <c r="I51" s="36"/>
    </row>
    <row r="52" spans="1:9" ht="21" x14ac:dyDescent="0.35">
      <c r="A52" s="350" t="s">
        <v>16</v>
      </c>
      <c r="B52" s="355"/>
      <c r="C52" s="345"/>
      <c r="D52" s="172"/>
      <c r="E52" s="345"/>
      <c r="F52" s="345"/>
      <c r="G52" s="345"/>
      <c r="H52" s="332"/>
      <c r="I52" s="36"/>
    </row>
    <row r="53" spans="1:9" ht="25.15" customHeight="1" x14ac:dyDescent="0.35">
      <c r="A53" s="333"/>
      <c r="B53" s="343" t="s">
        <v>469</v>
      </c>
      <c r="C53" s="290">
        <v>5000</v>
      </c>
      <c r="D53" s="21">
        <v>18245</v>
      </c>
      <c r="E53" s="290"/>
      <c r="F53" s="290"/>
      <c r="G53" s="290"/>
      <c r="H53" s="332"/>
      <c r="I53" s="36"/>
    </row>
    <row r="54" spans="1:9" ht="21" x14ac:dyDescent="0.35">
      <c r="A54" s="982" t="s">
        <v>9</v>
      </c>
      <c r="B54" s="983"/>
      <c r="C54" s="345"/>
      <c r="D54" s="172"/>
      <c r="E54" s="345"/>
      <c r="F54" s="345"/>
      <c r="G54" s="345"/>
      <c r="H54" s="332"/>
      <c r="I54" s="36"/>
    </row>
    <row r="55" spans="1:9" ht="21" x14ac:dyDescent="0.35">
      <c r="A55" s="350"/>
      <c r="B55" s="362" t="s">
        <v>499</v>
      </c>
      <c r="C55" s="21">
        <v>3000</v>
      </c>
      <c r="D55" s="21">
        <v>3429</v>
      </c>
      <c r="E55" s="21"/>
      <c r="F55" s="21"/>
      <c r="G55" s="21"/>
      <c r="H55" s="332"/>
      <c r="I55" s="36"/>
    </row>
    <row r="56" spans="1:9" ht="21" x14ac:dyDescent="0.35">
      <c r="A56" s="350"/>
      <c r="B56" s="362" t="s">
        <v>470</v>
      </c>
      <c r="C56" s="21">
        <v>18000</v>
      </c>
      <c r="D56" s="21">
        <v>18725</v>
      </c>
      <c r="E56" s="21"/>
      <c r="F56" s="21"/>
      <c r="G56" s="21"/>
      <c r="H56" s="332"/>
      <c r="I56" s="36"/>
    </row>
    <row r="57" spans="1:9" ht="21" x14ac:dyDescent="0.35">
      <c r="A57" s="350"/>
      <c r="B57" s="362" t="s">
        <v>493</v>
      </c>
      <c r="C57" s="21">
        <v>21000</v>
      </c>
      <c r="D57" s="21">
        <v>21017</v>
      </c>
      <c r="E57" s="21"/>
      <c r="F57" s="21"/>
      <c r="G57" s="21"/>
      <c r="H57" s="332"/>
      <c r="I57" s="36"/>
    </row>
    <row r="58" spans="1:9" ht="21" x14ac:dyDescent="0.35">
      <c r="A58" s="350"/>
      <c r="B58" s="531" t="s">
        <v>537</v>
      </c>
      <c r="C58" s="24">
        <v>14896</v>
      </c>
      <c r="D58" s="24">
        <v>14986</v>
      </c>
      <c r="E58" s="24"/>
      <c r="F58" s="24"/>
      <c r="G58" s="24"/>
      <c r="H58" s="332"/>
      <c r="I58" s="36"/>
    </row>
    <row r="59" spans="1:9" ht="21" x14ac:dyDescent="0.35">
      <c r="A59" s="350" t="s">
        <v>19</v>
      </c>
      <c r="B59" s="355"/>
      <c r="C59" s="34"/>
      <c r="D59" s="34"/>
      <c r="E59" s="34"/>
      <c r="F59" s="34"/>
      <c r="G59" s="34"/>
      <c r="H59" s="332"/>
      <c r="I59" s="36"/>
    </row>
    <row r="60" spans="1:9" ht="21" x14ac:dyDescent="0.35">
      <c r="A60" s="359"/>
      <c r="B60" s="361" t="s">
        <v>561</v>
      </c>
      <c r="C60" s="290">
        <f>40000-10000</f>
        <v>30000</v>
      </c>
      <c r="D60" s="290">
        <v>35727</v>
      </c>
      <c r="E60" s="290"/>
      <c r="F60" s="290"/>
      <c r="G60" s="290"/>
      <c r="H60" s="332"/>
      <c r="I60" s="36"/>
    </row>
    <row r="61" spans="1:9" ht="21.6" customHeight="1" x14ac:dyDescent="0.35">
      <c r="A61" s="333"/>
      <c r="B61" s="3" t="s">
        <v>432</v>
      </c>
      <c r="C61" s="290">
        <v>840765</v>
      </c>
      <c r="D61" s="21"/>
      <c r="E61" s="290">
        <v>65542</v>
      </c>
      <c r="F61" s="290"/>
      <c r="G61" s="290"/>
      <c r="H61" s="332"/>
      <c r="I61" s="36"/>
    </row>
    <row r="62" spans="1:9" ht="21" x14ac:dyDescent="0.35">
      <c r="A62" s="333"/>
      <c r="B62" s="360" t="s">
        <v>415</v>
      </c>
      <c r="C62" s="290"/>
      <c r="D62" s="21">
        <v>79206</v>
      </c>
      <c r="E62" s="290"/>
      <c r="F62" s="290"/>
      <c r="G62" s="290"/>
      <c r="H62" s="332"/>
      <c r="I62" s="36"/>
    </row>
    <row r="63" spans="1:9" ht="21" x14ac:dyDescent="0.35">
      <c r="A63" s="333"/>
      <c r="B63" s="360" t="s">
        <v>497</v>
      </c>
      <c r="C63" s="290"/>
      <c r="D63" s="21">
        <v>7073</v>
      </c>
      <c r="E63" s="290"/>
      <c r="F63" s="290"/>
      <c r="G63" s="290"/>
      <c r="H63" s="332"/>
      <c r="I63" s="36"/>
    </row>
    <row r="64" spans="1:9" ht="38.25" x14ac:dyDescent="0.35">
      <c r="A64" s="333"/>
      <c r="B64" s="360" t="s">
        <v>490</v>
      </c>
      <c r="C64" s="290"/>
      <c r="D64" s="21">
        <v>461738</v>
      </c>
      <c r="E64" s="290"/>
      <c r="F64" s="290"/>
      <c r="G64" s="290"/>
      <c r="H64" s="332"/>
      <c r="I64" s="36"/>
    </row>
    <row r="65" spans="1:9" ht="38.25" x14ac:dyDescent="0.35">
      <c r="A65" s="333"/>
      <c r="B65" s="360" t="s">
        <v>546</v>
      </c>
      <c r="C65" s="290"/>
      <c r="D65" s="21">
        <v>110899</v>
      </c>
      <c r="E65" s="290"/>
      <c r="F65" s="290"/>
      <c r="G65" s="290"/>
      <c r="H65" s="332"/>
      <c r="I65" s="36"/>
    </row>
    <row r="66" spans="1:9" ht="38.25" x14ac:dyDescent="0.35">
      <c r="A66" s="333"/>
      <c r="B66" s="360" t="s">
        <v>547</v>
      </c>
      <c r="C66" s="290"/>
      <c r="D66" s="21">
        <v>16115</v>
      </c>
      <c r="E66" s="290"/>
      <c r="F66" s="290"/>
      <c r="G66" s="290"/>
      <c r="H66" s="332"/>
      <c r="I66" s="36"/>
    </row>
    <row r="67" spans="1:9" ht="21" x14ac:dyDescent="0.35">
      <c r="A67" s="333"/>
      <c r="B67" s="360" t="s">
        <v>548</v>
      </c>
      <c r="C67" s="290"/>
      <c r="D67" s="21">
        <v>637</v>
      </c>
      <c r="E67" s="290"/>
      <c r="F67" s="290"/>
      <c r="G67" s="290"/>
      <c r="H67" s="332"/>
      <c r="I67" s="36"/>
    </row>
    <row r="68" spans="1:9" ht="21" x14ac:dyDescent="0.35">
      <c r="A68" s="333"/>
      <c r="B68" s="360" t="s">
        <v>656</v>
      </c>
      <c r="C68" s="290"/>
      <c r="D68" s="21">
        <v>144903</v>
      </c>
      <c r="E68" s="290"/>
      <c r="F68" s="290"/>
      <c r="G68" s="290"/>
      <c r="H68" s="332"/>
      <c r="I68" s="36"/>
    </row>
    <row r="69" spans="1:9" ht="21.75" thickBot="1" x14ac:dyDescent="0.4">
      <c r="A69" s="359"/>
      <c r="B69" s="360" t="s">
        <v>657</v>
      </c>
      <c r="C69" s="345"/>
      <c r="D69" s="34">
        <v>148</v>
      </c>
      <c r="E69" s="345"/>
      <c r="F69" s="345"/>
      <c r="G69" s="345"/>
      <c r="H69" s="332"/>
      <c r="I69" s="36"/>
    </row>
    <row r="70" spans="1:9" ht="21.75" thickBot="1" x14ac:dyDescent="0.4">
      <c r="A70" s="363"/>
      <c r="B70" s="364" t="s">
        <v>203</v>
      </c>
      <c r="C70" s="31">
        <f>SUM(C27:C69)</f>
        <v>1332661</v>
      </c>
      <c r="D70" s="31">
        <f>SUM(D27:D69)</f>
        <v>2819113</v>
      </c>
      <c r="E70" s="31">
        <f>SUM(E27:E69)</f>
        <v>90542</v>
      </c>
      <c r="F70" s="31">
        <f>SUM(F27:F69)</f>
        <v>196761</v>
      </c>
      <c r="G70" s="31">
        <f>SUM(G27:G69)</f>
        <v>0</v>
      </c>
      <c r="H70" s="332"/>
      <c r="I70" s="36"/>
    </row>
    <row r="71" spans="1:9" ht="19.149999999999999" customHeight="1" x14ac:dyDescent="0.35">
      <c r="A71" s="329" t="s">
        <v>185</v>
      </c>
      <c r="B71" s="365" t="s">
        <v>424</v>
      </c>
      <c r="C71" s="366"/>
      <c r="D71" s="366"/>
      <c r="E71" s="366"/>
      <c r="F71" s="366"/>
      <c r="G71" s="366"/>
      <c r="H71" s="332"/>
      <c r="I71" s="36"/>
    </row>
    <row r="72" spans="1:9" ht="21" x14ac:dyDescent="0.35">
      <c r="A72" s="359"/>
      <c r="B72" s="367"/>
      <c r="C72" s="541"/>
      <c r="D72" s="21"/>
      <c r="E72" s="541"/>
      <c r="F72" s="21"/>
      <c r="G72" s="21"/>
      <c r="H72" s="332"/>
      <c r="I72" s="36"/>
    </row>
    <row r="73" spans="1:9" ht="21" x14ac:dyDescent="0.35">
      <c r="A73" s="336"/>
      <c r="B73" s="348" t="s">
        <v>425</v>
      </c>
      <c r="C73" s="316">
        <f>SUM(C72:C72)</f>
        <v>0</v>
      </c>
      <c r="D73" s="316">
        <f>SUM(D72:D72)</f>
        <v>0</v>
      </c>
      <c r="E73" s="316">
        <f>SUM(E72:E72)</f>
        <v>0</v>
      </c>
      <c r="F73" s="316">
        <f>SUM(F72:F72)</f>
        <v>0</v>
      </c>
      <c r="G73" s="316">
        <f>SUM(G72:G72)</f>
        <v>0</v>
      </c>
      <c r="H73" s="332"/>
      <c r="I73" s="36"/>
    </row>
    <row r="74" spans="1:9" ht="21.75" thickBot="1" x14ac:dyDescent="0.4">
      <c r="A74" s="368" t="s">
        <v>186</v>
      </c>
      <c r="B74" s="587" t="s">
        <v>35</v>
      </c>
      <c r="C74" s="369">
        <v>10000</v>
      </c>
      <c r="D74" s="588">
        <v>10000</v>
      </c>
      <c r="E74" s="369">
        <v>1200</v>
      </c>
      <c r="F74" s="369"/>
      <c r="G74" s="369"/>
      <c r="H74" s="332"/>
      <c r="I74" s="36"/>
    </row>
    <row r="75" spans="1:9" ht="20.25" customHeight="1" thickBot="1" x14ac:dyDescent="0.4">
      <c r="A75" s="370" t="s">
        <v>310</v>
      </c>
      <c r="B75" s="371"/>
      <c r="C75" s="301">
        <f>C13+C16+C19+C24+C70+C73+C74</f>
        <v>1358061</v>
      </c>
      <c r="D75" s="372">
        <f>D13+D16+D19+D24+D70+D73+D74</f>
        <v>3090819</v>
      </c>
      <c r="E75" s="301">
        <f>E13+E16+E19+E24+E70+E73+E74</f>
        <v>296742</v>
      </c>
      <c r="F75" s="301">
        <f>F13+F16+F19+F24+F70+F73+F74</f>
        <v>421761</v>
      </c>
      <c r="G75" s="301">
        <f>G13+G16+G19+G24+G70+G73+G74</f>
        <v>25000</v>
      </c>
      <c r="H75" s="332"/>
      <c r="I75" s="36"/>
    </row>
    <row r="78" spans="1:9" ht="15" customHeight="1" x14ac:dyDescent="0.3">
      <c r="C78" s="326"/>
      <c r="E78" s="326"/>
      <c r="F78" s="326"/>
    </row>
    <row r="79" spans="1:9" ht="15" customHeight="1" x14ac:dyDescent="0.3">
      <c r="C79" s="326"/>
      <c r="E79" s="326"/>
    </row>
    <row r="80" spans="1:9" ht="15" customHeight="1" x14ac:dyDescent="0.3">
      <c r="C80" s="326"/>
      <c r="E80" s="326"/>
    </row>
  </sheetData>
  <customSheetViews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54:B54"/>
    <mergeCell ref="A2:G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43" fitToHeight="0" orientation="portrait" r:id="rId3"/>
  <headerFooter alignWithMargins="0">
    <oddHeader xml:space="preserve">&amp;R&amp;"-,Félkövér"&amp;14 18. melléklet a 4/2025. (II.28.) önkormányzati rendelethez&amp;"Times New Roman CE,Félkövér"&amp;20
</oddHeader>
  </headerFooter>
  <rowBreaks count="1" manualBreakCount="1">
    <brk id="7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0"/>
  <sheetViews>
    <sheetView zoomScale="89" zoomScaleNormal="89" workbookViewId="0">
      <selection activeCell="B9" sqref="B9"/>
    </sheetView>
  </sheetViews>
  <sheetFormatPr defaultRowHeight="15.75" x14ac:dyDescent="0.25"/>
  <cols>
    <col min="1" max="1" width="102.83203125" style="391" customWidth="1"/>
    <col min="2" max="2" width="23.83203125" style="391" bestFit="1" customWidth="1"/>
    <col min="3" max="3" width="22.1640625" style="391" bestFit="1" customWidth="1"/>
    <col min="4" max="5" width="20.83203125" style="391" customWidth="1"/>
    <col min="6" max="6" width="22.1640625" style="391" bestFit="1" customWidth="1"/>
    <col min="7" max="14" width="20.83203125" style="391" customWidth="1"/>
    <col min="15" max="15" width="9.33203125" style="391"/>
    <col min="16" max="16" width="18.1640625" style="392" bestFit="1" customWidth="1"/>
    <col min="17" max="17" width="9.33203125" style="391"/>
    <col min="18" max="18" width="21" style="391" customWidth="1"/>
    <col min="19" max="19" width="16.5" style="392" bestFit="1" customWidth="1"/>
    <col min="20" max="20" width="14.6640625" style="392" bestFit="1" customWidth="1"/>
    <col min="21" max="21" width="17.33203125" style="392" customWidth="1"/>
    <col min="22" max="22" width="13.33203125" style="392" bestFit="1" customWidth="1"/>
    <col min="23" max="24" width="9.33203125" style="392"/>
    <col min="25" max="16384" width="9.33203125" style="391"/>
  </cols>
  <sheetData>
    <row r="1" spans="1:24" s="374" customFormat="1" ht="21" x14ac:dyDescent="0.35">
      <c r="A1" s="149" t="s">
        <v>709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P1" s="375"/>
      <c r="S1" s="375"/>
      <c r="T1" s="375"/>
      <c r="U1" s="375"/>
      <c r="V1" s="375"/>
      <c r="W1" s="375"/>
      <c r="X1" s="375"/>
    </row>
    <row r="2" spans="1:24" s="374" customFormat="1" x14ac:dyDescent="0.25">
      <c r="A2" s="985"/>
      <c r="B2" s="985"/>
      <c r="P2" s="375"/>
      <c r="S2" s="375"/>
      <c r="T2" s="375"/>
      <c r="U2" s="375"/>
      <c r="V2" s="375"/>
      <c r="W2" s="375"/>
      <c r="X2" s="375"/>
    </row>
    <row r="3" spans="1:24" s="374" customFormat="1" ht="16.5" thickBot="1" x14ac:dyDescent="0.3">
      <c r="N3" s="544" t="s">
        <v>370</v>
      </c>
      <c r="P3" s="375"/>
      <c r="S3" s="375"/>
      <c r="T3" s="375"/>
      <c r="U3" s="375"/>
      <c r="V3" s="375"/>
      <c r="W3" s="375"/>
      <c r="X3" s="375"/>
    </row>
    <row r="4" spans="1:24" s="374" customFormat="1" ht="20.100000000000001" customHeight="1" x14ac:dyDescent="0.25">
      <c r="A4" s="376" t="s">
        <v>215</v>
      </c>
      <c r="B4" s="377" t="s">
        <v>231</v>
      </c>
      <c r="C4" s="377" t="s">
        <v>179</v>
      </c>
      <c r="D4" s="377" t="s">
        <v>180</v>
      </c>
      <c r="E4" s="377" t="s">
        <v>181</v>
      </c>
      <c r="F4" s="377" t="s">
        <v>182</v>
      </c>
      <c r="G4" s="377" t="s">
        <v>184</v>
      </c>
      <c r="H4" s="377" t="s">
        <v>185</v>
      </c>
      <c r="I4" s="377" t="s">
        <v>186</v>
      </c>
      <c r="J4" s="377" t="s">
        <v>187</v>
      </c>
      <c r="K4" s="377" t="s">
        <v>225</v>
      </c>
      <c r="L4" s="377" t="s">
        <v>226</v>
      </c>
      <c r="M4" s="377" t="s">
        <v>227</v>
      </c>
      <c r="N4" s="377" t="s">
        <v>228</v>
      </c>
      <c r="P4" s="375"/>
      <c r="S4" s="375"/>
      <c r="T4" s="375"/>
      <c r="U4" s="375"/>
      <c r="V4" s="375"/>
      <c r="W4" s="375"/>
      <c r="X4" s="375"/>
    </row>
    <row r="5" spans="1:24" s="374" customFormat="1" ht="20.100000000000001" customHeight="1" x14ac:dyDescent="0.25">
      <c r="A5" s="378"/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P5" s="375"/>
      <c r="S5" s="375"/>
      <c r="T5" s="375"/>
      <c r="U5" s="375"/>
      <c r="V5" s="375"/>
      <c r="W5" s="375"/>
      <c r="X5" s="375"/>
    </row>
    <row r="6" spans="1:24" s="374" customFormat="1" ht="67.5" customHeight="1" thickBot="1" x14ac:dyDescent="0.3">
      <c r="A6" s="380"/>
      <c r="B6" s="381" t="s">
        <v>232</v>
      </c>
      <c r="C6" s="381" t="s">
        <v>233</v>
      </c>
      <c r="D6" s="381" t="s">
        <v>233</v>
      </c>
      <c r="E6" s="381" t="s">
        <v>233</v>
      </c>
      <c r="F6" s="381" t="s">
        <v>233</v>
      </c>
      <c r="G6" s="381" t="s">
        <v>233</v>
      </c>
      <c r="H6" s="381" t="s">
        <v>233</v>
      </c>
      <c r="I6" s="381" t="s">
        <v>233</v>
      </c>
      <c r="J6" s="381" t="s">
        <v>233</v>
      </c>
      <c r="K6" s="381" t="s">
        <v>233</v>
      </c>
      <c r="L6" s="381" t="s">
        <v>233</v>
      </c>
      <c r="M6" s="381" t="s">
        <v>233</v>
      </c>
      <c r="N6" s="381" t="s">
        <v>233</v>
      </c>
      <c r="P6" s="375"/>
      <c r="R6" s="382"/>
      <c r="S6" s="375"/>
      <c r="T6" s="375"/>
      <c r="U6" s="375"/>
      <c r="V6" s="375"/>
      <c r="W6" s="375"/>
      <c r="X6" s="375"/>
    </row>
    <row r="7" spans="1:24" s="374" customFormat="1" ht="24" customHeight="1" x14ac:dyDescent="0.3">
      <c r="A7" s="545" t="s">
        <v>234</v>
      </c>
      <c r="B7" s="546">
        <f>'1 kiemelt ei. '!G13</f>
        <v>28007584</v>
      </c>
      <c r="C7" s="546">
        <f>1141413+3631</f>
        <v>1145044</v>
      </c>
      <c r="D7" s="546">
        <v>1141413</v>
      </c>
      <c r="E7" s="546">
        <f>1141413+4800000</f>
        <v>5941413</v>
      </c>
      <c r="F7" s="546">
        <v>1141413</v>
      </c>
      <c r="G7" s="546">
        <f>1141413+3500000</f>
        <v>4641413</v>
      </c>
      <c r="H7" s="546">
        <v>1141413</v>
      </c>
      <c r="I7" s="546">
        <v>1141413</v>
      </c>
      <c r="J7" s="546">
        <v>1141413</v>
      </c>
      <c r="K7" s="546">
        <f>1141413+4800000+7000</f>
        <v>5948413</v>
      </c>
      <c r="L7" s="546">
        <v>1141413</v>
      </c>
      <c r="M7" s="546">
        <v>1141413</v>
      </c>
      <c r="N7" s="546">
        <f>1141413-3+1200000</f>
        <v>2341410</v>
      </c>
      <c r="P7" s="375"/>
      <c r="R7" s="375"/>
      <c r="S7" s="375"/>
      <c r="T7" s="375"/>
      <c r="U7" s="375"/>
      <c r="V7" s="375"/>
      <c r="W7" s="375"/>
      <c r="X7" s="375"/>
    </row>
    <row r="8" spans="1:24" s="374" customFormat="1" ht="24" customHeight="1" thickBot="1" x14ac:dyDescent="0.35">
      <c r="A8" s="550" t="s">
        <v>235</v>
      </c>
      <c r="B8" s="548">
        <f>'1 kiemelt ei. '!G17</f>
        <v>1008000</v>
      </c>
      <c r="C8" s="548">
        <v>667</v>
      </c>
      <c r="D8" s="548">
        <v>667</v>
      </c>
      <c r="E8" s="548">
        <v>667</v>
      </c>
      <c r="F8" s="548">
        <v>667</v>
      </c>
      <c r="G8" s="548">
        <v>667</v>
      </c>
      <c r="H8" s="548">
        <v>667</v>
      </c>
      <c r="I8" s="548">
        <v>667</v>
      </c>
      <c r="J8" s="548">
        <v>667</v>
      </c>
      <c r="K8" s="548">
        <f>500000+667</f>
        <v>500667</v>
      </c>
      <c r="L8" s="548">
        <f>500000+667</f>
        <v>500667</v>
      </c>
      <c r="M8" s="548">
        <v>667</v>
      </c>
      <c r="N8" s="548">
        <v>663</v>
      </c>
      <c r="P8" s="375"/>
      <c r="S8" s="375"/>
      <c r="T8" s="375"/>
      <c r="U8" s="375"/>
      <c r="V8" s="375"/>
      <c r="W8" s="375"/>
      <c r="X8" s="375"/>
    </row>
    <row r="9" spans="1:24" s="383" customFormat="1" ht="24" customHeight="1" thickBot="1" x14ac:dyDescent="0.35">
      <c r="A9" s="384" t="s">
        <v>236</v>
      </c>
      <c r="B9" s="385">
        <f t="shared" ref="B9:N9" si="0">+B7+B8</f>
        <v>29015584</v>
      </c>
      <c r="C9" s="385">
        <f t="shared" si="0"/>
        <v>1145711</v>
      </c>
      <c r="D9" s="385">
        <f t="shared" si="0"/>
        <v>1142080</v>
      </c>
      <c r="E9" s="385">
        <f t="shared" si="0"/>
        <v>5942080</v>
      </c>
      <c r="F9" s="385">
        <f t="shared" si="0"/>
        <v>1142080</v>
      </c>
      <c r="G9" s="385">
        <f t="shared" si="0"/>
        <v>4642080</v>
      </c>
      <c r="H9" s="385">
        <f t="shared" si="0"/>
        <v>1142080</v>
      </c>
      <c r="I9" s="385">
        <f t="shared" si="0"/>
        <v>1142080</v>
      </c>
      <c r="J9" s="385">
        <f t="shared" si="0"/>
        <v>1142080</v>
      </c>
      <c r="K9" s="385">
        <f t="shared" si="0"/>
        <v>6449080</v>
      </c>
      <c r="L9" s="385">
        <f t="shared" si="0"/>
        <v>1642080</v>
      </c>
      <c r="M9" s="385">
        <f t="shared" si="0"/>
        <v>1142080</v>
      </c>
      <c r="N9" s="385">
        <f t="shared" si="0"/>
        <v>2342073</v>
      </c>
      <c r="P9" s="382"/>
      <c r="S9" s="382"/>
      <c r="T9" s="382"/>
      <c r="U9" s="382"/>
      <c r="V9" s="382"/>
      <c r="W9" s="382"/>
      <c r="X9" s="382"/>
    </row>
    <row r="10" spans="1:24" s="374" customFormat="1" ht="49.5" customHeight="1" thickBot="1" x14ac:dyDescent="0.35">
      <c r="A10" s="386" t="s">
        <v>237</v>
      </c>
      <c r="B10" s="387">
        <f>'1 kiemelt ei. '!G19</f>
        <v>1090095</v>
      </c>
      <c r="C10" s="388">
        <v>1090095</v>
      </c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P10" s="382"/>
      <c r="S10" s="382"/>
      <c r="T10" s="375"/>
      <c r="U10" s="375"/>
      <c r="V10" s="375"/>
      <c r="W10" s="375"/>
      <c r="X10" s="375"/>
    </row>
    <row r="11" spans="1:24" s="383" customFormat="1" ht="24" customHeight="1" thickBot="1" x14ac:dyDescent="0.35">
      <c r="A11" s="389" t="s">
        <v>238</v>
      </c>
      <c r="B11" s="385">
        <f>+B9+B10</f>
        <v>30105679</v>
      </c>
      <c r="C11" s="385">
        <f t="shared" ref="C11:N11" si="1">+C9+C10</f>
        <v>2235806</v>
      </c>
      <c r="D11" s="385">
        <f t="shared" si="1"/>
        <v>1142080</v>
      </c>
      <c r="E11" s="385">
        <f t="shared" si="1"/>
        <v>5942080</v>
      </c>
      <c r="F11" s="385">
        <f t="shared" si="1"/>
        <v>1142080</v>
      </c>
      <c r="G11" s="385">
        <f t="shared" si="1"/>
        <v>4642080</v>
      </c>
      <c r="H11" s="385">
        <f t="shared" si="1"/>
        <v>1142080</v>
      </c>
      <c r="I11" s="385">
        <f t="shared" si="1"/>
        <v>1142080</v>
      </c>
      <c r="J11" s="385">
        <f t="shared" si="1"/>
        <v>1142080</v>
      </c>
      <c r="K11" s="385">
        <f t="shared" si="1"/>
        <v>6449080</v>
      </c>
      <c r="L11" s="385">
        <f t="shared" si="1"/>
        <v>1642080</v>
      </c>
      <c r="M11" s="385">
        <f t="shared" si="1"/>
        <v>1142080</v>
      </c>
      <c r="N11" s="385">
        <f t="shared" si="1"/>
        <v>2342073</v>
      </c>
      <c r="P11" s="382"/>
      <c r="S11" s="382"/>
      <c r="T11" s="382"/>
      <c r="U11" s="382"/>
      <c r="V11" s="382"/>
      <c r="W11" s="382"/>
      <c r="X11" s="382"/>
    </row>
    <row r="12" spans="1:24" s="374" customFormat="1" ht="24" customHeight="1" x14ac:dyDescent="0.25">
      <c r="P12" s="375"/>
      <c r="S12" s="375"/>
      <c r="T12" s="375"/>
      <c r="U12" s="375"/>
      <c r="V12" s="375"/>
      <c r="W12" s="375"/>
      <c r="X12" s="375"/>
    </row>
    <row r="13" spans="1:24" s="374" customFormat="1" x14ac:dyDescent="0.25">
      <c r="B13" s="375"/>
      <c r="P13" s="375"/>
      <c r="S13" s="375"/>
      <c r="T13" s="375"/>
      <c r="U13" s="375"/>
      <c r="V13" s="375"/>
      <c r="W13" s="375"/>
      <c r="X13" s="375"/>
    </row>
    <row r="14" spans="1:24" s="374" customFormat="1" x14ac:dyDescent="0.25"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P14" s="375"/>
      <c r="S14" s="375"/>
      <c r="T14" s="375"/>
      <c r="U14" s="375"/>
      <c r="V14" s="375"/>
      <c r="W14" s="375"/>
      <c r="X14" s="375"/>
    </row>
    <row r="15" spans="1:24" s="374" customFormat="1" x14ac:dyDescent="0.25">
      <c r="C15" s="375"/>
      <c r="P15" s="375"/>
      <c r="S15" s="375"/>
      <c r="T15" s="375"/>
      <c r="U15" s="375"/>
      <c r="V15" s="375"/>
      <c r="W15" s="375"/>
      <c r="X15" s="375"/>
    </row>
    <row r="16" spans="1:24" s="374" customFormat="1" x14ac:dyDescent="0.25"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P16" s="375"/>
      <c r="S16" s="375"/>
      <c r="T16" s="375"/>
      <c r="U16" s="375"/>
      <c r="V16" s="375"/>
      <c r="W16" s="375"/>
      <c r="X16" s="375"/>
    </row>
    <row r="17" spans="2:24" s="374" customFormat="1" x14ac:dyDescent="0.25">
      <c r="P17" s="375"/>
      <c r="S17" s="375"/>
      <c r="T17" s="375"/>
      <c r="U17" s="375"/>
      <c r="V17" s="375"/>
      <c r="W17" s="375"/>
      <c r="X17" s="375"/>
    </row>
    <row r="18" spans="2:24" s="374" customFormat="1" x14ac:dyDescent="0.25">
      <c r="B18" s="375"/>
      <c r="C18" s="375"/>
      <c r="P18" s="375"/>
      <c r="S18" s="375"/>
      <c r="T18" s="375"/>
      <c r="U18" s="375"/>
      <c r="V18" s="375"/>
      <c r="W18" s="375"/>
      <c r="X18" s="375"/>
    </row>
    <row r="19" spans="2:24" s="374" customFormat="1" x14ac:dyDescent="0.25">
      <c r="P19" s="375"/>
      <c r="S19" s="375"/>
      <c r="T19" s="375"/>
      <c r="U19" s="375"/>
      <c r="V19" s="375"/>
      <c r="W19" s="375"/>
      <c r="X19" s="375"/>
    </row>
    <row r="20" spans="2:24" s="374" customFormat="1" x14ac:dyDescent="0.25">
      <c r="C20" s="375"/>
      <c r="P20" s="375"/>
      <c r="S20" s="375"/>
      <c r="T20" s="375"/>
      <c r="U20" s="375"/>
      <c r="V20" s="375"/>
      <c r="W20" s="375"/>
      <c r="X20" s="375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2" orientation="landscape" r:id="rId1"/>
  <headerFooter alignWithMargins="0">
    <oddHeader xml:space="preserve">&amp;R&amp;"-,Félkövér"&amp;12 19. melléklet a 4/2025. (II.28.) önkormányzati rendelethe&amp;"Times New Roman CE,Félkövér"z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2:K66"/>
  <sheetViews>
    <sheetView zoomScaleNormal="100" workbookViewId="0">
      <selection activeCell="B9" sqref="B9"/>
    </sheetView>
  </sheetViews>
  <sheetFormatPr defaultRowHeight="15" customHeight="1" x14ac:dyDescent="0.35"/>
  <cols>
    <col min="1" max="1" width="3.1640625" style="261" customWidth="1"/>
    <col min="2" max="2" width="5" style="261" customWidth="1"/>
    <col min="3" max="3" width="107.1640625" style="261" customWidth="1"/>
    <col min="4" max="4" width="29.5" style="261" bestFit="1" customWidth="1"/>
    <col min="5" max="5" width="40" style="261" customWidth="1"/>
    <col min="6" max="6" width="40.1640625" style="261" customWidth="1"/>
    <col min="7" max="7" width="33.6640625" style="261" customWidth="1"/>
    <col min="8" max="8" width="120.6640625" style="261" customWidth="1"/>
    <col min="9" max="9" width="33" style="261" customWidth="1"/>
    <col min="10" max="10" width="39.6640625" style="261" customWidth="1"/>
    <col min="11" max="11" width="40.6640625" style="261" customWidth="1"/>
    <col min="12" max="12" width="9.33203125" style="261"/>
    <col min="13" max="13" width="10.5" style="261" bestFit="1" customWidth="1"/>
    <col min="14" max="16384" width="9.33203125" style="261"/>
  </cols>
  <sheetData>
    <row r="2" spans="1:11" ht="18.75" customHeight="1" x14ac:dyDescent="0.35">
      <c r="A2" s="952" t="s">
        <v>436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</row>
    <row r="3" spans="1:11" ht="24" thickBot="1" x14ac:dyDescent="0.4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5" t="s">
        <v>216</v>
      </c>
    </row>
    <row r="4" spans="1:11" ht="23.25" x14ac:dyDescent="0.35">
      <c r="A4" s="856"/>
      <c r="B4" s="857" t="s">
        <v>14</v>
      </c>
      <c r="C4" s="857"/>
      <c r="D4" s="858" t="s">
        <v>437</v>
      </c>
      <c r="E4" s="858" t="s">
        <v>686</v>
      </c>
      <c r="F4" s="858" t="s">
        <v>476</v>
      </c>
      <c r="G4" s="857" t="s">
        <v>15</v>
      </c>
      <c r="H4" s="859"/>
      <c r="I4" s="858" t="s">
        <v>437</v>
      </c>
      <c r="J4" s="858" t="s">
        <v>686</v>
      </c>
      <c r="K4" s="858" t="s">
        <v>476</v>
      </c>
    </row>
    <row r="5" spans="1:11" ht="23.25" x14ac:dyDescent="0.35">
      <c r="A5" s="860"/>
      <c r="B5" s="508"/>
      <c r="C5" s="508"/>
      <c r="D5" s="861" t="s">
        <v>870</v>
      </c>
      <c r="E5" s="861" t="s">
        <v>872</v>
      </c>
      <c r="F5" s="861" t="s">
        <v>870</v>
      </c>
      <c r="G5" s="508"/>
      <c r="I5" s="861" t="s">
        <v>870</v>
      </c>
      <c r="J5" s="861" t="s">
        <v>872</v>
      </c>
      <c r="K5" s="861" t="s">
        <v>870</v>
      </c>
    </row>
    <row r="6" spans="1:11" ht="24" thickBot="1" x14ac:dyDescent="0.4">
      <c r="A6" s="862"/>
      <c r="B6" s="863"/>
      <c r="C6" s="863"/>
      <c r="D6" s="861" t="s">
        <v>871</v>
      </c>
      <c r="E6" s="861" t="s">
        <v>871</v>
      </c>
      <c r="F6" s="861" t="s">
        <v>871</v>
      </c>
      <c r="G6" s="864"/>
      <c r="H6" s="865"/>
      <c r="I6" s="861" t="s">
        <v>871</v>
      </c>
      <c r="J6" s="861" t="s">
        <v>871</v>
      </c>
      <c r="K6" s="861" t="s">
        <v>871</v>
      </c>
    </row>
    <row r="7" spans="1:11" ht="23.25" x14ac:dyDescent="0.35">
      <c r="A7" s="866" t="s">
        <v>112</v>
      </c>
      <c r="B7" s="867"/>
      <c r="C7" s="867"/>
      <c r="D7" s="481">
        <f>'3 működési bevételek'!F53</f>
        <v>9215822</v>
      </c>
      <c r="E7" s="481">
        <f>'3 működési bevételek'!G53</f>
        <v>9226843</v>
      </c>
      <c r="F7" s="481">
        <f>'3 működési bevételek'!H53</f>
        <v>9551585</v>
      </c>
      <c r="G7" s="867" t="s">
        <v>210</v>
      </c>
      <c r="H7" s="868"/>
      <c r="I7" s="484">
        <f>+'8 oktatás'!B26+'8 oktatás'!B9</f>
        <v>5351901</v>
      </c>
      <c r="J7" s="484">
        <f>+'8 oktatás'!C26+'8 oktatás'!C9</f>
        <v>5458891</v>
      </c>
      <c r="K7" s="484">
        <f>'8 oktatás'!D27</f>
        <v>6070061</v>
      </c>
    </row>
    <row r="8" spans="1:11" ht="23.25" x14ac:dyDescent="0.35">
      <c r="A8" s="869" t="s">
        <v>193</v>
      </c>
      <c r="B8" s="505"/>
      <c r="C8" s="505"/>
      <c r="D8" s="482">
        <f>'3 működési bevételek'!F67</f>
        <v>13271000</v>
      </c>
      <c r="E8" s="482">
        <f>'3 működési bevételek'!G67</f>
        <v>13653268</v>
      </c>
      <c r="F8" s="482">
        <f>'3 működési bevételek'!H67</f>
        <v>14308000</v>
      </c>
      <c r="G8" s="505" t="s">
        <v>292</v>
      </c>
      <c r="H8" s="870"/>
      <c r="I8" s="485">
        <f>'9 kultúra'!B64</f>
        <v>3128261</v>
      </c>
      <c r="J8" s="485">
        <f>'9 kultúra'!C64</f>
        <v>4370919</v>
      </c>
      <c r="K8" s="485">
        <f>'9 kultúra'!D64</f>
        <v>3102126</v>
      </c>
    </row>
    <row r="9" spans="1:11" ht="23.25" x14ac:dyDescent="0.35">
      <c r="A9" s="871" t="s">
        <v>54</v>
      </c>
      <c r="B9" s="872"/>
      <c r="C9" s="872"/>
      <c r="D9" s="483">
        <f>'3 működési bevételek'!F101</f>
        <v>2301884</v>
      </c>
      <c r="E9" s="483">
        <f>'3 működési bevételek'!G101</f>
        <v>3268464</v>
      </c>
      <c r="F9" s="483">
        <f>'3 működési bevételek'!H101</f>
        <v>2148686</v>
      </c>
      <c r="G9" s="872" t="s">
        <v>156</v>
      </c>
      <c r="H9" s="873"/>
      <c r="I9" s="486">
        <f>'10 szociális'!B36</f>
        <v>2380385</v>
      </c>
      <c r="J9" s="486">
        <f>'10 szociális'!C36</f>
        <v>2701367</v>
      </c>
      <c r="K9" s="486">
        <f>'10 szociális'!D36</f>
        <v>2203054</v>
      </c>
    </row>
    <row r="10" spans="1:11" ht="23.25" x14ac:dyDescent="0.35">
      <c r="A10" s="871" t="s">
        <v>113</v>
      </c>
      <c r="B10" s="872"/>
      <c r="C10" s="872"/>
      <c r="D10" s="483">
        <f>'3 működési bevételek'!F119</f>
        <v>1618</v>
      </c>
      <c r="E10" s="483">
        <f>'3 működési bevételek'!G119</f>
        <v>174522</v>
      </c>
      <c r="F10" s="483">
        <f>'3 működési bevételek'!H119</f>
        <v>0</v>
      </c>
      <c r="G10" s="872" t="s">
        <v>151</v>
      </c>
      <c r="H10" s="873"/>
      <c r="I10" s="486">
        <f>'11 egészségügy'!B22</f>
        <v>951288</v>
      </c>
      <c r="J10" s="486">
        <f>'11 egészségügy'!C22</f>
        <v>1179028</v>
      </c>
      <c r="K10" s="486">
        <f>'11 egészségügy'!D22</f>
        <v>911877</v>
      </c>
    </row>
    <row r="11" spans="1:11" ht="23.25" x14ac:dyDescent="0.35">
      <c r="A11" s="871" t="s">
        <v>88</v>
      </c>
      <c r="B11" s="872"/>
      <c r="C11" s="872"/>
      <c r="D11" s="483">
        <f>'3 működési bevételek'!F132</f>
        <v>1860785</v>
      </c>
      <c r="E11" s="483">
        <f>'3 működési bevételek'!G132</f>
        <v>2529692</v>
      </c>
      <c r="F11" s="483">
        <f>'3 működési bevételek'!H132</f>
        <v>1999313</v>
      </c>
      <c r="G11" s="872" t="s">
        <v>302</v>
      </c>
      <c r="H11" s="873"/>
      <c r="I11" s="486">
        <f>'12 gyermek és ifj.véd.'!B13</f>
        <v>1717112</v>
      </c>
      <c r="J11" s="486">
        <f>'12 gyermek és ifj.véd.'!C13</f>
        <v>1782408</v>
      </c>
      <c r="K11" s="486">
        <f>'12 gyermek és ifj.véd.'!D13</f>
        <v>1990106</v>
      </c>
    </row>
    <row r="12" spans="1:11" ht="23.25" x14ac:dyDescent="0.35">
      <c r="A12" s="874"/>
      <c r="D12" s="496"/>
      <c r="E12" s="496"/>
      <c r="F12" s="496"/>
      <c r="G12" s="872" t="s">
        <v>303</v>
      </c>
      <c r="H12" s="875"/>
      <c r="I12" s="486">
        <f>'13 egyéb'!B102</f>
        <v>11656288</v>
      </c>
      <c r="J12" s="486">
        <f>'13 egyéb'!C102</f>
        <v>12862677</v>
      </c>
      <c r="K12" s="486">
        <f>'13 egyéb'!D102</f>
        <v>11678266</v>
      </c>
    </row>
    <row r="13" spans="1:11" ht="23.25" x14ac:dyDescent="0.35">
      <c r="A13" s="876"/>
      <c r="B13" s="507"/>
      <c r="C13" s="507"/>
      <c r="D13" s="877"/>
      <c r="E13" s="877"/>
      <c r="F13" s="877"/>
      <c r="G13" s="872" t="s">
        <v>164</v>
      </c>
      <c r="H13" s="878"/>
      <c r="I13" s="486">
        <f>+'14 sport'!B28</f>
        <v>995977</v>
      </c>
      <c r="J13" s="486">
        <f>+'14 sport'!C28</f>
        <v>1123662</v>
      </c>
      <c r="K13" s="486">
        <f>+'14 sport'!D28</f>
        <v>936977</v>
      </c>
    </row>
    <row r="14" spans="1:11" ht="23.25" x14ac:dyDescent="0.35">
      <c r="A14" s="876"/>
      <c r="C14" s="507"/>
      <c r="D14" s="877"/>
      <c r="E14" s="877"/>
      <c r="F14" s="877"/>
      <c r="G14" s="872" t="s">
        <v>97</v>
      </c>
      <c r="H14" s="879"/>
      <c r="I14" s="486">
        <f>+'15 város.ü.'!B29</f>
        <v>1813200</v>
      </c>
      <c r="J14" s="486">
        <f>+'15 város.ü.'!C29</f>
        <v>2110410</v>
      </c>
      <c r="K14" s="486">
        <f>+'15 város.ü.'!D29</f>
        <v>1485832</v>
      </c>
    </row>
    <row r="15" spans="1:11" ht="23.25" x14ac:dyDescent="0.35">
      <c r="A15" s="876"/>
      <c r="C15" s="507"/>
      <c r="D15" s="877"/>
      <c r="E15" s="877"/>
      <c r="F15" s="496"/>
      <c r="G15" s="872" t="s">
        <v>200</v>
      </c>
      <c r="H15" s="879"/>
      <c r="I15" s="486">
        <f>+'16 út-híd'!B34</f>
        <v>919000</v>
      </c>
      <c r="J15" s="486">
        <f>+'16 út-híd'!C34</f>
        <v>1286480</v>
      </c>
      <c r="K15" s="486">
        <f>+'16 út-híd'!D34</f>
        <v>367300</v>
      </c>
    </row>
    <row r="16" spans="1:11" ht="23.25" x14ac:dyDescent="0.35">
      <c r="A16" s="876"/>
      <c r="C16" s="507"/>
      <c r="D16" s="877"/>
      <c r="E16" s="877"/>
      <c r="F16" s="496"/>
      <c r="G16" s="507" t="s">
        <v>11</v>
      </c>
      <c r="H16" s="880"/>
      <c r="I16" s="487"/>
      <c r="J16" s="487"/>
      <c r="K16" s="487"/>
    </row>
    <row r="17" spans="1:11" ht="23.25" x14ac:dyDescent="0.35">
      <c r="A17" s="876"/>
      <c r="C17" s="507"/>
      <c r="D17" s="877"/>
      <c r="E17" s="877"/>
      <c r="F17" s="496"/>
      <c r="G17" s="507"/>
      <c r="H17" s="505" t="s">
        <v>697</v>
      </c>
      <c r="I17" s="482"/>
      <c r="J17" s="482">
        <v>447127</v>
      </c>
      <c r="K17" s="482"/>
    </row>
    <row r="18" spans="1:11" ht="23.25" x14ac:dyDescent="0.35">
      <c r="A18" s="881"/>
      <c r="B18" s="882"/>
      <c r="C18" s="882"/>
      <c r="D18" s="883"/>
      <c r="E18" s="883"/>
      <c r="F18" s="496"/>
      <c r="G18" s="507"/>
      <c r="H18" s="505" t="s">
        <v>144</v>
      </c>
      <c r="I18" s="482">
        <f>12049+778-1400-6000+5000-5000+11000-10000-1500+3682+1500-5000-4000-512+3000+3000-1000-1000</f>
        <v>4597</v>
      </c>
      <c r="J18" s="482">
        <v>0</v>
      </c>
      <c r="K18" s="482">
        <f>12049+778-1400-6000+5000-5000+11000-10000-1500+3682+1500-5000-4000-512+3000+3000-1000-1000+1942-500+241-3000+4987-245-5577-200</f>
        <v>2245</v>
      </c>
    </row>
    <row r="19" spans="1:11" ht="69.75" x14ac:dyDescent="0.35">
      <c r="A19" s="881"/>
      <c r="B19" s="882"/>
      <c r="C19" s="882"/>
      <c r="D19" s="883"/>
      <c r="E19" s="883"/>
      <c r="F19" s="496"/>
      <c r="G19" s="507"/>
      <c r="H19" s="884" t="s">
        <v>719</v>
      </c>
      <c r="I19" s="482">
        <v>142713</v>
      </c>
      <c r="J19" s="483">
        <v>0</v>
      </c>
      <c r="K19" s="482">
        <v>142713</v>
      </c>
    </row>
    <row r="20" spans="1:11" ht="69.75" x14ac:dyDescent="0.35">
      <c r="A20" s="881"/>
      <c r="B20" s="882"/>
      <c r="C20" s="882"/>
      <c r="D20" s="883"/>
      <c r="E20" s="883"/>
      <c r="F20" s="883"/>
      <c r="G20" s="507"/>
      <c r="H20" s="884" t="s">
        <v>720</v>
      </c>
      <c r="I20" s="482">
        <f>79910+38000+77700+116318+26</f>
        <v>311954</v>
      </c>
      <c r="J20" s="483">
        <v>0</v>
      </c>
      <c r="K20" s="482">
        <f>79910+38000+77700+116318+26-71822+3631</f>
        <v>243763</v>
      </c>
    </row>
    <row r="21" spans="1:11" ht="23.25" x14ac:dyDescent="0.35">
      <c r="A21" s="881"/>
      <c r="B21" s="882"/>
      <c r="C21" s="882"/>
      <c r="D21" s="883"/>
      <c r="E21" s="883"/>
      <c r="F21" s="883"/>
      <c r="G21" s="507"/>
      <c r="H21" s="884" t="s">
        <v>714</v>
      </c>
      <c r="I21" s="482"/>
      <c r="J21" s="482"/>
      <c r="K21" s="482">
        <f>100000+100000</f>
        <v>200000</v>
      </c>
    </row>
    <row r="22" spans="1:11" ht="46.5" x14ac:dyDescent="0.35">
      <c r="A22" s="881"/>
      <c r="B22" s="882"/>
      <c r="C22" s="882"/>
      <c r="D22" s="883"/>
      <c r="E22" s="883"/>
      <c r="F22" s="883"/>
      <c r="G22" s="507"/>
      <c r="H22" s="884" t="s">
        <v>578</v>
      </c>
      <c r="I22" s="482">
        <v>116000</v>
      </c>
      <c r="J22" s="482">
        <v>79010</v>
      </c>
      <c r="K22" s="482">
        <f>116000-116000</f>
        <v>0</v>
      </c>
    </row>
    <row r="23" spans="1:11" ht="24" thickBot="1" x14ac:dyDescent="0.4">
      <c r="A23" s="885"/>
      <c r="B23" s="886"/>
      <c r="C23" s="887"/>
      <c r="D23" s="888"/>
      <c r="E23" s="888"/>
      <c r="F23" s="888"/>
      <c r="G23" s="889" t="s">
        <v>39</v>
      </c>
      <c r="H23" s="488"/>
      <c r="I23" s="488">
        <f>SUM(I18:I22)</f>
        <v>575264</v>
      </c>
      <c r="J23" s="488">
        <f>SUM(J16:J22)</f>
        <v>526137</v>
      </c>
      <c r="K23" s="488">
        <f>SUM(K18:K22)</f>
        <v>588721</v>
      </c>
    </row>
    <row r="24" spans="1:11" ht="24" thickBot="1" x14ac:dyDescent="0.4">
      <c r="A24" s="890" t="s">
        <v>139</v>
      </c>
      <c r="B24" s="891"/>
      <c r="C24" s="892"/>
      <c r="D24" s="497">
        <f>SUM(D7:D23)</f>
        <v>26651109</v>
      </c>
      <c r="E24" s="497">
        <f>SUM(E7:E23)</f>
        <v>28852789</v>
      </c>
      <c r="F24" s="497">
        <f>SUM(F7:F23)</f>
        <v>28007584</v>
      </c>
      <c r="G24" s="863" t="s">
        <v>161</v>
      </c>
      <c r="H24" s="863"/>
      <c r="I24" s="494">
        <f>+I23+I15+I14+I13+I12+I11+I10+I9+I8+I7</f>
        <v>29488676</v>
      </c>
      <c r="J24" s="494">
        <f>+J23+J15+J14+J13+J12+J11+J10+J9+J8+J7</f>
        <v>33401979</v>
      </c>
      <c r="K24" s="494">
        <f>+K23+K15+K14+K13+K12+K11+K10+K9+K8+K7</f>
        <v>29334320</v>
      </c>
    </row>
    <row r="25" spans="1:11" ht="24" thickBot="1" x14ac:dyDescent="0.4">
      <c r="A25" s="854"/>
      <c r="B25" s="854"/>
      <c r="C25" s="854"/>
      <c r="D25" s="854"/>
      <c r="E25" s="854"/>
      <c r="F25" s="854"/>
      <c r="G25" s="854"/>
      <c r="H25" s="854"/>
      <c r="I25" s="854"/>
      <c r="J25" s="854"/>
      <c r="K25" s="854"/>
    </row>
    <row r="26" spans="1:11" ht="18.75" customHeight="1" x14ac:dyDescent="0.35">
      <c r="A26" s="856"/>
      <c r="B26" s="857"/>
      <c r="C26" s="893" t="s">
        <v>61</v>
      </c>
      <c r="D26" s="858" t="s">
        <v>437</v>
      </c>
      <c r="E26" s="858" t="s">
        <v>686</v>
      </c>
      <c r="F26" s="858" t="s">
        <v>476</v>
      </c>
      <c r="G26" s="894"/>
      <c r="H26" s="857" t="s">
        <v>73</v>
      </c>
      <c r="I26" s="858" t="s">
        <v>437</v>
      </c>
      <c r="J26" s="858" t="s">
        <v>686</v>
      </c>
      <c r="K26" s="858" t="s">
        <v>476</v>
      </c>
    </row>
    <row r="27" spans="1:11" ht="18.75" customHeight="1" x14ac:dyDescent="0.35">
      <c r="A27" s="860"/>
      <c r="B27" s="508"/>
      <c r="C27" s="895"/>
      <c r="D27" s="861" t="s">
        <v>870</v>
      </c>
      <c r="E27" s="861" t="s">
        <v>872</v>
      </c>
      <c r="F27" s="861" t="s">
        <v>870</v>
      </c>
      <c r="G27" s="896"/>
      <c r="H27" s="508"/>
      <c r="I27" s="861" t="s">
        <v>870</v>
      </c>
      <c r="J27" s="861" t="s">
        <v>872</v>
      </c>
      <c r="K27" s="861" t="s">
        <v>870</v>
      </c>
    </row>
    <row r="28" spans="1:11" ht="18.75" customHeight="1" thickBot="1" x14ac:dyDescent="0.4">
      <c r="A28" s="862"/>
      <c r="B28" s="863"/>
      <c r="C28" s="897"/>
      <c r="D28" s="861" t="s">
        <v>871</v>
      </c>
      <c r="E28" s="861" t="s">
        <v>871</v>
      </c>
      <c r="F28" s="861" t="s">
        <v>871</v>
      </c>
      <c r="G28" s="864"/>
      <c r="H28" s="865"/>
      <c r="I28" s="861" t="s">
        <v>871</v>
      </c>
      <c r="J28" s="861" t="s">
        <v>871</v>
      </c>
      <c r="K28" s="861" t="s">
        <v>871</v>
      </c>
    </row>
    <row r="29" spans="1:11" ht="23.25" x14ac:dyDescent="0.35">
      <c r="A29" s="898" t="s">
        <v>71</v>
      </c>
      <c r="B29" s="899"/>
      <c r="C29" s="900"/>
      <c r="D29" s="489">
        <f>'17 felhalm.bevétel '!C11</f>
        <v>0</v>
      </c>
      <c r="E29" s="489">
        <f>'17 felhalm.bevétel '!D11</f>
        <v>568871</v>
      </c>
      <c r="F29" s="489">
        <f>'17 felhalm.bevétel '!E11</f>
        <v>0</v>
      </c>
      <c r="G29" s="901" t="s">
        <v>170</v>
      </c>
      <c r="H29" s="902"/>
      <c r="I29" s="903"/>
      <c r="J29" s="903"/>
      <c r="K29" s="903"/>
    </row>
    <row r="30" spans="1:11" ht="23.25" x14ac:dyDescent="0.35">
      <c r="A30" s="904" t="s">
        <v>70</v>
      </c>
      <c r="B30" s="879"/>
      <c r="C30" s="905"/>
      <c r="D30" s="486">
        <f>'17 felhalm.bevétel '!C17</f>
        <v>289491</v>
      </c>
      <c r="E30" s="486">
        <f>'17 felhalm.bevétel '!D17</f>
        <v>413931</v>
      </c>
      <c r="F30" s="486">
        <f>'17 felhalm.bevétel '!E17</f>
        <v>1000000</v>
      </c>
      <c r="G30" s="505" t="s">
        <v>210</v>
      </c>
      <c r="H30" s="906"/>
      <c r="I30" s="485">
        <f>+'8 oktatás'!B34</f>
        <v>0</v>
      </c>
      <c r="J30" s="485">
        <f>+'8 oktatás'!C34</f>
        <v>140574</v>
      </c>
      <c r="K30" s="485">
        <f>+'8 oktatás'!D34</f>
        <v>0</v>
      </c>
    </row>
    <row r="31" spans="1:11" ht="23.25" x14ac:dyDescent="0.35">
      <c r="A31" s="904" t="s">
        <v>72</v>
      </c>
      <c r="B31" s="905"/>
      <c r="C31" s="907"/>
      <c r="D31" s="486">
        <f>'17 felhalm.bevétel '!C24</f>
        <v>10000</v>
      </c>
      <c r="E31" s="486">
        <f>'17 felhalm.bevétel '!D24</f>
        <v>117349</v>
      </c>
      <c r="F31" s="486">
        <f>'17 felhalm.bevétel '!E24</f>
        <v>8000</v>
      </c>
      <c r="G31" s="872" t="s">
        <v>292</v>
      </c>
      <c r="H31" s="908"/>
      <c r="I31" s="486">
        <f>'9 kultúra'!B74</f>
        <v>0</v>
      </c>
      <c r="J31" s="486">
        <f>'9 kultúra'!C74</f>
        <v>109827</v>
      </c>
      <c r="K31" s="486">
        <f>'9 kultúra'!D74</f>
        <v>0</v>
      </c>
    </row>
    <row r="32" spans="1:11" ht="23.25" x14ac:dyDescent="0.35">
      <c r="A32" s="871" t="s">
        <v>89</v>
      </c>
      <c r="B32" s="872"/>
      <c r="C32" s="872"/>
      <c r="D32" s="486">
        <f>'17 felhalm.bevétel '!C33</f>
        <v>250</v>
      </c>
      <c r="E32" s="486">
        <f>'17 felhalm.bevétel '!D33</f>
        <v>52191</v>
      </c>
      <c r="F32" s="486">
        <f>'17 felhalm.bevétel '!E33</f>
        <v>0</v>
      </c>
      <c r="G32" s="872" t="s">
        <v>156</v>
      </c>
      <c r="H32" s="908"/>
      <c r="I32" s="486">
        <f>'10 szociális'!B41</f>
        <v>0</v>
      </c>
      <c r="J32" s="485">
        <f>'10 szociális'!C41</f>
        <v>109880</v>
      </c>
      <c r="K32" s="486">
        <f>'10 szociális'!D41</f>
        <v>0</v>
      </c>
    </row>
    <row r="33" spans="1:11" ht="23.25" x14ac:dyDescent="0.35">
      <c r="A33" s="909"/>
      <c r="B33" s="900"/>
      <c r="C33" s="900"/>
      <c r="D33" s="490"/>
      <c r="E33" s="490"/>
      <c r="F33" s="491"/>
      <c r="G33" s="872" t="s">
        <v>151</v>
      </c>
      <c r="H33" s="908"/>
      <c r="I33" s="486">
        <f>'11 egészségügy'!B30</f>
        <v>2028</v>
      </c>
      <c r="J33" s="485">
        <f>'11 egészségügy'!C30</f>
        <v>6403</v>
      </c>
      <c r="K33" s="486">
        <f>'11 egészségügy'!D30</f>
        <v>0</v>
      </c>
    </row>
    <row r="34" spans="1:11" ht="23.25" x14ac:dyDescent="0.35">
      <c r="A34" s="909"/>
      <c r="B34" s="900"/>
      <c r="C34" s="900"/>
      <c r="D34" s="490"/>
      <c r="E34" s="490"/>
      <c r="F34" s="491"/>
      <c r="G34" s="872" t="s">
        <v>302</v>
      </c>
      <c r="H34" s="908"/>
      <c r="I34" s="486">
        <f>'12 gyermek és ifj.véd.'!B18</f>
        <v>0</v>
      </c>
      <c r="J34" s="485">
        <f>'12 gyermek és ifj.véd.'!C18</f>
        <v>82564</v>
      </c>
      <c r="K34" s="486">
        <f>'12 gyermek és ifj.véd.'!D18</f>
        <v>700</v>
      </c>
    </row>
    <row r="35" spans="1:11" ht="24" thickBot="1" x14ac:dyDescent="0.4">
      <c r="A35" s="910"/>
      <c r="B35" s="911"/>
      <c r="C35" s="911"/>
      <c r="D35" s="498"/>
      <c r="E35" s="498"/>
      <c r="F35" s="499"/>
      <c r="G35" s="872" t="s">
        <v>303</v>
      </c>
      <c r="H35" s="908"/>
      <c r="I35" s="486">
        <f>'13 egyéb'!B109</f>
        <v>150150</v>
      </c>
      <c r="J35" s="485">
        <f>'13 egyéb'!C109</f>
        <v>228713</v>
      </c>
      <c r="K35" s="486">
        <f>'13 egyéb'!D109</f>
        <v>72163</v>
      </c>
    </row>
    <row r="36" spans="1:11" ht="24" thickBot="1" x14ac:dyDescent="0.4">
      <c r="A36" s="910"/>
      <c r="B36" s="911"/>
      <c r="C36" s="911"/>
      <c r="D36" s="498"/>
      <c r="E36" s="498"/>
      <c r="F36" s="499"/>
      <c r="G36" s="912" t="s">
        <v>171</v>
      </c>
      <c r="H36" s="913"/>
      <c r="I36" s="494">
        <f>SUM(I29:I35)</f>
        <v>152178</v>
      </c>
      <c r="J36" s="494">
        <f>SUM(J29:J35)</f>
        <v>677961</v>
      </c>
      <c r="K36" s="494">
        <f>SUM(K29:K35)</f>
        <v>72863</v>
      </c>
    </row>
    <row r="37" spans="1:11" ht="23.25" x14ac:dyDescent="0.35">
      <c r="A37" s="876"/>
      <c r="D37" s="496"/>
      <c r="E37" s="496"/>
      <c r="F37" s="491"/>
      <c r="G37" s="507" t="s">
        <v>137</v>
      </c>
      <c r="H37" s="899"/>
      <c r="I37" s="489">
        <f>+'18 felhalm.kiadás'!C13</f>
        <v>0</v>
      </c>
      <c r="J37" s="489">
        <f>+'18 felhalm.kiadás'!D13</f>
        <v>138023</v>
      </c>
      <c r="K37" s="489">
        <f>+'18 felhalm.kiadás'!E13</f>
        <v>50000</v>
      </c>
    </row>
    <row r="38" spans="1:11" ht="23.25" x14ac:dyDescent="0.35">
      <c r="A38" s="876"/>
      <c r="D38" s="496"/>
      <c r="E38" s="496"/>
      <c r="F38" s="491"/>
      <c r="G38" s="872" t="s">
        <v>166</v>
      </c>
      <c r="H38" s="879"/>
      <c r="I38" s="486">
        <f>'18 felhalm.kiadás'!C16</f>
        <v>0</v>
      </c>
      <c r="J38" s="486">
        <f>'18 felhalm.kiadás'!D16</f>
        <v>0</v>
      </c>
      <c r="K38" s="486">
        <f>'18 felhalm.kiadás'!E16</f>
        <v>100000</v>
      </c>
    </row>
    <row r="39" spans="1:11" ht="23.25" x14ac:dyDescent="0.35">
      <c r="A39" s="876"/>
      <c r="D39" s="496"/>
      <c r="E39" s="496"/>
      <c r="F39" s="491"/>
      <c r="G39" s="872" t="s">
        <v>178</v>
      </c>
      <c r="H39" s="878"/>
      <c r="I39" s="486">
        <f>+'18 felhalm.kiadás'!C19</f>
        <v>0</v>
      </c>
      <c r="J39" s="486">
        <f>+'18 felhalm.kiadás'!D19</f>
        <v>0</v>
      </c>
      <c r="K39" s="486">
        <f>+'18 felhalm.kiadás'!E19</f>
        <v>0</v>
      </c>
    </row>
    <row r="40" spans="1:11" ht="23.25" x14ac:dyDescent="0.35">
      <c r="A40" s="914"/>
      <c r="B40" s="915"/>
      <c r="D40" s="496"/>
      <c r="E40" s="496"/>
      <c r="F40" s="491"/>
      <c r="G40" s="872" t="s">
        <v>183</v>
      </c>
      <c r="H40" s="878"/>
      <c r="I40" s="486">
        <f>+'18 felhalm.kiadás'!C24</f>
        <v>15400</v>
      </c>
      <c r="J40" s="486">
        <f>+'18 felhalm.kiadás'!D24</f>
        <v>123683</v>
      </c>
      <c r="K40" s="486">
        <f>+'18 felhalm.kiadás'!E24</f>
        <v>55000</v>
      </c>
    </row>
    <row r="41" spans="1:11" ht="23.25" x14ac:dyDescent="0.35">
      <c r="A41" s="914"/>
      <c r="B41" s="915"/>
      <c r="C41" s="916"/>
      <c r="D41" s="500"/>
      <c r="E41" s="500"/>
      <c r="F41" s="491"/>
      <c r="G41" s="872" t="s">
        <v>149</v>
      </c>
      <c r="H41" s="878"/>
      <c r="I41" s="486">
        <f>+'18 felhalm.kiadás'!C70</f>
        <v>1332661</v>
      </c>
      <c r="J41" s="486">
        <f>+'18 felhalm.kiadás'!D70</f>
        <v>2819113</v>
      </c>
      <c r="K41" s="486">
        <f>+'18 felhalm.kiadás'!E70</f>
        <v>90542</v>
      </c>
    </row>
    <row r="42" spans="1:11" ht="23.25" x14ac:dyDescent="0.35">
      <c r="A42" s="874"/>
      <c r="B42" s="917"/>
      <c r="C42" s="916"/>
      <c r="D42" s="500"/>
      <c r="E42" s="500"/>
      <c r="F42" s="491"/>
      <c r="G42" s="872" t="s">
        <v>423</v>
      </c>
      <c r="H42" s="872"/>
      <c r="I42" s="486">
        <f>+'18 felhalm.kiadás'!C73</f>
        <v>0</v>
      </c>
      <c r="J42" s="486">
        <f>+'18 felhalm.kiadás'!D73</f>
        <v>0</v>
      </c>
      <c r="K42" s="486">
        <f>+'18 felhalm.kiadás'!E73</f>
        <v>0</v>
      </c>
    </row>
    <row r="43" spans="1:11" ht="23.25" x14ac:dyDescent="0.35">
      <c r="A43" s="874"/>
      <c r="B43" s="917"/>
      <c r="C43" s="916"/>
      <c r="D43" s="500"/>
      <c r="E43" s="500"/>
      <c r="F43" s="491"/>
      <c r="G43" s="872" t="s">
        <v>36</v>
      </c>
      <c r="H43" s="872"/>
      <c r="I43" s="486">
        <f>'18 felhalm.kiadás'!C74</f>
        <v>10000</v>
      </c>
      <c r="J43" s="486">
        <f>'18 felhalm.kiadás'!D74</f>
        <v>10000</v>
      </c>
      <c r="K43" s="486">
        <f>'18 felhalm.kiadás'!E74</f>
        <v>1200</v>
      </c>
    </row>
    <row r="44" spans="1:11" ht="24" thickBot="1" x14ac:dyDescent="0.4">
      <c r="A44" s="874"/>
      <c r="B44" s="917"/>
      <c r="C44" s="916"/>
      <c r="D44" s="501"/>
      <c r="E44" s="501"/>
      <c r="F44" s="501"/>
      <c r="G44" s="918" t="s">
        <v>172</v>
      </c>
      <c r="H44" s="919"/>
      <c r="I44" s="920">
        <f>SUM(I37:I43)</f>
        <v>1358061</v>
      </c>
      <c r="J44" s="920">
        <f>SUM(J37:J43)</f>
        <v>3090819</v>
      </c>
      <c r="K44" s="920">
        <f>SUM(K37:K43)</f>
        <v>296742</v>
      </c>
    </row>
    <row r="45" spans="1:11" ht="24" thickBot="1" x14ac:dyDescent="0.4">
      <c r="A45" s="921" t="s">
        <v>162</v>
      </c>
      <c r="B45" s="921"/>
      <c r="C45" s="922"/>
      <c r="D45" s="495">
        <f>SUM(D29:D44)</f>
        <v>299741</v>
      </c>
      <c r="E45" s="495">
        <f>SUM(E29:E44)</f>
        <v>1152342</v>
      </c>
      <c r="F45" s="495">
        <f>SUM(F29:F44)</f>
        <v>1008000</v>
      </c>
      <c r="G45" s="923" t="s">
        <v>163</v>
      </c>
      <c r="H45" s="923"/>
      <c r="I45" s="495">
        <f>+I44+I36</f>
        <v>1510239</v>
      </c>
      <c r="J45" s="495">
        <f>+J44+J36</f>
        <v>3768780</v>
      </c>
      <c r="K45" s="495">
        <f>+K44+K36</f>
        <v>369605</v>
      </c>
    </row>
    <row r="46" spans="1:11" ht="18.75" customHeight="1" thickBot="1" x14ac:dyDescent="0.4">
      <c r="A46" s="924"/>
      <c r="B46" s="924"/>
      <c r="C46" s="925"/>
      <c r="D46" s="925"/>
      <c r="E46" s="925"/>
      <c r="F46" s="925"/>
      <c r="G46" s="857"/>
      <c r="H46" s="857"/>
      <c r="I46" s="857"/>
      <c r="J46" s="857"/>
      <c r="K46" s="857"/>
    </row>
    <row r="47" spans="1:11" ht="23.25" x14ac:dyDescent="0.35">
      <c r="A47" s="926" t="s">
        <v>154</v>
      </c>
      <c r="B47" s="927"/>
      <c r="C47" s="928"/>
      <c r="D47" s="502"/>
      <c r="E47" s="502"/>
      <c r="F47" s="502"/>
      <c r="G47" s="926" t="s">
        <v>154</v>
      </c>
      <c r="H47" s="929"/>
      <c r="I47" s="512"/>
      <c r="J47" s="512"/>
      <c r="K47" s="512"/>
    </row>
    <row r="48" spans="1:11" ht="23.25" x14ac:dyDescent="0.35">
      <c r="A48" s="881"/>
      <c r="C48" s="506" t="s">
        <v>101</v>
      </c>
      <c r="D48" s="492">
        <v>2446031</v>
      </c>
      <c r="E48" s="492">
        <v>5078776</v>
      </c>
      <c r="F48" s="492">
        <f>447127+4331+155456+7000+3000+1000+15500</f>
        <v>633414</v>
      </c>
      <c r="G48" s="505"/>
      <c r="H48" s="505"/>
      <c r="I48" s="485"/>
      <c r="J48" s="485"/>
      <c r="K48" s="485"/>
    </row>
    <row r="49" spans="1:11" ht="23.25" x14ac:dyDescent="0.35">
      <c r="A49" s="881"/>
      <c r="C49" s="506" t="s">
        <v>564</v>
      </c>
      <c r="D49" s="492">
        <v>400000</v>
      </c>
      <c r="E49" s="492"/>
      <c r="F49" s="492">
        <f>400000-400000</f>
        <v>0</v>
      </c>
      <c r="G49" s="505" t="s">
        <v>410</v>
      </c>
      <c r="H49" s="505"/>
      <c r="I49" s="485">
        <f>120750</f>
        <v>120750</v>
      </c>
      <c r="J49" s="485">
        <v>120750</v>
      </c>
      <c r="K49" s="485">
        <v>120750</v>
      </c>
    </row>
    <row r="50" spans="1:11" ht="23.25" x14ac:dyDescent="0.35">
      <c r="A50" s="881"/>
      <c r="C50" s="930" t="s">
        <v>574</v>
      </c>
      <c r="D50" s="492">
        <v>82019</v>
      </c>
      <c r="E50" s="492"/>
      <c r="F50" s="492">
        <f>82019-82019+76672</f>
        <v>76672</v>
      </c>
      <c r="G50" s="505"/>
      <c r="H50" s="505"/>
      <c r="I50" s="485"/>
      <c r="J50" s="485"/>
      <c r="K50" s="485"/>
    </row>
    <row r="51" spans="1:11" ht="23.25" x14ac:dyDescent="0.35">
      <c r="A51" s="881"/>
      <c r="C51" s="506"/>
      <c r="D51" s="492"/>
      <c r="E51" s="492"/>
      <c r="F51" s="492"/>
      <c r="G51" s="505"/>
      <c r="H51" s="506"/>
      <c r="I51" s="485"/>
      <c r="J51" s="485"/>
      <c r="K51" s="485"/>
    </row>
    <row r="52" spans="1:11" ht="46.5" x14ac:dyDescent="0.35">
      <c r="A52" s="881"/>
      <c r="C52" s="506" t="s">
        <v>549</v>
      </c>
      <c r="D52" s="492">
        <v>257267</v>
      </c>
      <c r="E52" s="492">
        <v>4917</v>
      </c>
      <c r="F52" s="492">
        <f>257267-257267</f>
        <v>0</v>
      </c>
      <c r="G52" s="505"/>
      <c r="H52" s="505"/>
      <c r="I52" s="485"/>
      <c r="J52" s="485"/>
      <c r="K52" s="485"/>
    </row>
    <row r="53" spans="1:11" ht="46.5" x14ac:dyDescent="0.35">
      <c r="A53" s="881"/>
      <c r="C53" s="506" t="s">
        <v>621</v>
      </c>
      <c r="D53" s="492"/>
      <c r="E53" s="492">
        <v>281004</v>
      </c>
      <c r="F53" s="492">
        <v>281004</v>
      </c>
      <c r="G53" s="505"/>
      <c r="H53" s="505"/>
      <c r="I53" s="485"/>
      <c r="J53" s="485"/>
      <c r="K53" s="485"/>
    </row>
    <row r="54" spans="1:11" ht="21" customHeight="1" x14ac:dyDescent="0.35">
      <c r="A54" s="881"/>
      <c r="C54" s="931" t="s">
        <v>132</v>
      </c>
      <c r="D54" s="492"/>
      <c r="E54" s="492">
        <v>1966978</v>
      </c>
      <c r="F54" s="492">
        <v>33463</v>
      </c>
      <c r="G54" s="505" t="s">
        <v>550</v>
      </c>
      <c r="H54" s="505"/>
      <c r="I54" s="485">
        <v>257267</v>
      </c>
      <c r="J54" s="485">
        <v>262184</v>
      </c>
      <c r="K54" s="485">
        <f>257267-257267</f>
        <v>0</v>
      </c>
    </row>
    <row r="55" spans="1:11" ht="46.5" x14ac:dyDescent="0.35">
      <c r="A55" s="881"/>
      <c r="C55" s="931" t="s">
        <v>565</v>
      </c>
      <c r="D55" s="492">
        <v>400000</v>
      </c>
      <c r="E55" s="492"/>
      <c r="F55" s="492">
        <f>400000-400000</f>
        <v>0</v>
      </c>
      <c r="G55" s="505" t="s">
        <v>622</v>
      </c>
      <c r="H55" s="505"/>
      <c r="I55" s="485"/>
      <c r="J55" s="485">
        <v>281004</v>
      </c>
      <c r="K55" s="485">
        <v>281004</v>
      </c>
    </row>
    <row r="56" spans="1:11" ht="23.25" x14ac:dyDescent="0.35">
      <c r="A56" s="881"/>
      <c r="C56" s="931" t="s">
        <v>575</v>
      </c>
      <c r="D56" s="492">
        <v>840765</v>
      </c>
      <c r="E56" s="492"/>
      <c r="F56" s="492">
        <f>840765-840765+65542</f>
        <v>65542</v>
      </c>
      <c r="G56" s="505" t="s">
        <v>698</v>
      </c>
      <c r="H56" s="505"/>
      <c r="I56" s="485"/>
      <c r="J56" s="485">
        <v>2500000</v>
      </c>
      <c r="K56" s="485"/>
    </row>
    <row r="57" spans="1:11" ht="23.25" x14ac:dyDescent="0.35">
      <c r="A57" s="881"/>
      <c r="B57" s="917"/>
      <c r="C57" s="931" t="s">
        <v>272</v>
      </c>
      <c r="D57" s="492"/>
      <c r="E57" s="492">
        <v>497891</v>
      </c>
      <c r="F57" s="492"/>
      <c r="G57" s="505"/>
      <c r="H57" s="505"/>
      <c r="I57" s="485"/>
      <c r="J57" s="493"/>
      <c r="K57" s="485"/>
    </row>
    <row r="58" spans="1:11" ht="47.25" thickBot="1" x14ac:dyDescent="0.4">
      <c r="A58" s="881"/>
      <c r="B58" s="917"/>
      <c r="C58" s="931" t="s">
        <v>696</v>
      </c>
      <c r="D58" s="492"/>
      <c r="E58" s="492">
        <v>2500000</v>
      </c>
      <c r="F58" s="492"/>
      <c r="G58" s="507"/>
      <c r="H58" s="508"/>
      <c r="I58" s="509"/>
      <c r="J58" s="509"/>
      <c r="K58" s="509"/>
    </row>
    <row r="59" spans="1:11" ht="24" thickBot="1" x14ac:dyDescent="0.4">
      <c r="A59" s="932" t="s">
        <v>126</v>
      </c>
      <c r="B59" s="922"/>
      <c r="C59" s="503"/>
      <c r="D59" s="503">
        <f>SUM(D47:D58)</f>
        <v>4426082</v>
      </c>
      <c r="E59" s="503">
        <f>SUM(E47:E58)</f>
        <v>10329566</v>
      </c>
      <c r="F59" s="503">
        <f>SUM(F47:F58)</f>
        <v>1090095</v>
      </c>
      <c r="G59" s="510" t="s">
        <v>126</v>
      </c>
      <c r="H59" s="511"/>
      <c r="I59" s="494">
        <f>SUM(I47:I58)</f>
        <v>378017</v>
      </c>
      <c r="J59" s="494">
        <f>SUM(J47:J58)</f>
        <v>3163938</v>
      </c>
      <c r="K59" s="494">
        <f>SUM(K47:K58)</f>
        <v>401754</v>
      </c>
    </row>
    <row r="60" spans="1:11" ht="23.25" x14ac:dyDescent="0.35">
      <c r="A60" s="881"/>
      <c r="B60" s="924"/>
      <c r="C60" s="924"/>
      <c r="D60" s="502"/>
      <c r="E60" s="502"/>
      <c r="F60" s="502"/>
      <c r="G60" s="508"/>
      <c r="H60" s="508"/>
      <c r="I60" s="512"/>
      <c r="J60" s="512"/>
      <c r="K60" s="512"/>
    </row>
    <row r="61" spans="1:11" ht="24" thickBot="1" x14ac:dyDescent="0.4">
      <c r="A61" s="933"/>
      <c r="B61" s="514"/>
      <c r="C61" s="514"/>
      <c r="D61" s="504"/>
      <c r="E61" s="504"/>
      <c r="F61" s="504"/>
      <c r="G61" s="513"/>
      <c r="H61" s="514"/>
      <c r="I61" s="504"/>
      <c r="J61" s="504"/>
      <c r="K61" s="504"/>
    </row>
    <row r="62" spans="1:11" ht="24" thickBot="1" x14ac:dyDescent="0.4">
      <c r="A62" s="934" t="s">
        <v>155</v>
      </c>
      <c r="B62" s="922"/>
      <c r="C62" s="922"/>
      <c r="D62" s="495">
        <f>+D59+D45+D24</f>
        <v>31376932</v>
      </c>
      <c r="E62" s="495">
        <f>+E59+E45+E24</f>
        <v>40334697</v>
      </c>
      <c r="F62" s="495">
        <f>+F59+F45+F24</f>
        <v>30105679</v>
      </c>
      <c r="G62" s="510" t="s">
        <v>125</v>
      </c>
      <c r="H62" s="511"/>
      <c r="I62" s="494">
        <f>+I59+I45+I24</f>
        <v>31376932</v>
      </c>
      <c r="J62" s="494">
        <f>+J59+J45+J24</f>
        <v>40334697</v>
      </c>
      <c r="K62" s="494">
        <f>+K59+K45+K24</f>
        <v>30105679</v>
      </c>
    </row>
    <row r="63" spans="1:11" ht="23.25" x14ac:dyDescent="0.35">
      <c r="C63" s="935"/>
      <c r="H63" s="936"/>
    </row>
    <row r="64" spans="1:11" ht="23.25" x14ac:dyDescent="0.35">
      <c r="H64" s="924"/>
    </row>
    <row r="65" ht="23.25" x14ac:dyDescent="0.35"/>
    <row r="66" ht="14.1" customHeight="1" x14ac:dyDescent="0.35"/>
  </sheetData>
  <customSheetViews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K2"/>
  </mergeCells>
  <phoneticPr fontId="0" type="noConversion"/>
  <printOptions horizontalCentered="1" verticalCentered="1"/>
  <pageMargins left="0" right="0" top="0" bottom="0" header="0.39370078740157483" footer="0"/>
  <pageSetup paperSize="9" scale="32" orientation="landscape" r:id="rId3"/>
  <headerFooter alignWithMargins="0">
    <oddHeader xml:space="preserve">&amp;R&amp;"Times New Roman CE,Félkövér"&amp;18
&amp;"-,Félkövér"2. melléklet a 4/2025. (II.28.) önkormányzati rendelethez&amp;"Times New Roman CE,Félkövér"
 </oddHeader>
    <oddFooter>&amp;L&amp;14&amp;D&amp;T</oddFooter>
  </headerFooter>
  <rowBreaks count="1" manualBreakCount="1">
    <brk id="24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31"/>
  <sheetViews>
    <sheetView zoomScale="85" zoomScaleNormal="85" workbookViewId="0">
      <selection activeCell="B9" sqref="B9"/>
    </sheetView>
  </sheetViews>
  <sheetFormatPr defaultRowHeight="15.75" x14ac:dyDescent="0.25"/>
  <cols>
    <col min="1" max="1" width="102.83203125" style="374" customWidth="1"/>
    <col min="2" max="2" width="26.83203125" style="374" bestFit="1" customWidth="1"/>
    <col min="3" max="3" width="28" style="374" bestFit="1" customWidth="1"/>
    <col min="4" max="5" width="21.6640625" style="374" bestFit="1" customWidth="1"/>
    <col min="6" max="14" width="20.83203125" style="374" customWidth="1"/>
    <col min="15" max="15" width="9.33203125" style="374"/>
    <col min="16" max="16" width="20.83203125" style="375" customWidth="1"/>
    <col min="17" max="17" width="15.5" style="374" bestFit="1" customWidth="1"/>
    <col min="18" max="18" width="19" style="374" customWidth="1"/>
    <col min="19" max="16384" width="9.33203125" style="374"/>
  </cols>
  <sheetData>
    <row r="1" spans="1:18" ht="21" x14ac:dyDescent="0.35">
      <c r="A1" s="149" t="s">
        <v>710</v>
      </c>
      <c r="B1" s="373"/>
      <c r="C1" s="373"/>
      <c r="D1" s="373"/>
      <c r="E1" s="393"/>
      <c r="F1" s="373"/>
      <c r="G1" s="373"/>
      <c r="H1" s="373"/>
      <c r="I1" s="373"/>
      <c r="J1" s="373"/>
      <c r="K1" s="373"/>
      <c r="L1" s="373"/>
      <c r="M1" s="373"/>
      <c r="N1" s="373"/>
    </row>
    <row r="2" spans="1:18" x14ac:dyDescent="0.25">
      <c r="A2" s="985"/>
      <c r="B2" s="985"/>
    </row>
    <row r="3" spans="1:18" ht="16.5" thickBot="1" x14ac:dyDescent="0.3">
      <c r="N3" s="374" t="s">
        <v>370</v>
      </c>
    </row>
    <row r="4" spans="1:18" ht="20.100000000000001" customHeight="1" x14ac:dyDescent="0.25">
      <c r="A4" s="376" t="s">
        <v>239</v>
      </c>
      <c r="B4" s="377" t="s">
        <v>231</v>
      </c>
      <c r="C4" s="377" t="s">
        <v>179</v>
      </c>
      <c r="D4" s="377" t="s">
        <v>180</v>
      </c>
      <c r="E4" s="377" t="s">
        <v>181</v>
      </c>
      <c r="F4" s="377" t="s">
        <v>182</v>
      </c>
      <c r="G4" s="377" t="s">
        <v>184</v>
      </c>
      <c r="H4" s="377" t="s">
        <v>185</v>
      </c>
      <c r="I4" s="377" t="s">
        <v>186</v>
      </c>
      <c r="J4" s="377" t="s">
        <v>187</v>
      </c>
      <c r="K4" s="377" t="s">
        <v>225</v>
      </c>
      <c r="L4" s="377" t="s">
        <v>226</v>
      </c>
      <c r="M4" s="377" t="s">
        <v>227</v>
      </c>
      <c r="N4" s="377" t="s">
        <v>228</v>
      </c>
    </row>
    <row r="5" spans="1:18" ht="20.100000000000001" customHeight="1" x14ac:dyDescent="0.25">
      <c r="A5" s="378"/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</row>
    <row r="6" spans="1:18" ht="67.5" customHeight="1" thickBot="1" x14ac:dyDescent="0.3">
      <c r="A6" s="380"/>
      <c r="B6" s="381" t="s">
        <v>240</v>
      </c>
      <c r="C6" s="381" t="s">
        <v>233</v>
      </c>
      <c r="D6" s="381" t="s">
        <v>233</v>
      </c>
      <c r="E6" s="381" t="s">
        <v>233</v>
      </c>
      <c r="F6" s="381" t="s">
        <v>233</v>
      </c>
      <c r="G6" s="381" t="s">
        <v>233</v>
      </c>
      <c r="H6" s="381" t="s">
        <v>233</v>
      </c>
      <c r="I6" s="381" t="s">
        <v>233</v>
      </c>
      <c r="J6" s="381" t="s">
        <v>233</v>
      </c>
      <c r="K6" s="381" t="s">
        <v>233</v>
      </c>
      <c r="L6" s="381" t="s">
        <v>233</v>
      </c>
      <c r="M6" s="381" t="s">
        <v>233</v>
      </c>
      <c r="N6" s="381" t="s">
        <v>233</v>
      </c>
    </row>
    <row r="7" spans="1:18" ht="24" customHeight="1" x14ac:dyDescent="0.3">
      <c r="A7" s="545" t="s">
        <v>241</v>
      </c>
      <c r="B7" s="546">
        <f>'1 kiemelt ei. '!N13</f>
        <v>29334320</v>
      </c>
      <c r="C7" s="546">
        <f>2443641-600000+3631</f>
        <v>1847272</v>
      </c>
      <c r="D7" s="546">
        <f>2443641-1220000-100000</f>
        <v>1123641</v>
      </c>
      <c r="E7" s="546">
        <f>2443641+255000</f>
        <v>2698641</v>
      </c>
      <c r="F7" s="546">
        <v>2443641</v>
      </c>
      <c r="G7" s="546">
        <v>2443641</v>
      </c>
      <c r="H7" s="546">
        <v>2443641</v>
      </c>
      <c r="I7" s="546">
        <v>2443641</v>
      </c>
      <c r="J7" s="546">
        <v>2443641</v>
      </c>
      <c r="K7" s="546">
        <f>2443641+800000+7000</f>
        <v>3250641</v>
      </c>
      <c r="L7" s="546">
        <f>2443641+765000+100000</f>
        <v>3308641</v>
      </c>
      <c r="M7" s="546">
        <v>2443641</v>
      </c>
      <c r="N7" s="546">
        <f>2443641-3</f>
        <v>2443638</v>
      </c>
      <c r="R7" s="375"/>
    </row>
    <row r="8" spans="1:18" ht="24" customHeight="1" thickBot="1" x14ac:dyDescent="0.35">
      <c r="A8" s="547" t="s">
        <v>242</v>
      </c>
      <c r="B8" s="548">
        <f>'1 kiemelt ei. '!N17</f>
        <v>369605</v>
      </c>
      <c r="C8" s="548"/>
      <c r="D8" s="548"/>
      <c r="E8" s="548"/>
      <c r="F8" s="548">
        <v>65542</v>
      </c>
      <c r="G8" s="548">
        <v>115000</v>
      </c>
      <c r="H8" s="548"/>
      <c r="I8" s="548"/>
      <c r="J8" s="548"/>
      <c r="K8" s="548">
        <v>89063</v>
      </c>
      <c r="L8" s="548">
        <v>100000</v>
      </c>
      <c r="M8" s="548"/>
      <c r="N8" s="548"/>
      <c r="R8" s="375"/>
    </row>
    <row r="9" spans="1:18" s="383" customFormat="1" ht="24" customHeight="1" thickBot="1" x14ac:dyDescent="0.35">
      <c r="A9" s="389" t="s">
        <v>243</v>
      </c>
      <c r="B9" s="385">
        <f t="shared" ref="B9:N9" si="0">B7+B8</f>
        <v>29703925</v>
      </c>
      <c r="C9" s="385">
        <f t="shared" si="0"/>
        <v>1847272</v>
      </c>
      <c r="D9" s="385">
        <f t="shared" si="0"/>
        <v>1123641</v>
      </c>
      <c r="E9" s="385">
        <f t="shared" si="0"/>
        <v>2698641</v>
      </c>
      <c r="F9" s="385">
        <f t="shared" si="0"/>
        <v>2509183</v>
      </c>
      <c r="G9" s="385">
        <f t="shared" si="0"/>
        <v>2558641</v>
      </c>
      <c r="H9" s="385">
        <f t="shared" si="0"/>
        <v>2443641</v>
      </c>
      <c r="I9" s="385">
        <f t="shared" si="0"/>
        <v>2443641</v>
      </c>
      <c r="J9" s="385">
        <f t="shared" si="0"/>
        <v>2443641</v>
      </c>
      <c r="K9" s="385">
        <f>K7+K8</f>
        <v>3339704</v>
      </c>
      <c r="L9" s="385">
        <f t="shared" si="0"/>
        <v>3408641</v>
      </c>
      <c r="M9" s="385">
        <f t="shared" si="0"/>
        <v>2443641</v>
      </c>
      <c r="N9" s="385">
        <f t="shared" si="0"/>
        <v>2443638</v>
      </c>
      <c r="P9" s="382"/>
    </row>
    <row r="10" spans="1:18" ht="49.5" customHeight="1" thickBot="1" x14ac:dyDescent="0.35">
      <c r="A10" s="549" t="s">
        <v>244</v>
      </c>
      <c r="B10" s="387">
        <f>'1 kiemelt ei. '!N19</f>
        <v>401754</v>
      </c>
      <c r="C10" s="388">
        <f>281004+10063</f>
        <v>291067</v>
      </c>
      <c r="D10" s="388">
        <v>10063</v>
      </c>
      <c r="E10" s="388">
        <v>10063</v>
      </c>
      <c r="F10" s="388">
        <v>10063</v>
      </c>
      <c r="G10" s="388">
        <v>10063</v>
      </c>
      <c r="H10" s="388">
        <v>10063</v>
      </c>
      <c r="I10" s="388">
        <v>10063</v>
      </c>
      <c r="J10" s="388">
        <v>10063</v>
      </c>
      <c r="K10" s="388">
        <v>10063</v>
      </c>
      <c r="L10" s="388">
        <v>10063</v>
      </c>
      <c r="M10" s="388">
        <v>10063</v>
      </c>
      <c r="N10" s="388">
        <f>10063-6</f>
        <v>10057</v>
      </c>
      <c r="P10" s="382"/>
    </row>
    <row r="11" spans="1:18" s="383" customFormat="1" ht="24" customHeight="1" thickBot="1" x14ac:dyDescent="0.35">
      <c r="A11" s="389" t="s">
        <v>245</v>
      </c>
      <c r="B11" s="385">
        <f>SUM(B9:B10)</f>
        <v>30105679</v>
      </c>
      <c r="C11" s="385">
        <f t="shared" ref="C11:N11" si="1">SUM(C9:C10)</f>
        <v>2138339</v>
      </c>
      <c r="D11" s="385">
        <f t="shared" si="1"/>
        <v>1133704</v>
      </c>
      <c r="E11" s="385">
        <f t="shared" si="1"/>
        <v>2708704</v>
      </c>
      <c r="F11" s="385">
        <f t="shared" si="1"/>
        <v>2519246</v>
      </c>
      <c r="G11" s="385">
        <f t="shared" si="1"/>
        <v>2568704</v>
      </c>
      <c r="H11" s="385">
        <f t="shared" si="1"/>
        <v>2453704</v>
      </c>
      <c r="I11" s="385">
        <f t="shared" si="1"/>
        <v>2453704</v>
      </c>
      <c r="J11" s="385">
        <f t="shared" si="1"/>
        <v>2453704</v>
      </c>
      <c r="K11" s="385">
        <f t="shared" si="1"/>
        <v>3349767</v>
      </c>
      <c r="L11" s="385">
        <f t="shared" si="1"/>
        <v>3418704</v>
      </c>
      <c r="M11" s="385">
        <f t="shared" si="1"/>
        <v>2453704</v>
      </c>
      <c r="N11" s="385">
        <f t="shared" si="1"/>
        <v>2453695</v>
      </c>
      <c r="P11" s="382"/>
    </row>
    <row r="12" spans="1:18" ht="24" customHeight="1" thickBot="1" x14ac:dyDescent="0.3">
      <c r="B12" s="375"/>
    </row>
    <row r="13" spans="1:18" s="47" customFormat="1" ht="31.5" x14ac:dyDescent="0.25">
      <c r="A13" s="395" t="s">
        <v>167</v>
      </c>
      <c r="B13" s="396"/>
      <c r="C13" s="396" t="s">
        <v>246</v>
      </c>
      <c r="D13" s="396" t="s">
        <v>247</v>
      </c>
      <c r="E13" s="397" t="s">
        <v>248</v>
      </c>
      <c r="O13" s="48"/>
      <c r="P13" s="48"/>
      <c r="Q13" s="48"/>
      <c r="R13" s="48"/>
    </row>
    <row r="14" spans="1:18" s="47" customFormat="1" ht="16.5" thickBot="1" x14ac:dyDescent="0.3">
      <c r="A14" s="55"/>
      <c r="B14" s="398"/>
      <c r="C14" s="399"/>
      <c r="D14" s="399"/>
      <c r="E14" s="400"/>
      <c r="F14" s="48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</row>
    <row r="15" spans="1:18" s="47" customFormat="1" ht="18.75" x14ac:dyDescent="0.3">
      <c r="A15" s="402" t="s">
        <v>249</v>
      </c>
      <c r="B15" s="44"/>
      <c r="C15" s="403">
        <f>'19 ei felh. terv bevétel'!C11</f>
        <v>2235806</v>
      </c>
      <c r="D15" s="403">
        <f>C11</f>
        <v>2138339</v>
      </c>
      <c r="E15" s="404">
        <f>+B15+C15-D15</f>
        <v>97467</v>
      </c>
      <c r="F15" s="48"/>
      <c r="G15" s="48"/>
      <c r="H15" s="48"/>
      <c r="I15" s="48"/>
      <c r="J15" s="48"/>
      <c r="K15" s="48"/>
      <c r="L15" s="48"/>
      <c r="M15" s="48"/>
      <c r="O15" s="48"/>
      <c r="P15" s="48"/>
      <c r="Q15" s="48"/>
      <c r="R15" s="48"/>
    </row>
    <row r="16" spans="1:18" s="47" customFormat="1" ht="18.75" x14ac:dyDescent="0.3">
      <c r="A16" s="405" t="s">
        <v>250</v>
      </c>
      <c r="B16" s="43"/>
      <c r="C16" s="403">
        <f>'19 ei felh. terv bevétel'!D11</f>
        <v>1142080</v>
      </c>
      <c r="D16" s="403">
        <f>D11</f>
        <v>1133704</v>
      </c>
      <c r="E16" s="406">
        <f t="shared" ref="E16:E26" si="2">+E15+C16-D16</f>
        <v>105843</v>
      </c>
      <c r="F16" s="48"/>
      <c r="G16" s="48"/>
      <c r="H16" s="48"/>
      <c r="I16" s="48"/>
      <c r="J16" s="48"/>
      <c r="K16" s="48"/>
      <c r="L16" s="48"/>
      <c r="M16" s="48"/>
      <c r="O16" s="48"/>
      <c r="P16" s="48"/>
      <c r="Q16" s="48"/>
      <c r="R16" s="48"/>
    </row>
    <row r="17" spans="1:18" s="47" customFormat="1" ht="18.75" x14ac:dyDescent="0.3">
      <c r="A17" s="405" t="s">
        <v>218</v>
      </c>
      <c r="B17" s="43"/>
      <c r="C17" s="403">
        <f>'19 ei felh. terv bevétel'!E11</f>
        <v>5942080</v>
      </c>
      <c r="D17" s="403">
        <f>E11</f>
        <v>2708704</v>
      </c>
      <c r="E17" s="406">
        <f t="shared" si="2"/>
        <v>3339219</v>
      </c>
      <c r="F17" s="48"/>
      <c r="G17" s="48"/>
      <c r="H17" s="48"/>
      <c r="I17" s="48"/>
      <c r="J17" s="48"/>
      <c r="K17" s="48"/>
      <c r="L17" s="48"/>
      <c r="M17" s="48"/>
      <c r="O17" s="48"/>
      <c r="P17" s="48"/>
      <c r="Q17" s="48"/>
      <c r="R17" s="48"/>
    </row>
    <row r="18" spans="1:18" s="47" customFormat="1" ht="18.75" x14ac:dyDescent="0.3">
      <c r="A18" s="405" t="s">
        <v>219</v>
      </c>
      <c r="B18" s="43"/>
      <c r="C18" s="403">
        <f>'19 ei felh. terv bevétel'!F11</f>
        <v>1142080</v>
      </c>
      <c r="D18" s="403">
        <f>F11</f>
        <v>2519246</v>
      </c>
      <c r="E18" s="406">
        <f t="shared" si="2"/>
        <v>1962053</v>
      </c>
      <c r="F18" s="48"/>
      <c r="G18" s="48"/>
      <c r="H18" s="48"/>
      <c r="I18" s="48"/>
      <c r="J18" s="48"/>
      <c r="K18" s="48"/>
      <c r="L18" s="48"/>
      <c r="M18" s="48"/>
      <c r="O18" s="48"/>
      <c r="P18" s="48"/>
      <c r="Q18" s="48"/>
      <c r="R18" s="48"/>
    </row>
    <row r="19" spans="1:18" s="47" customFormat="1" ht="18.75" x14ac:dyDescent="0.3">
      <c r="A19" s="405" t="s">
        <v>220</v>
      </c>
      <c r="B19" s="43"/>
      <c r="C19" s="403">
        <f>'19 ei felh. terv bevétel'!G11</f>
        <v>4642080</v>
      </c>
      <c r="D19" s="403">
        <f>G11</f>
        <v>2568704</v>
      </c>
      <c r="E19" s="406">
        <f t="shared" si="2"/>
        <v>4035429</v>
      </c>
      <c r="F19" s="48"/>
      <c r="G19" s="48"/>
      <c r="H19" s="48"/>
      <c r="I19" s="48"/>
      <c r="J19" s="48"/>
      <c r="K19" s="48"/>
      <c r="L19" s="48"/>
      <c r="M19" s="48"/>
      <c r="O19" s="48"/>
      <c r="P19" s="48"/>
      <c r="Q19" s="48"/>
      <c r="R19" s="48"/>
    </row>
    <row r="20" spans="1:18" s="47" customFormat="1" ht="18.75" x14ac:dyDescent="0.3">
      <c r="A20" s="405" t="s">
        <v>251</v>
      </c>
      <c r="B20" s="43"/>
      <c r="C20" s="403">
        <f>'19 ei felh. terv bevétel'!H11</f>
        <v>1142080</v>
      </c>
      <c r="D20" s="403">
        <f>H11</f>
        <v>2453704</v>
      </c>
      <c r="E20" s="406">
        <f t="shared" si="2"/>
        <v>2723805</v>
      </c>
      <c r="F20" s="48"/>
      <c r="G20" s="48"/>
      <c r="H20" s="48"/>
      <c r="I20" s="48"/>
      <c r="J20" s="48"/>
      <c r="K20" s="48"/>
      <c r="L20" s="48"/>
      <c r="M20" s="48"/>
      <c r="O20" s="48"/>
      <c r="P20" s="48"/>
      <c r="Q20" s="48"/>
      <c r="R20" s="48"/>
    </row>
    <row r="21" spans="1:18" s="47" customFormat="1" ht="18.75" x14ac:dyDescent="0.3">
      <c r="A21" s="405" t="s">
        <v>252</v>
      </c>
      <c r="B21" s="43"/>
      <c r="C21" s="403">
        <f>'19 ei felh. terv bevétel'!I11</f>
        <v>1142080</v>
      </c>
      <c r="D21" s="403">
        <f>I11</f>
        <v>2453704</v>
      </c>
      <c r="E21" s="406">
        <f t="shared" si="2"/>
        <v>1412181</v>
      </c>
      <c r="F21" s="48"/>
      <c r="G21" s="48"/>
      <c r="H21" s="48"/>
      <c r="I21" s="48"/>
      <c r="J21" s="48"/>
      <c r="K21" s="48"/>
      <c r="L21" s="48"/>
      <c r="M21" s="48"/>
      <c r="O21" s="48"/>
      <c r="P21" s="48"/>
      <c r="Q21" s="48"/>
      <c r="R21" s="48"/>
    </row>
    <row r="22" spans="1:18" s="47" customFormat="1" ht="18.75" x14ac:dyDescent="0.3">
      <c r="A22" s="405" t="s">
        <v>253</v>
      </c>
      <c r="B22" s="43"/>
      <c r="C22" s="403">
        <f>'19 ei felh. terv bevétel'!J11</f>
        <v>1142080</v>
      </c>
      <c r="D22" s="403">
        <f>J11</f>
        <v>2453704</v>
      </c>
      <c r="E22" s="406">
        <f t="shared" si="2"/>
        <v>100557</v>
      </c>
      <c r="F22" s="48"/>
      <c r="G22" s="48"/>
      <c r="H22" s="48"/>
      <c r="I22" s="48"/>
      <c r="J22" s="48"/>
      <c r="K22" s="48"/>
      <c r="L22" s="48"/>
      <c r="M22" s="48"/>
      <c r="O22" s="48"/>
      <c r="P22" s="48"/>
      <c r="Q22" s="48"/>
      <c r="R22" s="48"/>
    </row>
    <row r="23" spans="1:18" s="47" customFormat="1" ht="18.75" x14ac:dyDescent="0.3">
      <c r="A23" s="405" t="s">
        <v>221</v>
      </c>
      <c r="B23" s="43"/>
      <c r="C23" s="403">
        <f>'19 ei felh. terv bevétel'!K11</f>
        <v>6449080</v>
      </c>
      <c r="D23" s="403">
        <f>K11</f>
        <v>3349767</v>
      </c>
      <c r="E23" s="406">
        <f t="shared" si="2"/>
        <v>3199870</v>
      </c>
      <c r="F23" s="48"/>
      <c r="G23" s="48"/>
      <c r="H23" s="48"/>
      <c r="I23" s="48"/>
      <c r="J23" s="48"/>
      <c r="K23" s="48"/>
      <c r="L23" s="48"/>
      <c r="M23" s="48"/>
      <c r="O23" s="48"/>
      <c r="P23" s="48"/>
      <c r="Q23" s="48"/>
      <c r="R23" s="48"/>
    </row>
    <row r="24" spans="1:18" s="47" customFormat="1" ht="18.75" x14ac:dyDescent="0.3">
      <c r="A24" s="405" t="s">
        <v>223</v>
      </c>
      <c r="B24" s="43"/>
      <c r="C24" s="403">
        <f>'19 ei felh. terv bevétel'!L11</f>
        <v>1642080</v>
      </c>
      <c r="D24" s="403">
        <f>L11</f>
        <v>3418704</v>
      </c>
      <c r="E24" s="406">
        <f t="shared" si="2"/>
        <v>1423246</v>
      </c>
      <c r="F24" s="48"/>
      <c r="G24" s="48"/>
      <c r="H24" s="48"/>
      <c r="I24" s="48"/>
      <c r="J24" s="48"/>
      <c r="K24" s="48"/>
      <c r="L24" s="48"/>
      <c r="M24" s="48"/>
      <c r="O24" s="48"/>
      <c r="P24" s="48"/>
      <c r="Q24" s="48"/>
      <c r="R24" s="48"/>
    </row>
    <row r="25" spans="1:18" s="47" customFormat="1" ht="18.75" x14ac:dyDescent="0.3">
      <c r="A25" s="405" t="s">
        <v>254</v>
      </c>
      <c r="B25" s="43"/>
      <c r="C25" s="403">
        <f>'19 ei felh. terv bevétel'!M11</f>
        <v>1142080</v>
      </c>
      <c r="D25" s="403">
        <f>M11</f>
        <v>2453704</v>
      </c>
      <c r="E25" s="406">
        <f t="shared" si="2"/>
        <v>111622</v>
      </c>
      <c r="F25" s="48"/>
      <c r="G25" s="48"/>
      <c r="H25" s="48"/>
      <c r="I25" s="48"/>
      <c r="J25" s="48"/>
      <c r="K25" s="48"/>
      <c r="L25" s="48"/>
      <c r="M25" s="48"/>
      <c r="O25" s="48"/>
      <c r="P25" s="48"/>
      <c r="Q25" s="48"/>
      <c r="R25" s="48"/>
    </row>
    <row r="26" spans="1:18" s="47" customFormat="1" ht="19.5" thickBot="1" x14ac:dyDescent="0.35">
      <c r="A26" s="407" t="s">
        <v>255</v>
      </c>
      <c r="B26" s="408"/>
      <c r="C26" s="409">
        <f>'19 ei felh. terv bevétel'!N11</f>
        <v>2342073</v>
      </c>
      <c r="D26" s="409">
        <f>N11</f>
        <v>2453695</v>
      </c>
      <c r="E26" s="406">
        <f t="shared" si="2"/>
        <v>0</v>
      </c>
      <c r="F26" s="48"/>
      <c r="G26" s="48"/>
      <c r="H26" s="48"/>
      <c r="I26" s="48"/>
      <c r="J26" s="48"/>
      <c r="K26" s="48"/>
      <c r="L26" s="48"/>
      <c r="M26" s="48"/>
      <c r="O26" s="48"/>
      <c r="P26" s="48"/>
      <c r="Q26" s="48"/>
      <c r="R26" s="48"/>
    </row>
    <row r="27" spans="1:18" s="47" customFormat="1" ht="19.5" thickBot="1" x14ac:dyDescent="0.35">
      <c r="A27" s="40" t="s">
        <v>199</v>
      </c>
      <c r="B27" s="410"/>
      <c r="C27" s="411">
        <f>SUM(C15:C26)</f>
        <v>30105679</v>
      </c>
      <c r="D27" s="411">
        <f>SUM(D15:D26)</f>
        <v>30105679</v>
      </c>
      <c r="E27" s="412">
        <f>+C27-D27</f>
        <v>0</v>
      </c>
      <c r="G27" s="48"/>
      <c r="H27" s="48"/>
      <c r="I27" s="48"/>
      <c r="J27" s="48"/>
      <c r="K27" s="48"/>
      <c r="L27" s="48"/>
      <c r="M27" s="48"/>
      <c r="O27" s="48"/>
      <c r="P27" s="48"/>
      <c r="Q27" s="48"/>
      <c r="R27" s="48"/>
    </row>
    <row r="30" spans="1:18" x14ac:dyDescent="0.25">
      <c r="B30" s="375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</row>
    <row r="31" spans="1:18" x14ac:dyDescent="0.25"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1" orientation="landscape" r:id="rId1"/>
  <headerFooter alignWithMargins="0">
    <oddHeader xml:space="preserve">&amp;R&amp;"-,Félkövér"&amp;12 19. melléklet a 4/2025. (II.28.) önkormányzati rendelethez&amp;"Times New Roman CE,Félkövér"
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4"/>
  <sheetViews>
    <sheetView view="pageLayout" zoomScaleNormal="100" workbookViewId="0">
      <selection activeCell="C3" sqref="C3"/>
    </sheetView>
  </sheetViews>
  <sheetFormatPr defaultRowHeight="15.75" x14ac:dyDescent="0.25"/>
  <cols>
    <col min="1" max="1" width="15.6640625" style="415" customWidth="1"/>
    <col min="2" max="2" width="102.5" style="415" customWidth="1"/>
    <col min="3" max="3" width="45.83203125" style="415" customWidth="1"/>
    <col min="4" max="16384" width="9.33203125" style="415"/>
  </cols>
  <sheetData>
    <row r="1" spans="1:3" x14ac:dyDescent="0.25">
      <c r="A1" s="414"/>
    </row>
    <row r="2" spans="1:3" x14ac:dyDescent="0.25">
      <c r="C2" s="416"/>
    </row>
    <row r="4" spans="1:3" ht="15" customHeight="1" x14ac:dyDescent="0.25">
      <c r="A4" s="986" t="s">
        <v>369</v>
      </c>
      <c r="B4" s="986"/>
      <c r="C4" s="986"/>
    </row>
    <row r="5" spans="1:3" ht="15" customHeight="1" x14ac:dyDescent="0.25">
      <c r="A5" s="986" t="s">
        <v>224</v>
      </c>
      <c r="B5" s="986"/>
      <c r="C5" s="986"/>
    </row>
    <row r="6" spans="1:3" ht="24.75" customHeight="1" x14ac:dyDescent="0.25">
      <c r="A6" s="986" t="s">
        <v>711</v>
      </c>
      <c r="B6" s="986"/>
      <c r="C6" s="986"/>
    </row>
    <row r="7" spans="1:3" x14ac:dyDescent="0.25">
      <c r="B7" s="417"/>
    </row>
    <row r="8" spans="1:3" ht="16.5" thickBot="1" x14ac:dyDescent="0.3">
      <c r="B8" s="417"/>
      <c r="C8" s="418" t="s">
        <v>370</v>
      </c>
    </row>
    <row r="9" spans="1:3" x14ac:dyDescent="0.25">
      <c r="A9" s="419" t="s">
        <v>354</v>
      </c>
      <c r="B9" s="420" t="s">
        <v>167</v>
      </c>
      <c r="C9" s="421" t="s">
        <v>199</v>
      </c>
    </row>
    <row r="10" spans="1:3" ht="16.5" thickBot="1" x14ac:dyDescent="0.3">
      <c r="A10" s="422"/>
      <c r="B10" s="423"/>
      <c r="C10" s="424"/>
    </row>
    <row r="11" spans="1:3" ht="51" customHeight="1" thickBot="1" x14ac:dyDescent="0.3">
      <c r="A11" s="425" t="s">
        <v>179</v>
      </c>
      <c r="B11" s="426" t="s">
        <v>371</v>
      </c>
      <c r="C11" s="425">
        <v>61735</v>
      </c>
    </row>
    <row r="12" spans="1:3" ht="32.25" thickBot="1" x14ac:dyDescent="0.3">
      <c r="A12" s="425" t="s">
        <v>180</v>
      </c>
      <c r="B12" s="426" t="s">
        <v>372</v>
      </c>
      <c r="C12" s="425">
        <v>0</v>
      </c>
    </row>
    <row r="13" spans="1:3" ht="39.75" customHeight="1" x14ac:dyDescent="0.25">
      <c r="A13" s="534" t="s">
        <v>181</v>
      </c>
      <c r="B13" s="535" t="s">
        <v>373</v>
      </c>
      <c r="C13" s="536">
        <v>0</v>
      </c>
    </row>
    <row r="14" spans="1:3" x14ac:dyDescent="0.25">
      <c r="A14" s="427"/>
      <c r="B14" s="533" t="s">
        <v>569</v>
      </c>
      <c r="C14" s="532">
        <v>63000</v>
      </c>
    </row>
    <row r="15" spans="1:3" ht="16.5" thickBot="1" x14ac:dyDescent="0.3">
      <c r="A15" s="427"/>
      <c r="B15" s="428" t="s">
        <v>374</v>
      </c>
      <c r="C15" s="427">
        <v>4000</v>
      </c>
    </row>
    <row r="16" spans="1:3" ht="51" customHeight="1" thickBot="1" x14ac:dyDescent="0.3">
      <c r="A16" s="425" t="s">
        <v>182</v>
      </c>
      <c r="B16" s="426" t="s">
        <v>375</v>
      </c>
      <c r="C16" s="425">
        <v>61465</v>
      </c>
    </row>
    <row r="17" spans="1:4" ht="16.5" thickBot="1" x14ac:dyDescent="0.3">
      <c r="A17" s="422" t="s">
        <v>184</v>
      </c>
      <c r="B17" s="429" t="s">
        <v>376</v>
      </c>
      <c r="C17" s="422">
        <v>15000</v>
      </c>
    </row>
    <row r="18" spans="1:4" ht="16.5" thickBot="1" x14ac:dyDescent="0.3">
      <c r="A18" s="430" t="s">
        <v>185</v>
      </c>
      <c r="B18" s="431" t="s">
        <v>231</v>
      </c>
      <c r="C18" s="430">
        <f>SUM(C11:C17)</f>
        <v>205200</v>
      </c>
    </row>
    <row r="20" spans="1:4" x14ac:dyDescent="0.25">
      <c r="B20" s="432" t="s">
        <v>570</v>
      </c>
    </row>
    <row r="21" spans="1:4" ht="47.25" x14ac:dyDescent="0.25">
      <c r="B21" s="433" t="s">
        <v>377</v>
      </c>
      <c r="C21" s="434"/>
      <c r="D21" s="434"/>
    </row>
    <row r="22" spans="1:4" ht="31.5" x14ac:dyDescent="0.25">
      <c r="B22" s="433" t="s">
        <v>378</v>
      </c>
    </row>
    <row r="23" spans="1:4" ht="31.5" x14ac:dyDescent="0.25">
      <c r="B23" s="433" t="s">
        <v>379</v>
      </c>
    </row>
    <row r="24" spans="1:4" x14ac:dyDescent="0.25">
      <c r="B24" s="433" t="s">
        <v>380</v>
      </c>
      <c r="C24" s="434"/>
      <c r="D24" s="434"/>
    </row>
  </sheetData>
  <mergeCells count="3">
    <mergeCell ref="A4:C4"/>
    <mergeCell ref="A5:C5"/>
    <mergeCell ref="A6:C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>
    <oddHeader>&amp;R&amp;"Times New Roman CE,Félkövér" &amp;"-,Félkövér"20. melléklet a 4/2025. (II.28.)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3"/>
  <sheetViews>
    <sheetView zoomScale="98" zoomScaleNormal="98" workbookViewId="0">
      <selection activeCell="B9" sqref="B9"/>
    </sheetView>
  </sheetViews>
  <sheetFormatPr defaultColWidth="10.6640625" defaultRowHeight="15.75" x14ac:dyDescent="0.25"/>
  <cols>
    <col min="1" max="1" width="6" style="281" customWidth="1"/>
    <col min="2" max="2" width="133.5" style="281" customWidth="1"/>
    <col min="3" max="3" width="37.83203125" style="281" customWidth="1"/>
    <col min="4" max="4" width="39.1640625" style="281" bestFit="1" customWidth="1"/>
    <col min="5" max="5" width="38.1640625" style="281" bestFit="1" customWidth="1"/>
    <col min="6" max="7" width="10.6640625" style="281"/>
    <col min="8" max="8" width="12.6640625" style="281" bestFit="1" customWidth="1"/>
    <col min="9" max="16384" width="10.6640625" style="281"/>
  </cols>
  <sheetData>
    <row r="1" spans="1:5" ht="18" customHeight="1" x14ac:dyDescent="0.25">
      <c r="A1" s="987" t="s">
        <v>381</v>
      </c>
      <c r="B1" s="987"/>
      <c r="C1" s="987"/>
      <c r="D1" s="987"/>
      <c r="E1" s="987"/>
    </row>
    <row r="2" spans="1:5" ht="19.5" thickBot="1" x14ac:dyDescent="0.35">
      <c r="B2" s="282"/>
      <c r="C2" s="282"/>
      <c r="D2" s="282"/>
      <c r="E2" s="15" t="s">
        <v>216</v>
      </c>
    </row>
    <row r="3" spans="1:5" ht="18" customHeight="1" x14ac:dyDescent="0.25">
      <c r="A3" s="283"/>
      <c r="B3" s="284" t="s">
        <v>167</v>
      </c>
      <c r="C3" s="16" t="s">
        <v>701</v>
      </c>
      <c r="D3" s="16" t="s">
        <v>702</v>
      </c>
      <c r="E3" s="16" t="s">
        <v>476</v>
      </c>
    </row>
    <row r="4" spans="1:5" ht="33" customHeight="1" thickBot="1" x14ac:dyDescent="0.3">
      <c r="A4" s="285"/>
      <c r="B4" s="286"/>
      <c r="C4" s="58" t="s">
        <v>353</v>
      </c>
      <c r="D4" s="58" t="s">
        <v>368</v>
      </c>
      <c r="E4" s="58" t="s">
        <v>353</v>
      </c>
    </row>
    <row r="5" spans="1:5" ht="21" customHeight="1" x14ac:dyDescent="0.35">
      <c r="A5" s="287" t="s">
        <v>47</v>
      </c>
      <c r="B5" s="288"/>
      <c r="C5" s="289"/>
      <c r="D5" s="538"/>
      <c r="E5" s="435"/>
    </row>
    <row r="6" spans="1:5" ht="21" customHeight="1" x14ac:dyDescent="0.35">
      <c r="A6" s="11"/>
      <c r="B6" s="940" t="s">
        <v>573</v>
      </c>
      <c r="C6" s="20">
        <v>1618</v>
      </c>
      <c r="D6" s="20">
        <v>1618</v>
      </c>
      <c r="E6" s="75"/>
    </row>
    <row r="7" spans="1:5" ht="21" customHeight="1" x14ac:dyDescent="0.35">
      <c r="A7" s="11"/>
      <c r="B7" s="940" t="s">
        <v>608</v>
      </c>
      <c r="C7" s="20"/>
      <c r="D7" s="20">
        <v>19936</v>
      </c>
      <c r="E7" s="75"/>
    </row>
    <row r="8" spans="1:5" ht="21" customHeight="1" x14ac:dyDescent="0.35">
      <c r="A8" s="11"/>
      <c r="B8" s="940" t="s">
        <v>609</v>
      </c>
      <c r="C8" s="20"/>
      <c r="D8" s="20">
        <v>44415</v>
      </c>
      <c r="E8" s="75"/>
    </row>
    <row r="9" spans="1:5" ht="21" x14ac:dyDescent="0.35">
      <c r="A9" s="11"/>
      <c r="B9" s="941" t="s">
        <v>518</v>
      </c>
      <c r="C9" s="20"/>
      <c r="D9" s="20">
        <v>9180</v>
      </c>
      <c r="E9" s="75"/>
    </row>
    <row r="10" spans="1:5" ht="21" x14ac:dyDescent="0.35">
      <c r="A10" s="11"/>
      <c r="B10" s="941" t="s">
        <v>633</v>
      </c>
      <c r="C10" s="20"/>
      <c r="D10" s="20">
        <v>5370</v>
      </c>
      <c r="E10" s="75"/>
    </row>
    <row r="11" spans="1:5" ht="21" x14ac:dyDescent="0.35">
      <c r="A11" s="11"/>
      <c r="B11" s="941" t="s">
        <v>634</v>
      </c>
      <c r="C11" s="20"/>
      <c r="D11" s="20">
        <v>6355</v>
      </c>
      <c r="E11" s="75"/>
    </row>
    <row r="12" spans="1:5" ht="21.75" thickBot="1" x14ac:dyDescent="0.4">
      <c r="A12" s="11"/>
      <c r="B12" s="941" t="s">
        <v>519</v>
      </c>
      <c r="C12" s="20"/>
      <c r="D12" s="20">
        <v>39937</v>
      </c>
      <c r="E12" s="75"/>
    </row>
    <row r="13" spans="1:5" ht="25.35" customHeight="1" thickBot="1" x14ac:dyDescent="0.4">
      <c r="A13" s="977" t="s">
        <v>382</v>
      </c>
      <c r="B13" s="978"/>
      <c r="C13" s="301">
        <f>SUM(C5:C12)</f>
        <v>1618</v>
      </c>
      <c r="D13" s="301">
        <f>SUM(D5:D12)</f>
        <v>126811</v>
      </c>
      <c r="E13" s="301">
        <f>SUM(E5:E12)</f>
        <v>0</v>
      </c>
    </row>
  </sheetData>
  <mergeCells count="2">
    <mergeCell ref="A1:E1"/>
    <mergeCell ref="A13:B13"/>
  </mergeCells>
  <printOptions horizontalCentered="1" verticalCentered="1"/>
  <pageMargins left="0" right="0" top="0" bottom="0" header="0.51181102362204722" footer="0"/>
  <pageSetup paperSize="9" scale="54" orientation="portrait" r:id="rId1"/>
  <headerFooter alignWithMargins="0">
    <oddHeader>&amp;R&amp;"-,Félkövér"&amp;12 21. melléklet a 4/2025. 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5"/>
  <sheetViews>
    <sheetView view="pageLayout" zoomScale="55" zoomScaleNormal="86" zoomScalePageLayoutView="55" workbookViewId="0">
      <selection activeCell="B21" sqref="B21"/>
    </sheetView>
  </sheetViews>
  <sheetFormatPr defaultColWidth="10.6640625" defaultRowHeight="15" customHeight="1" x14ac:dyDescent="0.25"/>
  <cols>
    <col min="1" max="1" width="5.6640625" style="281" customWidth="1"/>
    <col min="2" max="2" width="158" style="281" customWidth="1"/>
    <col min="3" max="3" width="28.6640625" style="281" bestFit="1" customWidth="1"/>
    <col min="4" max="4" width="37.83203125" style="281" bestFit="1" customWidth="1"/>
    <col min="5" max="5" width="28.6640625" style="281" bestFit="1" customWidth="1"/>
    <col min="6" max="16384" width="10.6640625" style="281"/>
  </cols>
  <sheetData>
    <row r="1" spans="1:5" ht="15" customHeight="1" x14ac:dyDescent="0.25">
      <c r="A1" s="987"/>
      <c r="B1" s="987"/>
      <c r="C1" s="323"/>
    </row>
    <row r="2" spans="1:5" ht="23.25" customHeight="1" x14ac:dyDescent="0.25">
      <c r="A2" s="987" t="s">
        <v>381</v>
      </c>
      <c r="B2" s="987"/>
      <c r="C2" s="987"/>
      <c r="D2" s="987"/>
      <c r="E2" s="987"/>
    </row>
    <row r="3" spans="1:5" ht="15" customHeight="1" thickBot="1" x14ac:dyDescent="0.3">
      <c r="A3" s="281" t="s">
        <v>12</v>
      </c>
      <c r="E3" s="436" t="s">
        <v>216</v>
      </c>
    </row>
    <row r="4" spans="1:5" ht="15" customHeight="1" x14ac:dyDescent="0.3">
      <c r="A4" s="980" t="s">
        <v>167</v>
      </c>
      <c r="B4" s="981"/>
      <c r="C4" s="16" t="s">
        <v>701</v>
      </c>
      <c r="D4" s="16" t="s">
        <v>702</v>
      </c>
      <c r="E4" s="16" t="s">
        <v>476</v>
      </c>
    </row>
    <row r="5" spans="1:5" ht="15" customHeight="1" thickBot="1" x14ac:dyDescent="0.35">
      <c r="A5" s="327"/>
      <c r="B5" s="437"/>
      <c r="C5" s="58" t="s">
        <v>353</v>
      </c>
      <c r="D5" s="58" t="s">
        <v>368</v>
      </c>
      <c r="E5" s="58" t="s">
        <v>353</v>
      </c>
    </row>
    <row r="6" spans="1:5" ht="18.75" x14ac:dyDescent="0.3">
      <c r="A6" s="438" t="s">
        <v>383</v>
      </c>
      <c r="B6" s="439"/>
      <c r="C6" s="440"/>
      <c r="D6" s="440"/>
      <c r="E6" s="440"/>
    </row>
    <row r="7" spans="1:5" ht="21" x14ac:dyDescent="0.35">
      <c r="A7" s="438"/>
      <c r="B7" s="941" t="s">
        <v>573</v>
      </c>
      <c r="C7" s="201">
        <v>1618</v>
      </c>
      <c r="D7" s="201">
        <v>1618</v>
      </c>
      <c r="E7" s="201">
        <f>1618-1618</f>
        <v>0</v>
      </c>
    </row>
    <row r="8" spans="1:5" ht="21" x14ac:dyDescent="0.35">
      <c r="A8" s="438"/>
      <c r="B8" s="540" t="s">
        <v>609</v>
      </c>
      <c r="C8" s="201"/>
      <c r="D8" s="201">
        <v>22841</v>
      </c>
      <c r="E8" s="201"/>
    </row>
    <row r="9" spans="1:5" ht="21" x14ac:dyDescent="0.35">
      <c r="A9" s="438"/>
      <c r="B9" s="540" t="s">
        <v>608</v>
      </c>
      <c r="C9" s="201"/>
      <c r="D9" s="201">
        <v>13619</v>
      </c>
      <c r="E9" s="201"/>
    </row>
    <row r="10" spans="1:5" ht="21" x14ac:dyDescent="0.35">
      <c r="A10" s="438"/>
      <c r="B10" s="516" t="s">
        <v>524</v>
      </c>
      <c r="C10" s="201"/>
      <c r="D10" s="201">
        <v>16432</v>
      </c>
      <c r="E10" s="201"/>
    </row>
    <row r="11" spans="1:5" ht="21" x14ac:dyDescent="0.35">
      <c r="A11" s="438"/>
      <c r="B11" s="540" t="s">
        <v>633</v>
      </c>
      <c r="C11" s="201"/>
      <c r="D11" s="201">
        <v>5620</v>
      </c>
      <c r="E11" s="201"/>
    </row>
    <row r="12" spans="1:5" ht="21" x14ac:dyDescent="0.35">
      <c r="A12" s="438"/>
      <c r="B12" s="540" t="s">
        <v>634</v>
      </c>
      <c r="C12" s="201"/>
      <c r="D12" s="201">
        <v>6355</v>
      </c>
      <c r="E12" s="201"/>
    </row>
    <row r="13" spans="1:5" ht="21" x14ac:dyDescent="0.35">
      <c r="A13" s="438" t="s">
        <v>384</v>
      </c>
      <c r="B13" s="594"/>
      <c r="C13" s="441"/>
      <c r="D13" s="539"/>
      <c r="E13" s="441"/>
    </row>
    <row r="14" spans="1:5" ht="21.75" thickBot="1" x14ac:dyDescent="0.4">
      <c r="A14" s="12"/>
      <c r="B14" s="942" t="s">
        <v>656</v>
      </c>
      <c r="C14" s="290"/>
      <c r="D14" s="21">
        <v>144903</v>
      </c>
      <c r="E14" s="290"/>
    </row>
    <row r="15" spans="1:5" ht="19.5" customHeight="1" thickBot="1" x14ac:dyDescent="0.4">
      <c r="A15" s="977" t="s">
        <v>385</v>
      </c>
      <c r="B15" s="978"/>
      <c r="C15" s="442">
        <f>SUM(C6:C14)</f>
        <v>1618</v>
      </c>
      <c r="D15" s="301">
        <f>SUM(D6:D14)</f>
        <v>211388</v>
      </c>
      <c r="E15" s="301">
        <f>SUM(E6:E14)</f>
        <v>0</v>
      </c>
    </row>
  </sheetData>
  <mergeCells count="4">
    <mergeCell ref="A1:B1"/>
    <mergeCell ref="A2:E2"/>
    <mergeCell ref="A4:B4"/>
    <mergeCell ref="A15:B15"/>
  </mergeCells>
  <printOptions horizontalCentered="1" verticalCentered="1"/>
  <pageMargins left="0" right="0" top="0.78740157480314965" bottom="0" header="0.51181102362204722" footer="0.51181102362204722"/>
  <pageSetup paperSize="9" scale="53" fitToHeight="0" orientation="portrait" r:id="rId1"/>
  <headerFooter alignWithMargins="0">
    <oddHeader>&amp;R&amp;"-,Félkövér"&amp;20 21. melléklet a 4/2025. (II.28.)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3"/>
  <sheetViews>
    <sheetView tabSelected="1" view="pageLayout" zoomScale="55" zoomScaleNormal="136" zoomScalePageLayoutView="55" workbookViewId="0">
      <selection activeCell="B19" sqref="B19"/>
    </sheetView>
  </sheetViews>
  <sheetFormatPr defaultColWidth="10.6640625" defaultRowHeight="15" customHeight="1" x14ac:dyDescent="0.25"/>
  <cols>
    <col min="1" max="1" width="75.6640625" style="592" customWidth="1"/>
    <col min="2" max="2" width="28.6640625" style="592" bestFit="1" customWidth="1"/>
    <col min="3" max="16384" width="10.6640625" style="592"/>
  </cols>
  <sheetData>
    <row r="1" spans="1:2" ht="15" customHeight="1" x14ac:dyDescent="0.25">
      <c r="A1" s="591"/>
      <c r="B1" s="591"/>
    </row>
    <row r="2" spans="1:2" ht="23.25" customHeight="1" x14ac:dyDescent="0.25">
      <c r="A2" s="987" t="s">
        <v>708</v>
      </c>
      <c r="B2" s="987"/>
    </row>
    <row r="3" spans="1:2" ht="15" customHeight="1" thickBot="1" x14ac:dyDescent="0.3">
      <c r="A3" s="281"/>
      <c r="B3" s="436" t="s">
        <v>216</v>
      </c>
    </row>
    <row r="4" spans="1:2" ht="15" customHeight="1" x14ac:dyDescent="0.25">
      <c r="A4" s="943" t="s">
        <v>167</v>
      </c>
      <c r="B4" s="16" t="s">
        <v>703</v>
      </c>
    </row>
    <row r="5" spans="1:2" ht="15" customHeight="1" thickBot="1" x14ac:dyDescent="0.3">
      <c r="A5" s="944"/>
      <c r="B5" s="58"/>
    </row>
    <row r="6" spans="1:2" ht="15.75" x14ac:dyDescent="0.25">
      <c r="A6" s="945" t="s">
        <v>704</v>
      </c>
      <c r="B6" s="946">
        <v>140000</v>
      </c>
    </row>
    <row r="7" spans="1:2" ht="15.75" x14ac:dyDescent="0.25">
      <c r="A7" s="947" t="s">
        <v>713</v>
      </c>
      <c r="B7" s="948">
        <v>73000</v>
      </c>
    </row>
    <row r="8" spans="1:2" ht="31.5" x14ac:dyDescent="0.25">
      <c r="A8" s="949" t="s">
        <v>208</v>
      </c>
      <c r="B8" s="948">
        <v>3500</v>
      </c>
    </row>
    <row r="9" spans="1:2" ht="31.5" x14ac:dyDescent="0.25">
      <c r="A9" s="242" t="s">
        <v>715</v>
      </c>
      <c r="B9" s="948">
        <v>4500</v>
      </c>
    </row>
    <row r="10" spans="1:2" ht="15.75" x14ac:dyDescent="0.25">
      <c r="A10" s="947" t="s">
        <v>705</v>
      </c>
      <c r="B10" s="948">
        <v>12000</v>
      </c>
    </row>
    <row r="11" spans="1:2" ht="31.5" x14ac:dyDescent="0.25">
      <c r="A11" s="950" t="s">
        <v>677</v>
      </c>
      <c r="B11" s="948">
        <v>100000</v>
      </c>
    </row>
    <row r="12" spans="1:2" ht="16.5" thickBot="1" x14ac:dyDescent="0.3">
      <c r="A12" s="237" t="s">
        <v>456</v>
      </c>
      <c r="B12" s="948">
        <v>100000</v>
      </c>
    </row>
    <row r="13" spans="1:2" ht="19.5" customHeight="1" thickBot="1" x14ac:dyDescent="0.3">
      <c r="A13" s="851" t="s">
        <v>538</v>
      </c>
      <c r="B13" s="442">
        <f>SUM(B6:B12)</f>
        <v>433000</v>
      </c>
    </row>
  </sheetData>
  <mergeCells count="1">
    <mergeCell ref="A2:B2"/>
  </mergeCells>
  <printOptions horizontalCentered="1" verticalCentered="1"/>
  <pageMargins left="0" right="0" top="0.78740157480314965" bottom="0" header="0.51181102362204722" footer="0.51181102362204722"/>
  <pageSetup paperSize="9" fitToHeight="0" orientation="portrait" r:id="rId1"/>
  <headerFooter alignWithMargins="0">
    <oddHeader>&amp;R&amp;"-,Félkövér"&amp;20 &amp;12 22. melléklet a 4/2025. (II.28.)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1"/>
  <dimension ref="A1:M136"/>
  <sheetViews>
    <sheetView zoomScale="86" zoomScaleNormal="86" workbookViewId="0">
      <selection activeCell="B9" sqref="B9"/>
    </sheetView>
  </sheetViews>
  <sheetFormatPr defaultRowHeight="21" customHeight="1" x14ac:dyDescent="0.25"/>
  <cols>
    <col min="1" max="1" width="5" style="47" customWidth="1"/>
    <col min="2" max="4" width="2.33203125" style="47" customWidth="1"/>
    <col min="5" max="5" width="174.33203125" style="47" customWidth="1"/>
    <col min="6" max="6" width="29.5" style="47" bestFit="1" customWidth="1"/>
    <col min="7" max="7" width="39.1640625" style="47" customWidth="1"/>
    <col min="8" max="8" width="38.1640625" style="48" bestFit="1" customWidth="1"/>
    <col min="9" max="9" width="13.83203125" style="47" customWidth="1"/>
    <col min="10" max="12" width="9.33203125" style="47"/>
    <col min="13" max="13" width="13.1640625" style="47" customWidth="1"/>
    <col min="14" max="16384" width="9.33203125" style="47"/>
  </cols>
  <sheetData>
    <row r="1" spans="1:8" ht="21" customHeight="1" x14ac:dyDescent="0.25">
      <c r="A1" s="953"/>
      <c r="B1" s="953"/>
      <c r="C1" s="953"/>
      <c r="D1" s="953"/>
      <c r="E1" s="953"/>
      <c r="F1" s="45"/>
      <c r="G1" s="45"/>
      <c r="H1" s="46"/>
    </row>
    <row r="2" spans="1:8" ht="21" customHeight="1" x14ac:dyDescent="0.35">
      <c r="A2" s="954" t="s">
        <v>111</v>
      </c>
      <c r="B2" s="954"/>
      <c r="C2" s="954"/>
      <c r="D2" s="954"/>
      <c r="E2" s="954"/>
      <c r="F2" s="954"/>
      <c r="G2" s="954"/>
      <c r="H2" s="954"/>
    </row>
    <row r="3" spans="1:8" ht="21" customHeight="1" x14ac:dyDescent="0.25">
      <c r="A3" s="45"/>
      <c r="B3" s="45"/>
      <c r="C3" s="45"/>
      <c r="D3" s="45"/>
      <c r="E3" s="45"/>
      <c r="F3" s="45"/>
      <c r="G3" s="45"/>
      <c r="H3" s="46"/>
    </row>
    <row r="4" spans="1:8" ht="21" customHeight="1" thickBot="1" x14ac:dyDescent="0.35">
      <c r="B4" s="49"/>
      <c r="C4" s="49"/>
      <c r="D4" s="49"/>
      <c r="E4" s="50"/>
      <c r="F4" s="51"/>
      <c r="H4" s="15" t="s">
        <v>216</v>
      </c>
    </row>
    <row r="5" spans="1:8" ht="21" customHeight="1" x14ac:dyDescent="0.25">
      <c r="A5" s="52"/>
      <c r="B5" s="53"/>
      <c r="C5" s="53"/>
      <c r="D5" s="53"/>
      <c r="E5" s="54" t="s">
        <v>167</v>
      </c>
      <c r="F5" s="16" t="s">
        <v>437</v>
      </c>
      <c r="G5" s="16" t="s">
        <v>686</v>
      </c>
      <c r="H5" s="16" t="s">
        <v>476</v>
      </c>
    </row>
    <row r="6" spans="1:8" ht="21" customHeight="1" thickBot="1" x14ac:dyDescent="0.3">
      <c r="A6" s="55"/>
      <c r="B6" s="56"/>
      <c r="C6" s="56"/>
      <c r="D6" s="56"/>
      <c r="E6" s="57"/>
      <c r="F6" s="17" t="s">
        <v>353</v>
      </c>
      <c r="G6" s="17" t="s">
        <v>368</v>
      </c>
      <c r="H6" s="17" t="s">
        <v>353</v>
      </c>
    </row>
    <row r="7" spans="1:8" ht="21" customHeight="1" x14ac:dyDescent="0.35">
      <c r="A7" s="59" t="s">
        <v>105</v>
      </c>
      <c r="B7" s="33"/>
      <c r="C7" s="33"/>
      <c r="D7" s="33"/>
      <c r="E7" s="33"/>
      <c r="F7" s="60"/>
      <c r="G7" s="60"/>
      <c r="H7" s="60"/>
    </row>
    <row r="8" spans="1:8" s="63" customFormat="1" ht="21" customHeight="1" x14ac:dyDescent="0.35">
      <c r="A8" s="4"/>
      <c r="B8" s="6" t="s">
        <v>285</v>
      </c>
      <c r="C8" s="6"/>
      <c r="D8" s="6"/>
      <c r="E8" s="61"/>
      <c r="F8" s="62">
        <v>1738126</v>
      </c>
      <c r="G8" s="62">
        <v>1738126</v>
      </c>
      <c r="H8" s="62">
        <f>1738126-31527</f>
        <v>1706599</v>
      </c>
    </row>
    <row r="9" spans="1:8" s="63" customFormat="1" ht="21" customHeight="1" x14ac:dyDescent="0.35">
      <c r="A9" s="4"/>
      <c r="B9" s="6"/>
      <c r="C9" s="6"/>
      <c r="D9" s="6"/>
      <c r="E9" s="64"/>
      <c r="F9" s="65"/>
      <c r="G9" s="65"/>
      <c r="H9" s="65"/>
    </row>
    <row r="10" spans="1:8" s="63" customFormat="1" ht="24.75" customHeight="1" x14ac:dyDescent="0.35">
      <c r="A10" s="4"/>
      <c r="B10" s="66" t="s">
        <v>287</v>
      </c>
      <c r="C10" s="66"/>
      <c r="D10" s="66"/>
      <c r="E10" s="67"/>
      <c r="F10" s="68">
        <f>2415117+530371</f>
        <v>2945488</v>
      </c>
      <c r="G10" s="68">
        <v>2951739</v>
      </c>
      <c r="H10" s="68">
        <f>2415117+530371+388351</f>
        <v>3333839</v>
      </c>
    </row>
    <row r="11" spans="1:8" s="63" customFormat="1" ht="24.75" customHeight="1" x14ac:dyDescent="0.35">
      <c r="A11" s="4"/>
      <c r="B11" s="5"/>
      <c r="C11" s="5"/>
      <c r="D11" s="5"/>
      <c r="E11" s="69"/>
      <c r="F11" s="62"/>
      <c r="G11" s="62"/>
      <c r="H11" s="62"/>
    </row>
    <row r="12" spans="1:8" s="63" customFormat="1" ht="21" customHeight="1" x14ac:dyDescent="0.35">
      <c r="A12" s="4"/>
      <c r="B12" s="6" t="s">
        <v>438</v>
      </c>
      <c r="C12" s="6"/>
      <c r="D12" s="6"/>
      <c r="E12" s="70" t="s">
        <v>449</v>
      </c>
      <c r="F12" s="68">
        <f>1783273+58627</f>
        <v>1841900</v>
      </c>
      <c r="G12" s="68">
        <v>1859396</v>
      </c>
      <c r="H12" s="68">
        <f>1783273+58627+303781</f>
        <v>2145681</v>
      </c>
    </row>
    <row r="13" spans="1:8" s="63" customFormat="1" x14ac:dyDescent="0.35">
      <c r="A13" s="4"/>
      <c r="C13" s="6"/>
      <c r="F13" s="62"/>
      <c r="G13" s="62"/>
      <c r="H13" s="62"/>
    </row>
    <row r="14" spans="1:8" s="63" customFormat="1" ht="21" customHeight="1" x14ac:dyDescent="0.35">
      <c r="A14" s="4"/>
      <c r="B14" s="71" t="s">
        <v>439</v>
      </c>
      <c r="C14" s="71"/>
      <c r="D14" s="71"/>
      <c r="E14" s="72" t="s">
        <v>440</v>
      </c>
      <c r="F14" s="73">
        <v>729940</v>
      </c>
      <c r="G14" s="73">
        <v>819450</v>
      </c>
      <c r="H14" s="73">
        <f>729940+148125</f>
        <v>878065</v>
      </c>
    </row>
    <row r="15" spans="1:8" s="63" customFormat="1" ht="21" customHeight="1" x14ac:dyDescent="0.35">
      <c r="A15" s="4"/>
      <c r="B15" s="66" t="s">
        <v>441</v>
      </c>
      <c r="C15" s="66"/>
      <c r="D15" s="66"/>
      <c r="E15" s="590"/>
      <c r="F15" s="68">
        <f>SUM(F16:F17)</f>
        <v>214650</v>
      </c>
      <c r="G15" s="68">
        <f>SUM(G16:G17)</f>
        <v>214651</v>
      </c>
      <c r="H15" s="68">
        <f>SUM(H16:H17)</f>
        <v>214192</v>
      </c>
    </row>
    <row r="16" spans="1:8" s="63" customFormat="1" ht="21" customHeight="1" x14ac:dyDescent="0.35">
      <c r="A16" s="4"/>
      <c r="B16" s="8"/>
      <c r="C16" s="19" t="s">
        <v>682</v>
      </c>
      <c r="D16" s="19"/>
      <c r="E16" s="74"/>
      <c r="F16" s="75">
        <v>71937</v>
      </c>
      <c r="G16" s="75">
        <v>71937</v>
      </c>
      <c r="H16" s="75">
        <f>71937-458</f>
        <v>71479</v>
      </c>
    </row>
    <row r="17" spans="1:13" s="63" customFormat="1" ht="21" customHeight="1" x14ac:dyDescent="0.35">
      <c r="A17" s="4"/>
      <c r="B17" s="76"/>
      <c r="C17" s="77" t="s">
        <v>683</v>
      </c>
      <c r="D17" s="77"/>
      <c r="E17" s="78"/>
      <c r="F17" s="75">
        <v>142713</v>
      </c>
      <c r="G17" s="75">
        <v>142714</v>
      </c>
      <c r="H17" s="75">
        <v>142713</v>
      </c>
    </row>
    <row r="18" spans="1:13" s="63" customFormat="1" ht="21" customHeight="1" x14ac:dyDescent="0.35">
      <c r="A18" s="4"/>
      <c r="B18" s="71" t="s">
        <v>442</v>
      </c>
      <c r="C18" s="71"/>
      <c r="D18" s="71"/>
      <c r="E18" s="72"/>
      <c r="F18" s="73">
        <f>F8+F10+F12+F14+F15</f>
        <v>7470104</v>
      </c>
      <c r="G18" s="73">
        <f>G8+G10+G12+G14+G15</f>
        <v>7583362</v>
      </c>
      <c r="H18" s="73">
        <f>H8+H10+H12+H14+H15</f>
        <v>8278376</v>
      </c>
    </row>
    <row r="19" spans="1:13" s="63" customFormat="1" ht="21" customHeight="1" x14ac:dyDescent="0.35">
      <c r="A19" s="4"/>
      <c r="B19" s="6" t="s">
        <v>446</v>
      </c>
      <c r="C19" s="64"/>
      <c r="D19" s="6"/>
      <c r="E19" s="6"/>
      <c r="F19" s="68"/>
      <c r="G19" s="68"/>
      <c r="H19" s="68"/>
    </row>
    <row r="20" spans="1:13" s="63" customFormat="1" ht="21" customHeight="1" x14ac:dyDescent="0.35">
      <c r="A20" s="7"/>
      <c r="B20" s="8"/>
      <c r="C20" s="22" t="s">
        <v>450</v>
      </c>
      <c r="D20" s="22"/>
      <c r="E20" s="79"/>
      <c r="F20" s="75"/>
      <c r="G20" s="75">
        <v>5712</v>
      </c>
      <c r="H20" s="75"/>
    </row>
    <row r="21" spans="1:13" s="63" customFormat="1" ht="21" customHeight="1" x14ac:dyDescent="0.35">
      <c r="A21" s="7"/>
      <c r="B21" s="8"/>
      <c r="C21" s="22" t="s">
        <v>451</v>
      </c>
      <c r="D21" s="22"/>
      <c r="E21" s="79"/>
      <c r="F21" s="75"/>
      <c r="G21" s="75">
        <v>240166</v>
      </c>
      <c r="H21" s="75"/>
    </row>
    <row r="22" spans="1:13" s="63" customFormat="1" ht="21" customHeight="1" x14ac:dyDescent="0.35">
      <c r="A22" s="4"/>
      <c r="B22" s="71"/>
      <c r="C22" s="71" t="s">
        <v>444</v>
      </c>
      <c r="D22" s="71"/>
      <c r="E22" s="524"/>
      <c r="F22" s="85">
        <f>SUM(F20:F21)</f>
        <v>0</v>
      </c>
      <c r="G22" s="85">
        <f>SUM(G20:G21)</f>
        <v>245878</v>
      </c>
      <c r="H22" s="85">
        <f>SUM(H20:H21)</f>
        <v>0</v>
      </c>
    </row>
    <row r="23" spans="1:13" s="63" customFormat="1" ht="21" customHeight="1" x14ac:dyDescent="0.35">
      <c r="A23" s="4"/>
      <c r="B23" s="66" t="s">
        <v>448</v>
      </c>
      <c r="C23" s="66"/>
      <c r="D23" s="66"/>
      <c r="E23" s="81"/>
      <c r="F23" s="82"/>
      <c r="G23" s="82"/>
      <c r="H23" s="82"/>
    </row>
    <row r="24" spans="1:13" s="63" customFormat="1" ht="21" customHeight="1" x14ac:dyDescent="0.35">
      <c r="A24" s="4"/>
      <c r="B24" s="8"/>
      <c r="C24" s="19" t="s">
        <v>678</v>
      </c>
      <c r="D24" s="19"/>
      <c r="E24" s="74"/>
      <c r="F24" s="75">
        <f>150760+79910</f>
        <v>230670</v>
      </c>
      <c r="G24" s="75">
        <v>230670</v>
      </c>
      <c r="H24" s="75">
        <f>150760+79910</f>
        <v>230670</v>
      </c>
      <c r="I24" s="589"/>
      <c r="M24" s="589"/>
    </row>
    <row r="25" spans="1:13" s="63" customFormat="1" ht="21" customHeight="1" x14ac:dyDescent="0.35">
      <c r="A25" s="4"/>
      <c r="B25" s="8"/>
      <c r="C25" s="19" t="s">
        <v>679</v>
      </c>
      <c r="D25" s="19"/>
      <c r="E25" s="74"/>
      <c r="F25" s="80">
        <f>150000+38000</f>
        <v>188000</v>
      </c>
      <c r="G25" s="75">
        <v>188000</v>
      </c>
      <c r="H25" s="80">
        <f>150000+38000</f>
        <v>188000</v>
      </c>
      <c r="I25" s="589"/>
      <c r="M25" s="589"/>
    </row>
    <row r="26" spans="1:13" ht="21" customHeight="1" x14ac:dyDescent="0.35">
      <c r="A26" s="7"/>
      <c r="B26" s="8"/>
      <c r="C26" s="22" t="s">
        <v>443</v>
      </c>
      <c r="D26" s="22"/>
      <c r="E26" s="79"/>
      <c r="F26" s="75">
        <f>240540+77726</f>
        <v>318266</v>
      </c>
      <c r="G26" s="80">
        <v>318266</v>
      </c>
      <c r="H26" s="75">
        <f>240540+77726</f>
        <v>318266</v>
      </c>
    </row>
    <row r="27" spans="1:13" ht="21" customHeight="1" x14ac:dyDescent="0.35">
      <c r="A27" s="7"/>
      <c r="B27" s="8"/>
      <c r="C27" s="22" t="s">
        <v>721</v>
      </c>
      <c r="D27" s="22"/>
      <c r="E27" s="79"/>
      <c r="F27" s="75">
        <v>116318</v>
      </c>
      <c r="G27" s="75">
        <v>116318</v>
      </c>
      <c r="H27" s="75"/>
    </row>
    <row r="28" spans="1:13" ht="21" customHeight="1" x14ac:dyDescent="0.35">
      <c r="A28" s="7"/>
      <c r="B28" s="8"/>
      <c r="C28" s="22" t="s">
        <v>722</v>
      </c>
      <c r="D28" s="22"/>
      <c r="E28" s="79"/>
      <c r="F28" s="75">
        <v>37389</v>
      </c>
      <c r="G28" s="75">
        <v>41020</v>
      </c>
      <c r="H28" s="75"/>
    </row>
    <row r="29" spans="1:13" x14ac:dyDescent="0.35">
      <c r="A29" s="7"/>
      <c r="B29" s="8"/>
      <c r="C29" s="22" t="s">
        <v>684</v>
      </c>
      <c r="D29" s="8"/>
      <c r="F29" s="83"/>
      <c r="G29" s="83"/>
      <c r="H29" s="83">
        <f>116318+37389+3631</f>
        <v>157338</v>
      </c>
    </row>
    <row r="30" spans="1:13" s="63" customFormat="1" ht="21" customHeight="1" x14ac:dyDescent="0.35">
      <c r="A30" s="4"/>
      <c r="B30" s="71" t="s">
        <v>447</v>
      </c>
      <c r="C30" s="71"/>
      <c r="D30" s="71"/>
      <c r="E30" s="524"/>
      <c r="F30" s="85">
        <f>SUM(F24:F29)</f>
        <v>890643</v>
      </c>
      <c r="G30" s="85">
        <f t="shared" ref="G30:H30" si="0">SUM(G24:G29)</f>
        <v>894274</v>
      </c>
      <c r="H30" s="85">
        <f t="shared" si="0"/>
        <v>894274</v>
      </c>
    </row>
    <row r="31" spans="1:13" s="63" customFormat="1" ht="21" customHeight="1" x14ac:dyDescent="0.35">
      <c r="A31" s="4"/>
      <c r="B31" s="66" t="s">
        <v>51</v>
      </c>
      <c r="C31" s="66"/>
      <c r="D31" s="66"/>
      <c r="E31" s="67"/>
      <c r="F31" s="82"/>
      <c r="G31" s="82"/>
      <c r="H31" s="82"/>
    </row>
    <row r="32" spans="1:13" s="63" customFormat="1" ht="42" customHeight="1" x14ac:dyDescent="0.35">
      <c r="A32" s="1"/>
      <c r="B32" s="2"/>
      <c r="C32" s="3"/>
      <c r="D32" s="3"/>
      <c r="E32" s="86" t="s">
        <v>479</v>
      </c>
      <c r="F32" s="20"/>
      <c r="G32" s="20">
        <v>14555</v>
      </c>
      <c r="H32" s="20"/>
    </row>
    <row r="33" spans="1:8" s="63" customFormat="1" ht="21" customHeight="1" x14ac:dyDescent="0.35">
      <c r="A33" s="4"/>
      <c r="B33" s="5"/>
      <c r="C33" s="6"/>
      <c r="D33" s="6"/>
      <c r="E33" s="2" t="s">
        <v>390</v>
      </c>
      <c r="F33" s="25"/>
      <c r="G33" s="25">
        <v>63915</v>
      </c>
      <c r="H33" s="25"/>
    </row>
    <row r="34" spans="1:8" s="63" customFormat="1" ht="21" customHeight="1" x14ac:dyDescent="0.35">
      <c r="A34" s="4"/>
      <c r="B34" s="87" t="s">
        <v>275</v>
      </c>
      <c r="C34" s="71"/>
      <c r="D34" s="71"/>
      <c r="E34" s="84"/>
      <c r="F34" s="85">
        <f>SUM(F32:F33)</f>
        <v>0</v>
      </c>
      <c r="G34" s="85">
        <f>SUM(G32:G33)</f>
        <v>78470</v>
      </c>
      <c r="H34" s="85">
        <f>SUM(H32:H33)</f>
        <v>0</v>
      </c>
    </row>
    <row r="35" spans="1:8" s="63" customFormat="1" ht="21" customHeight="1" x14ac:dyDescent="0.35">
      <c r="A35" s="523" t="s">
        <v>365</v>
      </c>
      <c r="B35" s="6"/>
      <c r="C35" s="66"/>
      <c r="D35" s="66"/>
      <c r="E35" s="67"/>
      <c r="F35" s="82">
        <f>F18+F22+F30+F34</f>
        <v>8360747</v>
      </c>
      <c r="G35" s="82">
        <f>G18+G22+G30+G34</f>
        <v>8801984</v>
      </c>
      <c r="H35" s="82">
        <f>H18+H22+H30+H34</f>
        <v>9172650</v>
      </c>
    </row>
    <row r="36" spans="1:8" ht="21" customHeight="1" x14ac:dyDescent="0.35">
      <c r="A36" s="4"/>
      <c r="B36" s="66" t="s">
        <v>277</v>
      </c>
      <c r="C36" s="66"/>
      <c r="D36" s="66"/>
      <c r="E36" s="67"/>
      <c r="F36" s="88"/>
      <c r="G36" s="88"/>
      <c r="H36" s="88"/>
    </row>
    <row r="37" spans="1:8" ht="21" customHeight="1" x14ac:dyDescent="0.35">
      <c r="A37" s="7"/>
      <c r="B37" s="8"/>
      <c r="C37" s="13" t="s">
        <v>514</v>
      </c>
      <c r="D37" s="13"/>
      <c r="E37" s="89"/>
      <c r="F37" s="25"/>
      <c r="G37" s="25">
        <v>18797</v>
      </c>
      <c r="H37" s="75"/>
    </row>
    <row r="38" spans="1:8" ht="21" customHeight="1" thickBot="1" x14ac:dyDescent="0.4">
      <c r="A38" s="4"/>
      <c r="B38" s="90" t="s">
        <v>276</v>
      </c>
      <c r="C38" s="90"/>
      <c r="D38" s="90"/>
      <c r="E38" s="91"/>
      <c r="F38" s="92">
        <f>SUM(F37)</f>
        <v>0</v>
      </c>
      <c r="G38" s="92">
        <f>SUM(G37)</f>
        <v>18797</v>
      </c>
      <c r="H38" s="92">
        <f>SUM(H37)</f>
        <v>0</v>
      </c>
    </row>
    <row r="39" spans="1:8" ht="21" customHeight="1" thickBot="1" x14ac:dyDescent="0.4">
      <c r="A39" s="59" t="s">
        <v>278</v>
      </c>
      <c r="B39" s="93" t="s">
        <v>25</v>
      </c>
      <c r="C39" s="94"/>
      <c r="D39" s="94"/>
      <c r="E39" s="94"/>
      <c r="F39" s="95">
        <f>F35+F38</f>
        <v>8360747</v>
      </c>
      <c r="G39" s="95">
        <f>G35+G38</f>
        <v>8820781</v>
      </c>
      <c r="H39" s="95">
        <f>H35+H38</f>
        <v>9172650</v>
      </c>
    </row>
    <row r="40" spans="1:8" ht="21" customHeight="1" thickBot="1" x14ac:dyDescent="0.4">
      <c r="A40" s="59"/>
      <c r="B40" s="93"/>
      <c r="C40" s="41" t="s">
        <v>274</v>
      </c>
      <c r="D40" s="94"/>
      <c r="E40" s="94"/>
      <c r="F40" s="95"/>
      <c r="G40" s="95"/>
      <c r="H40" s="95"/>
    </row>
    <row r="41" spans="1:8" ht="21" customHeight="1" thickBot="1" x14ac:dyDescent="0.4">
      <c r="A41" s="59" t="s">
        <v>279</v>
      </c>
      <c r="B41" s="35" t="s">
        <v>48</v>
      </c>
      <c r="C41" s="96"/>
      <c r="D41" s="96"/>
      <c r="E41" s="96"/>
      <c r="F41" s="31">
        <f>F40</f>
        <v>0</v>
      </c>
      <c r="G41" s="31">
        <f>G40</f>
        <v>0</v>
      </c>
      <c r="H41" s="31">
        <v>0</v>
      </c>
    </row>
    <row r="42" spans="1:8" x14ac:dyDescent="0.35">
      <c r="A42" s="7"/>
      <c r="B42" s="8"/>
      <c r="C42" s="19" t="s">
        <v>411</v>
      </c>
      <c r="D42" s="22"/>
      <c r="E42" s="79"/>
      <c r="F42" s="20">
        <v>302075</v>
      </c>
      <c r="G42" s="20">
        <v>302075</v>
      </c>
      <c r="H42" s="20">
        <v>302075</v>
      </c>
    </row>
    <row r="43" spans="1:8" x14ac:dyDescent="0.35">
      <c r="A43" s="7"/>
      <c r="B43" s="8"/>
      <c r="C43" s="19" t="s">
        <v>412</v>
      </c>
      <c r="D43" s="22"/>
      <c r="E43" s="79"/>
      <c r="F43" s="23">
        <v>53000</v>
      </c>
      <c r="G43" s="23">
        <v>53000</v>
      </c>
      <c r="H43" s="23">
        <v>53000</v>
      </c>
    </row>
    <row r="44" spans="1:8" x14ac:dyDescent="0.35">
      <c r="A44" s="7"/>
      <c r="B44" s="6"/>
      <c r="C44" s="19" t="s">
        <v>426</v>
      </c>
      <c r="D44" s="97"/>
      <c r="E44" s="19"/>
      <c r="F44" s="20"/>
      <c r="G44" s="20">
        <v>13906</v>
      </c>
      <c r="H44" s="20"/>
    </row>
    <row r="45" spans="1:8" x14ac:dyDescent="0.35">
      <c r="A45" s="7"/>
      <c r="B45" s="6"/>
      <c r="C45" s="19" t="s">
        <v>607</v>
      </c>
      <c r="D45" s="97"/>
      <c r="E45" s="19"/>
      <c r="F45" s="20"/>
      <c r="G45" s="20">
        <v>23860</v>
      </c>
      <c r="H45" s="20">
        <v>23860</v>
      </c>
    </row>
    <row r="46" spans="1:8" x14ac:dyDescent="0.35">
      <c r="A46" s="7"/>
      <c r="B46" s="6"/>
      <c r="C46" s="19" t="s">
        <v>625</v>
      </c>
      <c r="D46" s="97"/>
      <c r="E46" s="19"/>
      <c r="F46" s="20"/>
      <c r="G46" s="20">
        <v>2000</v>
      </c>
      <c r="H46" s="75"/>
    </row>
    <row r="47" spans="1:8" x14ac:dyDescent="0.35">
      <c r="A47" s="7"/>
      <c r="B47" s="6"/>
      <c r="C47" s="19" t="s">
        <v>687</v>
      </c>
      <c r="D47" s="97"/>
      <c r="E47" s="19"/>
      <c r="F47" s="20"/>
      <c r="G47" s="20">
        <v>1676</v>
      </c>
      <c r="H47" s="75"/>
    </row>
    <row r="48" spans="1:8" x14ac:dyDescent="0.35">
      <c r="A48" s="7"/>
      <c r="B48" s="6"/>
      <c r="C48" s="99" t="s">
        <v>688</v>
      </c>
      <c r="D48" s="97"/>
      <c r="E48" s="19"/>
      <c r="F48" s="20"/>
      <c r="G48" s="20">
        <v>8545</v>
      </c>
      <c r="H48" s="75"/>
    </row>
    <row r="49" spans="1:8" x14ac:dyDescent="0.35">
      <c r="A49" s="7"/>
      <c r="B49" s="6"/>
      <c r="C49" s="19" t="s">
        <v>689</v>
      </c>
      <c r="D49" s="97"/>
      <c r="E49" s="19"/>
      <c r="F49" s="20"/>
      <c r="G49" s="20">
        <v>1000</v>
      </c>
      <c r="H49" s="75"/>
    </row>
    <row r="50" spans="1:8" x14ac:dyDescent="0.35">
      <c r="A50" s="7"/>
      <c r="B50" s="109"/>
      <c r="C50" s="525" t="s">
        <v>509</v>
      </c>
      <c r="D50" s="526"/>
      <c r="E50" s="527"/>
      <c r="F50" s="25"/>
      <c r="G50" s="25"/>
      <c r="H50" s="83"/>
    </row>
    <row r="51" spans="1:8" ht="21.75" thickBot="1" x14ac:dyDescent="0.4">
      <c r="A51" s="7"/>
      <c r="B51" s="6"/>
      <c r="C51" s="13"/>
      <c r="D51" s="13"/>
      <c r="E51" s="8" t="s">
        <v>572</v>
      </c>
      <c r="F51" s="25">
        <v>500000</v>
      </c>
      <c r="G51" s="25">
        <v>0</v>
      </c>
      <c r="H51" s="25">
        <f>300000+200000-500000</f>
        <v>0</v>
      </c>
    </row>
    <row r="52" spans="1:8" ht="21" customHeight="1" thickBot="1" x14ac:dyDescent="0.4">
      <c r="A52" s="59" t="s">
        <v>280</v>
      </c>
      <c r="B52" s="100" t="s">
        <v>47</v>
      </c>
      <c r="C52" s="100"/>
      <c r="D52" s="100"/>
      <c r="E52" s="100"/>
      <c r="F52" s="38">
        <f>SUM(F42:F51)</f>
        <v>855075</v>
      </c>
      <c r="G52" s="38">
        <f>SUM(G42:G51)</f>
        <v>406062</v>
      </c>
      <c r="H52" s="38">
        <f>SUM(H42:H51)</f>
        <v>378935</v>
      </c>
    </row>
    <row r="53" spans="1:8" s="51" customFormat="1" ht="21" customHeight="1" thickBot="1" x14ac:dyDescent="0.4">
      <c r="A53" s="101" t="s">
        <v>281</v>
      </c>
      <c r="B53" s="102"/>
      <c r="C53" s="103"/>
      <c r="D53" s="103"/>
      <c r="E53" s="103"/>
      <c r="F53" s="104">
        <f>F39+F41+F52</f>
        <v>9215822</v>
      </c>
      <c r="G53" s="104">
        <f>G39+G41+G52</f>
        <v>9226843</v>
      </c>
      <c r="H53" s="104">
        <f>H39+H41+H52</f>
        <v>9551585</v>
      </c>
    </row>
    <row r="54" spans="1:8" ht="21" customHeight="1" x14ac:dyDescent="0.35">
      <c r="A54" s="105" t="s">
        <v>107</v>
      </c>
      <c r="B54" s="106"/>
      <c r="C54" s="106"/>
      <c r="D54" s="106"/>
      <c r="E54" s="107"/>
      <c r="F54" s="108"/>
      <c r="G54" s="108"/>
      <c r="H54" s="108"/>
    </row>
    <row r="55" spans="1:8" ht="21" customHeight="1" x14ac:dyDescent="0.35">
      <c r="A55" s="59"/>
      <c r="B55" s="6" t="s">
        <v>22</v>
      </c>
      <c r="C55" s="6"/>
      <c r="D55" s="6"/>
      <c r="E55" s="109"/>
      <c r="F55" s="110"/>
      <c r="G55" s="110"/>
      <c r="H55" s="110"/>
    </row>
    <row r="56" spans="1:8" ht="21" customHeight="1" x14ac:dyDescent="0.35">
      <c r="A56" s="7"/>
      <c r="B56" s="8"/>
      <c r="C56" s="19" t="s">
        <v>196</v>
      </c>
      <c r="D56" s="19"/>
      <c r="E56" s="74"/>
      <c r="F56" s="20"/>
      <c r="G56" s="20">
        <v>966</v>
      </c>
      <c r="H56" s="20"/>
    </row>
    <row r="57" spans="1:8" ht="21" customHeight="1" x14ac:dyDescent="0.35">
      <c r="A57" s="59"/>
      <c r="B57" s="6" t="s">
        <v>23</v>
      </c>
      <c r="C57" s="6"/>
      <c r="D57" s="6"/>
      <c r="E57" s="109"/>
      <c r="F57" s="27"/>
      <c r="G57" s="27"/>
      <c r="H57" s="27"/>
    </row>
    <row r="58" spans="1:8" ht="21" customHeight="1" x14ac:dyDescent="0.35">
      <c r="A58" s="7"/>
      <c r="B58" s="8"/>
      <c r="C58" s="19" t="s">
        <v>168</v>
      </c>
      <c r="D58" s="19"/>
      <c r="E58" s="97"/>
      <c r="F58" s="20">
        <f>1234000+640000-44000</f>
        <v>1830000</v>
      </c>
      <c r="G58" s="20">
        <v>1968312</v>
      </c>
      <c r="H58" s="20">
        <f>1234000+640000-44000+675000+5000+25000</f>
        <v>2535000</v>
      </c>
    </row>
    <row r="59" spans="1:8" ht="21" customHeight="1" x14ac:dyDescent="0.35">
      <c r="A59" s="59"/>
      <c r="B59" s="6" t="s">
        <v>21</v>
      </c>
      <c r="C59" s="6"/>
      <c r="D59" s="6"/>
      <c r="E59" s="109"/>
      <c r="F59" s="27"/>
      <c r="G59" s="27"/>
      <c r="H59" s="27"/>
    </row>
    <row r="60" spans="1:8" ht="21" customHeight="1" x14ac:dyDescent="0.35">
      <c r="A60" s="7"/>
      <c r="B60" s="8"/>
      <c r="C60" s="19" t="s">
        <v>197</v>
      </c>
      <c r="D60" s="19"/>
      <c r="E60" s="97"/>
      <c r="F60" s="20">
        <f>6500000+1700000+800000+500000+100000+2000000-200000</f>
        <v>11400000</v>
      </c>
      <c r="G60" s="20">
        <v>11608432</v>
      </c>
      <c r="H60" s="20">
        <f>6500000+1700000+800000+500000+100000+2000000-200000+200000+100000-300000+200000+70000+40000+7000</f>
        <v>11717000</v>
      </c>
    </row>
    <row r="61" spans="1:8" ht="21" customHeight="1" x14ac:dyDescent="0.35">
      <c r="A61" s="7"/>
      <c r="B61" s="8"/>
      <c r="C61" s="22" t="s">
        <v>3</v>
      </c>
      <c r="D61" s="22"/>
      <c r="E61" s="111"/>
      <c r="F61" s="20">
        <v>30000</v>
      </c>
      <c r="G61" s="20">
        <v>33219</v>
      </c>
      <c r="H61" s="20">
        <v>30000</v>
      </c>
    </row>
    <row r="62" spans="1:8" ht="21" customHeight="1" x14ac:dyDescent="0.35">
      <c r="A62" s="59"/>
      <c r="B62" s="6" t="s">
        <v>24</v>
      </c>
      <c r="C62" s="6"/>
      <c r="D62" s="6"/>
      <c r="E62" s="109"/>
      <c r="F62" s="27"/>
      <c r="G62" s="25"/>
      <c r="H62" s="27"/>
    </row>
    <row r="63" spans="1:8" ht="21" customHeight="1" x14ac:dyDescent="0.35">
      <c r="A63" s="7"/>
      <c r="B63" s="8"/>
      <c r="C63" s="19" t="s">
        <v>17</v>
      </c>
      <c r="D63" s="19"/>
      <c r="E63" s="97"/>
      <c r="F63" s="20">
        <v>10000</v>
      </c>
      <c r="G63" s="20">
        <v>35837</v>
      </c>
      <c r="H63" s="20">
        <f>10000+15000</f>
        <v>25000</v>
      </c>
    </row>
    <row r="64" spans="1:8" ht="21" customHeight="1" x14ac:dyDescent="0.35">
      <c r="A64" s="7"/>
      <c r="B64" s="8"/>
      <c r="C64" s="22" t="s">
        <v>10</v>
      </c>
      <c r="D64" s="22"/>
      <c r="E64" s="22"/>
      <c r="F64" s="20">
        <v>1000</v>
      </c>
      <c r="G64" s="20">
        <v>1020</v>
      </c>
      <c r="H64" s="20">
        <v>1000</v>
      </c>
    </row>
    <row r="65" spans="1:8" ht="21" customHeight="1" x14ac:dyDescent="0.35">
      <c r="A65" s="7"/>
      <c r="B65" s="8"/>
      <c r="C65" s="22" t="s">
        <v>541</v>
      </c>
      <c r="D65" s="22"/>
      <c r="E65" s="22"/>
      <c r="F65" s="20"/>
      <c r="G65" s="20">
        <v>47</v>
      </c>
      <c r="H65" s="20"/>
    </row>
    <row r="66" spans="1:8" ht="21" customHeight="1" x14ac:dyDescent="0.35">
      <c r="A66" s="7"/>
      <c r="B66" s="8"/>
      <c r="C66" s="8" t="s">
        <v>52</v>
      </c>
      <c r="D66" s="8"/>
      <c r="E66" s="22"/>
      <c r="F66" s="20"/>
      <c r="G66" s="20">
        <v>5435</v>
      </c>
      <c r="H66" s="20"/>
    </row>
    <row r="67" spans="1:8" ht="21" customHeight="1" thickBot="1" x14ac:dyDescent="0.4">
      <c r="A67" s="101" t="s">
        <v>174</v>
      </c>
      <c r="B67" s="102"/>
      <c r="C67" s="103"/>
      <c r="D67" s="103"/>
      <c r="E67" s="103"/>
      <c r="F67" s="104">
        <f>SUM(F54:F66)</f>
        <v>13271000</v>
      </c>
      <c r="G67" s="104">
        <f>SUM(G54:G66)</f>
        <v>13653268</v>
      </c>
      <c r="H67" s="104">
        <f>SUM(H54:H66)</f>
        <v>14308000</v>
      </c>
    </row>
    <row r="68" spans="1:8" ht="21" customHeight="1" x14ac:dyDescent="0.35">
      <c r="A68" s="59" t="s">
        <v>14</v>
      </c>
      <c r="B68" s="109"/>
      <c r="C68" s="109"/>
      <c r="D68" s="109"/>
      <c r="E68" s="112"/>
      <c r="F68" s="110"/>
      <c r="G68" s="110"/>
      <c r="H68" s="110"/>
    </row>
    <row r="69" spans="1:8" ht="21.75" customHeight="1" x14ac:dyDescent="0.35">
      <c r="A69" s="7"/>
      <c r="B69" s="8"/>
      <c r="C69" s="8"/>
      <c r="D69" s="8"/>
      <c r="E69" s="19" t="s">
        <v>672</v>
      </c>
      <c r="F69" s="20">
        <f>10215+5385</f>
        <v>15600</v>
      </c>
      <c r="G69" s="20">
        <v>15608</v>
      </c>
      <c r="H69" s="20">
        <f>10215+5385+2350</f>
        <v>17950</v>
      </c>
    </row>
    <row r="70" spans="1:8" ht="21" customHeight="1" x14ac:dyDescent="0.35">
      <c r="A70" s="7"/>
      <c r="B70" s="8"/>
      <c r="C70" s="8"/>
      <c r="D70" s="8"/>
      <c r="E70" s="522" t="s">
        <v>680</v>
      </c>
      <c r="F70" s="20">
        <v>37404</v>
      </c>
      <c r="G70" s="20">
        <v>37404</v>
      </c>
      <c r="H70" s="20">
        <f>37404+30996</f>
        <v>68400</v>
      </c>
    </row>
    <row r="71" spans="1:8" ht="21" customHeight="1" x14ac:dyDescent="0.35">
      <c r="A71" s="7"/>
      <c r="B71" s="8"/>
      <c r="C71" s="8"/>
      <c r="D71" s="8"/>
      <c r="E71" s="22" t="s">
        <v>418</v>
      </c>
      <c r="F71" s="20">
        <f>395000+90000+30000+10000-10000+150000</f>
        <v>665000</v>
      </c>
      <c r="G71" s="20">
        <v>667101</v>
      </c>
      <c r="H71" s="20">
        <f>395000+90000+30000+10000-10000+150000</f>
        <v>665000</v>
      </c>
    </row>
    <row r="72" spans="1:8" ht="21" customHeight="1" x14ac:dyDescent="0.35">
      <c r="A72" s="7"/>
      <c r="B72" s="8"/>
      <c r="C72" s="8"/>
      <c r="D72" s="8"/>
      <c r="E72" s="22" t="s">
        <v>198</v>
      </c>
      <c r="F72" s="20">
        <v>9000</v>
      </c>
      <c r="G72" s="20">
        <v>12971</v>
      </c>
      <c r="H72" s="20">
        <v>9000</v>
      </c>
    </row>
    <row r="73" spans="1:8" ht="21" customHeight="1" x14ac:dyDescent="0.35">
      <c r="A73" s="7"/>
      <c r="B73" s="8"/>
      <c r="C73" s="8"/>
      <c r="D73" s="8"/>
      <c r="E73" s="22" t="s">
        <v>690</v>
      </c>
      <c r="F73" s="20"/>
      <c r="G73" s="20">
        <v>232</v>
      </c>
      <c r="H73" s="20"/>
    </row>
    <row r="74" spans="1:8" ht="21" customHeight="1" x14ac:dyDescent="0.35">
      <c r="A74" s="7"/>
      <c r="B74" s="8"/>
      <c r="C74" s="8"/>
      <c r="D74" s="8"/>
      <c r="E74" s="22" t="s">
        <v>81</v>
      </c>
      <c r="F74" s="20">
        <v>2700</v>
      </c>
      <c r="G74" s="20">
        <v>2611</v>
      </c>
      <c r="H74" s="20">
        <v>2700</v>
      </c>
    </row>
    <row r="75" spans="1:8" ht="21" customHeight="1" x14ac:dyDescent="0.35">
      <c r="A75" s="7"/>
      <c r="B75" s="8"/>
      <c r="C75" s="8"/>
      <c r="D75" s="8"/>
      <c r="E75" s="22" t="s">
        <v>80</v>
      </c>
      <c r="F75" s="20">
        <v>700000</v>
      </c>
      <c r="G75" s="20">
        <v>700000</v>
      </c>
      <c r="H75" s="20">
        <v>700000</v>
      </c>
    </row>
    <row r="76" spans="1:8" x14ac:dyDescent="0.35">
      <c r="A76" s="7"/>
      <c r="B76" s="8"/>
      <c r="C76" s="8"/>
      <c r="D76" s="8"/>
      <c r="E76" s="22" t="s">
        <v>119</v>
      </c>
      <c r="F76" s="20">
        <f>3000+6000</f>
        <v>9000</v>
      </c>
      <c r="G76" s="20">
        <v>11297</v>
      </c>
      <c r="H76" s="20">
        <f>3000+6000</f>
        <v>9000</v>
      </c>
    </row>
    <row r="77" spans="1:8" ht="21" customHeight="1" x14ac:dyDescent="0.35">
      <c r="A77" s="7"/>
      <c r="B77" s="8"/>
      <c r="C77" s="8"/>
      <c r="D77" s="8"/>
      <c r="E77" s="22" t="s">
        <v>160</v>
      </c>
      <c r="F77" s="20">
        <v>17000</v>
      </c>
      <c r="G77" s="20">
        <v>27177</v>
      </c>
      <c r="H77" s="20">
        <v>17000</v>
      </c>
    </row>
    <row r="78" spans="1:8" ht="21" customHeight="1" x14ac:dyDescent="0.35">
      <c r="A78" s="7"/>
      <c r="B78" s="8"/>
      <c r="D78" s="8"/>
      <c r="E78" s="22" t="s">
        <v>153</v>
      </c>
      <c r="F78" s="20">
        <v>1700</v>
      </c>
      <c r="G78" s="20">
        <v>1139</v>
      </c>
      <c r="H78" s="20">
        <v>1700</v>
      </c>
    </row>
    <row r="79" spans="1:8" ht="21" customHeight="1" x14ac:dyDescent="0.35">
      <c r="A79" s="7"/>
      <c r="B79" s="8"/>
      <c r="C79" s="8"/>
      <c r="D79" s="8"/>
      <c r="E79" s="19" t="s">
        <v>90</v>
      </c>
      <c r="F79" s="20"/>
      <c r="G79" s="20">
        <v>548200</v>
      </c>
      <c r="H79" s="20"/>
    </row>
    <row r="80" spans="1:8" ht="21" customHeight="1" x14ac:dyDescent="0.35">
      <c r="A80" s="7"/>
      <c r="B80" s="8"/>
      <c r="C80" s="8"/>
      <c r="D80" s="8"/>
      <c r="E80" s="19" t="s">
        <v>427</v>
      </c>
      <c r="F80" s="20"/>
      <c r="G80" s="20">
        <v>36069</v>
      </c>
      <c r="H80" s="20"/>
    </row>
    <row r="81" spans="1:8" ht="21" customHeight="1" x14ac:dyDescent="0.35">
      <c r="A81" s="7"/>
      <c r="B81" s="8"/>
      <c r="C81" s="8"/>
      <c r="D81" s="8"/>
      <c r="E81" s="19" t="s">
        <v>452</v>
      </c>
      <c r="F81" s="20"/>
      <c r="G81" s="20">
        <v>1718</v>
      </c>
      <c r="H81" s="20"/>
    </row>
    <row r="82" spans="1:8" ht="21" customHeight="1" x14ac:dyDescent="0.35">
      <c r="A82" s="7"/>
      <c r="B82" s="8"/>
      <c r="C82" s="8"/>
      <c r="D82" s="8"/>
      <c r="E82" s="19" t="s">
        <v>626</v>
      </c>
      <c r="F82" s="20"/>
      <c r="G82" s="20">
        <v>3309</v>
      </c>
      <c r="H82" s="20"/>
    </row>
    <row r="83" spans="1:8" ht="21" customHeight="1" x14ac:dyDescent="0.35">
      <c r="A83" s="7"/>
      <c r="B83" s="8"/>
      <c r="C83" s="8"/>
      <c r="D83" s="8"/>
      <c r="E83" s="19" t="s">
        <v>348</v>
      </c>
      <c r="F83" s="20"/>
      <c r="G83" s="20">
        <v>14798</v>
      </c>
      <c r="H83" s="20"/>
    </row>
    <row r="84" spans="1:8" ht="21" customHeight="1" x14ac:dyDescent="0.35">
      <c r="A84" s="7"/>
      <c r="B84" s="8"/>
      <c r="C84" s="8"/>
      <c r="D84" s="8"/>
      <c r="E84" s="19" t="s">
        <v>481</v>
      </c>
      <c r="F84" s="20"/>
      <c r="G84" s="20">
        <v>8724</v>
      </c>
      <c r="H84" s="20"/>
    </row>
    <row r="85" spans="1:8" ht="21" customHeight="1" x14ac:dyDescent="0.35">
      <c r="A85" s="7"/>
      <c r="B85" s="8"/>
      <c r="C85" s="8"/>
      <c r="D85" s="8"/>
      <c r="E85" s="19" t="s">
        <v>627</v>
      </c>
      <c r="F85" s="20"/>
      <c r="G85" s="20">
        <v>3504</v>
      </c>
      <c r="H85" s="20"/>
    </row>
    <row r="86" spans="1:8" ht="21" customHeight="1" x14ac:dyDescent="0.35">
      <c r="A86" s="7"/>
      <c r="B86" s="8"/>
      <c r="C86" s="8"/>
      <c r="D86" s="8"/>
      <c r="E86" s="19" t="s">
        <v>628</v>
      </c>
      <c r="F86" s="20"/>
      <c r="G86" s="20">
        <v>64640</v>
      </c>
      <c r="H86" s="20"/>
    </row>
    <row r="87" spans="1:8" ht="21" customHeight="1" x14ac:dyDescent="0.35">
      <c r="A87" s="7"/>
      <c r="B87" s="8"/>
      <c r="C87" s="8"/>
      <c r="D87" s="8"/>
      <c r="E87" s="19" t="s">
        <v>516</v>
      </c>
      <c r="F87" s="20"/>
      <c r="G87" s="20">
        <v>374</v>
      </c>
      <c r="H87" s="20"/>
    </row>
    <row r="88" spans="1:8" ht="38.25" x14ac:dyDescent="0.35">
      <c r="A88" s="7"/>
      <c r="B88" s="8"/>
      <c r="C88" s="8"/>
      <c r="D88" s="8"/>
      <c r="E88" s="3" t="s">
        <v>480</v>
      </c>
      <c r="F88" s="20"/>
      <c r="G88" s="20">
        <v>238</v>
      </c>
      <c r="H88" s="20"/>
    </row>
    <row r="89" spans="1:8" ht="21" customHeight="1" x14ac:dyDescent="0.35">
      <c r="A89" s="7"/>
      <c r="B89" s="8"/>
      <c r="C89" s="8"/>
      <c r="D89" s="8"/>
      <c r="E89" s="19" t="s">
        <v>691</v>
      </c>
      <c r="F89" s="20"/>
      <c r="G89" s="20">
        <v>52</v>
      </c>
      <c r="H89" s="20"/>
    </row>
    <row r="90" spans="1:8" ht="21" customHeight="1" x14ac:dyDescent="0.35">
      <c r="A90" s="7"/>
      <c r="B90" s="8"/>
      <c r="C90" s="8"/>
      <c r="D90" s="8"/>
      <c r="E90" s="19" t="s">
        <v>460</v>
      </c>
      <c r="F90" s="25"/>
      <c r="G90" s="25">
        <v>905</v>
      </c>
      <c r="H90" s="25"/>
    </row>
    <row r="91" spans="1:8" ht="21" customHeight="1" x14ac:dyDescent="0.35">
      <c r="A91" s="7"/>
      <c r="B91" s="109" t="s">
        <v>26</v>
      </c>
      <c r="C91" s="109"/>
      <c r="D91" s="109"/>
      <c r="E91" s="113"/>
      <c r="F91" s="27"/>
      <c r="G91" s="27"/>
      <c r="H91" s="27"/>
    </row>
    <row r="92" spans="1:8" ht="21" customHeight="1" x14ac:dyDescent="0.35">
      <c r="A92" s="7"/>
      <c r="B92" s="9"/>
      <c r="C92" s="9"/>
      <c r="D92" s="9"/>
      <c r="E92" s="19" t="s">
        <v>419</v>
      </c>
      <c r="F92" s="20">
        <v>114480</v>
      </c>
      <c r="G92" s="20">
        <v>114480</v>
      </c>
      <c r="H92" s="20">
        <f>114480+3456</f>
        <v>117936</v>
      </c>
    </row>
    <row r="93" spans="1:8" ht="21" customHeight="1" x14ac:dyDescent="0.35">
      <c r="A93" s="7"/>
      <c r="B93" s="33"/>
      <c r="C93" s="33"/>
      <c r="D93" s="33"/>
      <c r="E93" s="99" t="s">
        <v>189</v>
      </c>
      <c r="F93" s="20">
        <v>250000</v>
      </c>
      <c r="G93" s="75">
        <v>250000</v>
      </c>
      <c r="H93" s="20">
        <f>250000+150000</f>
        <v>400000</v>
      </c>
    </row>
    <row r="94" spans="1:8" ht="21" customHeight="1" x14ac:dyDescent="0.35">
      <c r="A94" s="7"/>
      <c r="B94" s="9"/>
      <c r="C94" s="9"/>
      <c r="D94" s="9"/>
      <c r="E94" s="19" t="s">
        <v>85</v>
      </c>
      <c r="F94" s="20">
        <v>20000</v>
      </c>
      <c r="G94" s="75">
        <v>20000</v>
      </c>
      <c r="H94" s="20">
        <v>20000</v>
      </c>
    </row>
    <row r="95" spans="1:8" ht="21" customHeight="1" x14ac:dyDescent="0.35">
      <c r="A95" s="7"/>
      <c r="B95" s="9"/>
      <c r="C95" s="9"/>
      <c r="D95" s="9"/>
      <c r="E95" s="19" t="s">
        <v>517</v>
      </c>
      <c r="F95" s="20"/>
      <c r="G95" s="75">
        <v>270</v>
      </c>
      <c r="H95" s="20"/>
    </row>
    <row r="96" spans="1:8" ht="21" customHeight="1" x14ac:dyDescent="0.35">
      <c r="A96" s="7"/>
      <c r="B96" s="9"/>
      <c r="C96" s="9"/>
      <c r="D96" s="9"/>
      <c r="E96" s="19" t="s">
        <v>50</v>
      </c>
      <c r="F96" s="80"/>
      <c r="G96" s="80">
        <v>270996</v>
      </c>
      <c r="H96" s="80"/>
    </row>
    <row r="97" spans="1:8" ht="21" customHeight="1" x14ac:dyDescent="0.35">
      <c r="A97" s="7"/>
      <c r="B97" s="9"/>
      <c r="C97" s="9"/>
      <c r="D97" s="9"/>
      <c r="E97" s="19" t="s">
        <v>629</v>
      </c>
      <c r="F97" s="116"/>
      <c r="G97" s="116">
        <v>17453</v>
      </c>
      <c r="H97" s="116"/>
    </row>
    <row r="98" spans="1:8" ht="21" customHeight="1" x14ac:dyDescent="0.35">
      <c r="A98" s="7"/>
      <c r="B98" s="109" t="s">
        <v>27</v>
      </c>
      <c r="C98" s="109"/>
      <c r="D98" s="109"/>
      <c r="E98" s="113"/>
      <c r="F98" s="27"/>
      <c r="G98" s="27"/>
      <c r="H98" s="27"/>
    </row>
    <row r="99" spans="1:8" x14ac:dyDescent="0.35">
      <c r="A99" s="7"/>
      <c r="B99" s="9"/>
      <c r="C99" s="9"/>
      <c r="D99" s="9"/>
      <c r="E99" s="19" t="s">
        <v>157</v>
      </c>
      <c r="F99" s="20">
        <f>325000+-100000+50000+20000+155000+10000</f>
        <v>460000</v>
      </c>
      <c r="G99" s="20">
        <v>396926</v>
      </c>
      <c r="H99" s="20">
        <f>325000+-100000+50000+20000+155000+10000-100000-180000-60000</f>
        <v>120000</v>
      </c>
    </row>
    <row r="100" spans="1:8" x14ac:dyDescent="0.35">
      <c r="A100" s="7"/>
      <c r="B100" s="9"/>
      <c r="C100" s="9"/>
      <c r="D100" s="9"/>
      <c r="E100" s="19" t="s">
        <v>630</v>
      </c>
      <c r="F100" s="20"/>
      <c r="G100" s="20">
        <v>40268</v>
      </c>
      <c r="H100" s="20"/>
    </row>
    <row r="101" spans="1:8" ht="21" customHeight="1" thickBot="1" x14ac:dyDescent="0.4">
      <c r="A101" s="101" t="s">
        <v>110</v>
      </c>
      <c r="B101" s="103"/>
      <c r="C101" s="103"/>
      <c r="D101" s="103"/>
      <c r="E101" s="103"/>
      <c r="F101" s="37">
        <f>SUM(F68:F100)</f>
        <v>2301884</v>
      </c>
      <c r="G101" s="37">
        <f>SUM(G68:G100)</f>
        <v>3268464</v>
      </c>
      <c r="H101" s="37">
        <f>SUM(H68:H100)</f>
        <v>2148686</v>
      </c>
    </row>
    <row r="102" spans="1:8" ht="21" customHeight="1" x14ac:dyDescent="0.35">
      <c r="A102" s="59" t="s">
        <v>106</v>
      </c>
      <c r="B102" s="33"/>
      <c r="C102" s="33"/>
      <c r="D102" s="33"/>
      <c r="E102" s="33"/>
      <c r="F102" s="60"/>
      <c r="G102" s="60"/>
      <c r="H102" s="60"/>
    </row>
    <row r="103" spans="1:8" ht="21" customHeight="1" x14ac:dyDescent="0.35">
      <c r="A103" s="59"/>
      <c r="B103" s="114" t="s">
        <v>33</v>
      </c>
      <c r="C103" s="33"/>
      <c r="D103" s="33"/>
      <c r="E103" s="33"/>
      <c r="F103" s="115"/>
      <c r="G103" s="115"/>
      <c r="H103" s="115"/>
    </row>
    <row r="104" spans="1:8" ht="21" customHeight="1" x14ac:dyDescent="0.35">
      <c r="A104" s="98"/>
      <c r="B104" s="9"/>
      <c r="C104" s="99" t="s">
        <v>464</v>
      </c>
      <c r="D104" s="99"/>
      <c r="E104" s="19"/>
      <c r="F104" s="75"/>
      <c r="G104" s="75">
        <v>20000</v>
      </c>
      <c r="H104" s="75"/>
    </row>
    <row r="105" spans="1:8" ht="21" customHeight="1" x14ac:dyDescent="0.35">
      <c r="A105" s="98"/>
      <c r="B105" s="9"/>
      <c r="C105" s="99" t="s">
        <v>631</v>
      </c>
      <c r="D105" s="99"/>
      <c r="E105" s="19"/>
      <c r="F105" s="75"/>
      <c r="G105" s="75">
        <v>6657</v>
      </c>
      <c r="H105" s="75"/>
    </row>
    <row r="106" spans="1:8" ht="21" customHeight="1" x14ac:dyDescent="0.35">
      <c r="A106" s="98"/>
      <c r="B106" s="9"/>
      <c r="C106" s="99" t="s">
        <v>632</v>
      </c>
      <c r="D106" s="99"/>
      <c r="E106" s="19"/>
      <c r="F106" s="75"/>
      <c r="G106" s="75">
        <v>500</v>
      </c>
      <c r="H106" s="75"/>
    </row>
    <row r="107" spans="1:8" ht="21" customHeight="1" x14ac:dyDescent="0.35">
      <c r="A107" s="7"/>
      <c r="B107" s="109" t="s">
        <v>34</v>
      </c>
      <c r="C107" s="109"/>
      <c r="D107" s="109"/>
      <c r="E107" s="113"/>
      <c r="F107" s="27"/>
      <c r="G107" s="27"/>
      <c r="H107" s="116"/>
    </row>
    <row r="108" spans="1:8" ht="21" customHeight="1" x14ac:dyDescent="0.35">
      <c r="A108" s="98"/>
      <c r="B108" s="9"/>
      <c r="C108" s="99" t="s">
        <v>692</v>
      </c>
      <c r="D108" s="99"/>
      <c r="E108" s="19"/>
      <c r="F108" s="20"/>
      <c r="G108" s="20">
        <v>4168</v>
      </c>
      <c r="H108" s="75"/>
    </row>
    <row r="109" spans="1:8" ht="21" customHeight="1" x14ac:dyDescent="0.35">
      <c r="A109" s="98"/>
      <c r="B109" s="9"/>
      <c r="C109" s="99" t="s">
        <v>453</v>
      </c>
      <c r="D109" s="99"/>
      <c r="E109" s="19"/>
      <c r="F109" s="20"/>
      <c r="G109" s="20">
        <v>1583</v>
      </c>
      <c r="H109" s="75"/>
    </row>
    <row r="110" spans="1:8" ht="21" customHeight="1" x14ac:dyDescent="0.35">
      <c r="A110" s="98"/>
      <c r="B110" s="9"/>
      <c r="C110" s="99" t="s">
        <v>573</v>
      </c>
      <c r="D110" s="99"/>
      <c r="E110" s="19"/>
      <c r="F110" s="20">
        <v>1618</v>
      </c>
      <c r="G110" s="20">
        <v>1618</v>
      </c>
      <c r="H110" s="75">
        <f>1618-1618</f>
        <v>0</v>
      </c>
    </row>
    <row r="111" spans="1:8" ht="21" customHeight="1" x14ac:dyDescent="0.35">
      <c r="A111" s="98"/>
      <c r="B111" s="9"/>
      <c r="C111" s="99" t="s">
        <v>608</v>
      </c>
      <c r="D111" s="99"/>
      <c r="E111" s="19"/>
      <c r="F111" s="20"/>
      <c r="G111" s="20">
        <v>19936</v>
      </c>
      <c r="H111" s="75"/>
    </row>
    <row r="112" spans="1:8" ht="21" customHeight="1" x14ac:dyDescent="0.35">
      <c r="A112" s="98"/>
      <c r="B112" s="9"/>
      <c r="C112" s="99" t="s">
        <v>609</v>
      </c>
      <c r="D112" s="99"/>
      <c r="E112" s="19"/>
      <c r="F112" s="20"/>
      <c r="G112" s="20">
        <v>44415</v>
      </c>
      <c r="H112" s="75"/>
    </row>
    <row r="113" spans="1:8" ht="21" customHeight="1" x14ac:dyDescent="0.35">
      <c r="A113" s="7"/>
      <c r="B113" s="109"/>
      <c r="C113" s="99" t="s">
        <v>413</v>
      </c>
      <c r="D113" s="117"/>
      <c r="E113" s="118"/>
      <c r="F113" s="20"/>
      <c r="G113" s="20">
        <v>14353</v>
      </c>
      <c r="H113" s="75"/>
    </row>
    <row r="114" spans="1:8" ht="21" customHeight="1" x14ac:dyDescent="0.35">
      <c r="A114" s="7"/>
      <c r="B114" s="518"/>
      <c r="C114" s="519" t="s">
        <v>518</v>
      </c>
      <c r="D114" s="20"/>
      <c r="E114" s="20"/>
      <c r="F114" s="20"/>
      <c r="G114" s="20">
        <v>9180</v>
      </c>
      <c r="H114" s="75"/>
    </row>
    <row r="115" spans="1:8" ht="21" customHeight="1" x14ac:dyDescent="0.35">
      <c r="A115" s="7"/>
      <c r="B115" s="518"/>
      <c r="C115" s="519" t="s">
        <v>633</v>
      </c>
      <c r="D115" s="20"/>
      <c r="E115" s="20"/>
      <c r="F115" s="20"/>
      <c r="G115" s="20">
        <v>5370</v>
      </c>
      <c r="H115" s="75"/>
    </row>
    <row r="116" spans="1:8" ht="21" customHeight="1" x14ac:dyDescent="0.35">
      <c r="A116" s="7"/>
      <c r="B116" s="518"/>
      <c r="C116" s="519" t="s">
        <v>634</v>
      </c>
      <c r="D116" s="20"/>
      <c r="E116" s="20"/>
      <c r="F116" s="20"/>
      <c r="G116" s="20">
        <v>6355</v>
      </c>
      <c r="H116" s="75"/>
    </row>
    <row r="117" spans="1:8" ht="21" customHeight="1" x14ac:dyDescent="0.35">
      <c r="A117" s="7"/>
      <c r="B117" s="518"/>
      <c r="C117" s="519" t="s">
        <v>519</v>
      </c>
      <c r="D117" s="20"/>
      <c r="E117" s="20"/>
      <c r="F117" s="20"/>
      <c r="G117" s="20">
        <v>39937</v>
      </c>
      <c r="H117" s="75"/>
    </row>
    <row r="118" spans="1:8" ht="21" customHeight="1" thickBot="1" x14ac:dyDescent="0.4">
      <c r="A118" s="7"/>
      <c r="B118" s="109"/>
      <c r="C118" s="9" t="s">
        <v>482</v>
      </c>
      <c r="D118" s="109"/>
      <c r="E118" s="33"/>
      <c r="F118" s="25"/>
      <c r="G118" s="25">
        <v>450</v>
      </c>
      <c r="H118" s="83"/>
    </row>
    <row r="119" spans="1:8" s="51" customFormat="1" ht="21" customHeight="1" thickBot="1" x14ac:dyDescent="0.4">
      <c r="A119" s="119" t="s">
        <v>173</v>
      </c>
      <c r="B119" s="120"/>
      <c r="C119" s="100"/>
      <c r="D119" s="100"/>
      <c r="E119" s="100"/>
      <c r="F119" s="121">
        <f>SUM(F102:F118)</f>
        <v>1618</v>
      </c>
      <c r="G119" s="121">
        <f>SUM(G102:G118)</f>
        <v>174522</v>
      </c>
      <c r="H119" s="121">
        <f>SUM(H102:H118)</f>
        <v>0</v>
      </c>
    </row>
    <row r="120" spans="1:8" ht="21" customHeight="1" x14ac:dyDescent="0.35">
      <c r="A120" s="105" t="s">
        <v>64</v>
      </c>
      <c r="B120" s="122"/>
      <c r="C120" s="122"/>
      <c r="D120" s="122"/>
      <c r="E120" s="122"/>
      <c r="F120" s="123"/>
      <c r="G120" s="123"/>
      <c r="H120" s="123"/>
    </row>
    <row r="121" spans="1:8" s="51" customFormat="1" ht="21" customHeight="1" x14ac:dyDescent="0.35">
      <c r="A121" s="124"/>
      <c r="B121" s="9" t="s">
        <v>192</v>
      </c>
      <c r="C121" s="109"/>
      <c r="D121" s="109"/>
      <c r="E121" s="32"/>
      <c r="F121" s="20">
        <v>19300</v>
      </c>
      <c r="G121" s="75">
        <v>33506</v>
      </c>
      <c r="H121" s="20">
        <f>19300+1484</f>
        <v>20784</v>
      </c>
    </row>
    <row r="122" spans="1:8" s="51" customFormat="1" ht="21" customHeight="1" x14ac:dyDescent="0.35">
      <c r="A122" s="124"/>
      <c r="B122" s="125" t="s">
        <v>391</v>
      </c>
      <c r="C122" s="126"/>
      <c r="D122" s="126"/>
      <c r="E122" s="26"/>
      <c r="F122" s="20">
        <v>608901</v>
      </c>
      <c r="G122" s="20">
        <v>579474</v>
      </c>
      <c r="H122" s="20">
        <f>608901+49620</f>
        <v>658521</v>
      </c>
    </row>
    <row r="123" spans="1:8" s="51" customFormat="1" ht="21" customHeight="1" x14ac:dyDescent="0.35">
      <c r="A123" s="124"/>
      <c r="B123" s="125" t="s">
        <v>102</v>
      </c>
      <c r="C123" s="126"/>
      <c r="D123" s="126"/>
      <c r="E123" s="26"/>
      <c r="F123" s="20">
        <v>28471</v>
      </c>
      <c r="G123" s="20">
        <v>83404</v>
      </c>
      <c r="H123" s="20">
        <v>28471</v>
      </c>
    </row>
    <row r="124" spans="1:8" s="51" customFormat="1" ht="21" customHeight="1" x14ac:dyDescent="0.35">
      <c r="A124" s="124"/>
      <c r="B124" s="125" t="s">
        <v>103</v>
      </c>
      <c r="C124" s="126"/>
      <c r="D124" s="126"/>
      <c r="E124" s="26"/>
      <c r="F124" s="20">
        <v>102344</v>
      </c>
      <c r="G124" s="20">
        <v>319546</v>
      </c>
      <c r="H124" s="20">
        <f>102344+11000</f>
        <v>113344</v>
      </c>
    </row>
    <row r="125" spans="1:8" s="51" customFormat="1" ht="21" customHeight="1" x14ac:dyDescent="0.35">
      <c r="A125" s="124"/>
      <c r="B125" s="125" t="s">
        <v>349</v>
      </c>
      <c r="C125" s="126"/>
      <c r="D125" s="126"/>
      <c r="E125" s="26"/>
      <c r="F125" s="20">
        <f>24000+2100</f>
        <v>26100</v>
      </c>
      <c r="G125" s="20">
        <v>55501</v>
      </c>
      <c r="H125" s="20">
        <f>24000+2100+6800</f>
        <v>32900</v>
      </c>
    </row>
    <row r="126" spans="1:8" s="51" customFormat="1" ht="21" customHeight="1" x14ac:dyDescent="0.35">
      <c r="A126" s="124"/>
      <c r="B126" s="125" t="s">
        <v>115</v>
      </c>
      <c r="C126" s="126"/>
      <c r="D126" s="126"/>
      <c r="E126" s="26"/>
      <c r="F126" s="20">
        <v>154078</v>
      </c>
      <c r="G126" s="20">
        <v>268072</v>
      </c>
      <c r="H126" s="20">
        <v>154078</v>
      </c>
    </row>
    <row r="127" spans="1:8" s="51" customFormat="1" ht="21" customHeight="1" x14ac:dyDescent="0.35">
      <c r="A127" s="124"/>
      <c r="B127" s="125" t="s">
        <v>75</v>
      </c>
      <c r="C127" s="126"/>
      <c r="D127" s="126"/>
      <c r="E127" s="26"/>
      <c r="F127" s="20">
        <v>141307</v>
      </c>
      <c r="G127" s="20">
        <v>235262</v>
      </c>
      <c r="H127" s="20">
        <f>141307+56172</f>
        <v>197479</v>
      </c>
    </row>
    <row r="128" spans="1:8" s="51" customFormat="1" ht="21" customHeight="1" x14ac:dyDescent="0.35">
      <c r="A128" s="124"/>
      <c r="B128" s="125" t="s">
        <v>201</v>
      </c>
      <c r="C128" s="126"/>
      <c r="D128" s="126"/>
      <c r="E128" s="26"/>
      <c r="F128" s="20">
        <f>480889+3256</f>
        <v>484145</v>
      </c>
      <c r="G128" s="20">
        <v>567292</v>
      </c>
      <c r="H128" s="20">
        <f>480889+3256+224+4396</f>
        <v>488765</v>
      </c>
    </row>
    <row r="129" spans="1:8" s="51" customFormat="1" ht="21" customHeight="1" x14ac:dyDescent="0.35">
      <c r="A129" s="124"/>
      <c r="B129" s="125" t="s">
        <v>13</v>
      </c>
      <c r="C129" s="126"/>
      <c r="D129" s="126"/>
      <c r="E129" s="26"/>
      <c r="F129" s="20">
        <v>88796</v>
      </c>
      <c r="G129" s="20">
        <v>123654</v>
      </c>
      <c r="H129" s="20">
        <f>88796+1775+6577</f>
        <v>97148</v>
      </c>
    </row>
    <row r="130" spans="1:8" s="51" customFormat="1" ht="21" customHeight="1" x14ac:dyDescent="0.35">
      <c r="A130" s="124"/>
      <c r="B130" s="125" t="s">
        <v>152</v>
      </c>
      <c r="C130" s="126"/>
      <c r="D130" s="126"/>
      <c r="E130" s="26"/>
      <c r="F130" s="20">
        <f>187986+837</f>
        <v>188823</v>
      </c>
      <c r="G130" s="20">
        <v>185714</v>
      </c>
      <c r="H130" s="20">
        <f>187986+837</f>
        <v>188823</v>
      </c>
    </row>
    <row r="131" spans="1:8" s="51" customFormat="1" ht="21" customHeight="1" x14ac:dyDescent="0.35">
      <c r="A131" s="124"/>
      <c r="B131" s="125" t="s">
        <v>4</v>
      </c>
      <c r="C131" s="126"/>
      <c r="D131" s="126"/>
      <c r="E131" s="26"/>
      <c r="F131" s="20">
        <v>18520</v>
      </c>
      <c r="G131" s="20">
        <v>78267</v>
      </c>
      <c r="H131" s="20">
        <f>18520+480</f>
        <v>19000</v>
      </c>
    </row>
    <row r="132" spans="1:8" ht="21" customHeight="1" thickBot="1" x14ac:dyDescent="0.4">
      <c r="A132" s="101" t="s">
        <v>65</v>
      </c>
      <c r="B132" s="102"/>
      <c r="C132" s="103"/>
      <c r="D132" s="103"/>
      <c r="E132" s="103"/>
      <c r="F132" s="104">
        <f>SUM(F121:F131)</f>
        <v>1860785</v>
      </c>
      <c r="G132" s="104">
        <f>SUM(G121:G131)</f>
        <v>2529692</v>
      </c>
      <c r="H132" s="104">
        <f>SUM(H121:H131)</f>
        <v>1999313</v>
      </c>
    </row>
    <row r="133" spans="1:8" ht="21" customHeight="1" thickBot="1" x14ac:dyDescent="0.4">
      <c r="A133" s="101" t="s">
        <v>316</v>
      </c>
      <c r="B133" s="102"/>
      <c r="C133" s="103"/>
      <c r="D133" s="103"/>
      <c r="E133" s="103"/>
      <c r="F133" s="104">
        <f>F101+F53+F119+F67+F132</f>
        <v>26651109</v>
      </c>
      <c r="G133" s="104">
        <f>G101+G53+G119+G67+G132</f>
        <v>28852789</v>
      </c>
      <c r="H133" s="104">
        <f>H101+H53+H119+H67+H132</f>
        <v>28007584</v>
      </c>
    </row>
    <row r="135" spans="1:8" ht="21" customHeight="1" x14ac:dyDescent="0.25">
      <c r="F135" s="48"/>
      <c r="G135" s="48"/>
    </row>
    <row r="136" spans="1:8" ht="21" customHeight="1" x14ac:dyDescent="0.25">
      <c r="F136" s="48"/>
    </row>
  </sheetData>
  <mergeCells count="2">
    <mergeCell ref="A1:E1"/>
    <mergeCell ref="A2:H2"/>
  </mergeCells>
  <phoneticPr fontId="0" type="noConversion"/>
  <printOptions horizontalCentered="1" verticalCentered="1"/>
  <pageMargins left="0.59055118110236227" right="0" top="0" bottom="0" header="0.51181102362204722" footer="0.51181102362204722"/>
  <pageSetup paperSize="9" scale="45" orientation="portrait" r:id="rId1"/>
  <headerFooter alignWithMargins="0">
    <oddHeader xml:space="preserve">&amp;R&amp;"Times New Roman CE,Félkövér"&amp;16
&amp;"-,Félkövér"
3. melléklet a 4/2025. (II.28.) önkormányzati rendelethez&amp;"Times New Roman CE,Félkövér"
</oddHeader>
  </headerFooter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2"/>
  <sheetViews>
    <sheetView zoomScale="60" zoomScaleNormal="60" workbookViewId="0">
      <selection activeCell="B9" sqref="B9"/>
    </sheetView>
  </sheetViews>
  <sheetFormatPr defaultRowHeight="26.45" customHeight="1" x14ac:dyDescent="0.3"/>
  <cols>
    <col min="1" max="1" width="144.1640625" style="597" customWidth="1"/>
    <col min="2" max="2" width="52" style="643" customWidth="1"/>
    <col min="3" max="3" width="43.5" style="643" customWidth="1"/>
    <col min="4" max="4" width="45.33203125" style="643" customWidth="1"/>
    <col min="5" max="5" width="41.33203125" style="643" customWidth="1"/>
    <col min="6" max="6" width="47.33203125" style="643" customWidth="1"/>
    <col min="7" max="7" width="144.1640625" style="597" customWidth="1"/>
    <col min="8" max="8" width="41.33203125" style="643" customWidth="1"/>
    <col min="9" max="9" width="44.83203125" style="643" customWidth="1"/>
    <col min="10" max="10" width="43.6640625" style="643" customWidth="1"/>
    <col min="11" max="11" width="35" style="643" customWidth="1"/>
    <col min="12" max="12" width="45.6640625" style="643" customWidth="1"/>
    <col min="13" max="13" width="44.1640625" style="643" customWidth="1"/>
    <col min="14" max="14" width="45.33203125" style="643" customWidth="1"/>
    <col min="15" max="15" width="45.1640625" style="643" customWidth="1"/>
    <col min="16" max="256" width="9.33203125" style="599"/>
    <col min="257" max="257" width="144.1640625" style="599" customWidth="1"/>
    <col min="258" max="258" width="52" style="599" customWidth="1"/>
    <col min="259" max="259" width="43.5" style="599" customWidth="1"/>
    <col min="260" max="260" width="45.33203125" style="599" customWidth="1"/>
    <col min="261" max="261" width="41.33203125" style="599" customWidth="1"/>
    <col min="262" max="262" width="47.33203125" style="599" customWidth="1"/>
    <col min="263" max="263" width="144.1640625" style="599" customWidth="1"/>
    <col min="264" max="264" width="41.33203125" style="599" customWidth="1"/>
    <col min="265" max="265" width="44.83203125" style="599" customWidth="1"/>
    <col min="266" max="266" width="43.6640625" style="599" customWidth="1"/>
    <col min="267" max="267" width="35" style="599" customWidth="1"/>
    <col min="268" max="268" width="45.6640625" style="599" customWidth="1"/>
    <col min="269" max="269" width="44.1640625" style="599" customWidth="1"/>
    <col min="270" max="270" width="45.33203125" style="599" customWidth="1"/>
    <col min="271" max="271" width="45.1640625" style="599" customWidth="1"/>
    <col min="272" max="512" width="9.33203125" style="599"/>
    <col min="513" max="513" width="144.1640625" style="599" customWidth="1"/>
    <col min="514" max="514" width="52" style="599" customWidth="1"/>
    <col min="515" max="515" width="43.5" style="599" customWidth="1"/>
    <col min="516" max="516" width="45.33203125" style="599" customWidth="1"/>
    <col min="517" max="517" width="41.33203125" style="599" customWidth="1"/>
    <col min="518" max="518" width="47.33203125" style="599" customWidth="1"/>
    <col min="519" max="519" width="144.1640625" style="599" customWidth="1"/>
    <col min="520" max="520" width="41.33203125" style="599" customWidth="1"/>
    <col min="521" max="521" width="44.83203125" style="599" customWidth="1"/>
    <col min="522" max="522" width="43.6640625" style="599" customWidth="1"/>
    <col min="523" max="523" width="35" style="599" customWidth="1"/>
    <col min="524" max="524" width="45.6640625" style="599" customWidth="1"/>
    <col min="525" max="525" width="44.1640625" style="599" customWidth="1"/>
    <col min="526" max="526" width="45.33203125" style="599" customWidth="1"/>
    <col min="527" max="527" width="45.1640625" style="599" customWidth="1"/>
    <col min="528" max="768" width="9.33203125" style="599"/>
    <col min="769" max="769" width="144.1640625" style="599" customWidth="1"/>
    <col min="770" max="770" width="52" style="599" customWidth="1"/>
    <col min="771" max="771" width="43.5" style="599" customWidth="1"/>
    <col min="772" max="772" width="45.33203125" style="599" customWidth="1"/>
    <col min="773" max="773" width="41.33203125" style="599" customWidth="1"/>
    <col min="774" max="774" width="47.33203125" style="599" customWidth="1"/>
    <col min="775" max="775" width="144.1640625" style="599" customWidth="1"/>
    <col min="776" max="776" width="41.33203125" style="599" customWidth="1"/>
    <col min="777" max="777" width="44.83203125" style="599" customWidth="1"/>
    <col min="778" max="778" width="43.6640625" style="599" customWidth="1"/>
    <col min="779" max="779" width="35" style="599" customWidth="1"/>
    <col min="780" max="780" width="45.6640625" style="599" customWidth="1"/>
    <col min="781" max="781" width="44.1640625" style="599" customWidth="1"/>
    <col min="782" max="782" width="45.33203125" style="599" customWidth="1"/>
    <col min="783" max="783" width="45.1640625" style="599" customWidth="1"/>
    <col min="784" max="1024" width="9.33203125" style="599"/>
    <col min="1025" max="1025" width="144.1640625" style="599" customWidth="1"/>
    <col min="1026" max="1026" width="52" style="599" customWidth="1"/>
    <col min="1027" max="1027" width="43.5" style="599" customWidth="1"/>
    <col min="1028" max="1028" width="45.33203125" style="599" customWidth="1"/>
    <col min="1029" max="1029" width="41.33203125" style="599" customWidth="1"/>
    <col min="1030" max="1030" width="47.33203125" style="599" customWidth="1"/>
    <col min="1031" max="1031" width="144.1640625" style="599" customWidth="1"/>
    <col min="1032" max="1032" width="41.33203125" style="599" customWidth="1"/>
    <col min="1033" max="1033" width="44.83203125" style="599" customWidth="1"/>
    <col min="1034" max="1034" width="43.6640625" style="599" customWidth="1"/>
    <col min="1035" max="1035" width="35" style="599" customWidth="1"/>
    <col min="1036" max="1036" width="45.6640625" style="599" customWidth="1"/>
    <col min="1037" max="1037" width="44.1640625" style="599" customWidth="1"/>
    <col min="1038" max="1038" width="45.33203125" style="599" customWidth="1"/>
    <col min="1039" max="1039" width="45.1640625" style="599" customWidth="1"/>
    <col min="1040" max="1280" width="9.33203125" style="599"/>
    <col min="1281" max="1281" width="144.1640625" style="599" customWidth="1"/>
    <col min="1282" max="1282" width="52" style="599" customWidth="1"/>
    <col min="1283" max="1283" width="43.5" style="599" customWidth="1"/>
    <col min="1284" max="1284" width="45.33203125" style="599" customWidth="1"/>
    <col min="1285" max="1285" width="41.33203125" style="599" customWidth="1"/>
    <col min="1286" max="1286" width="47.33203125" style="599" customWidth="1"/>
    <col min="1287" max="1287" width="144.1640625" style="599" customWidth="1"/>
    <col min="1288" max="1288" width="41.33203125" style="599" customWidth="1"/>
    <col min="1289" max="1289" width="44.83203125" style="599" customWidth="1"/>
    <col min="1290" max="1290" width="43.6640625" style="599" customWidth="1"/>
    <col min="1291" max="1291" width="35" style="599" customWidth="1"/>
    <col min="1292" max="1292" width="45.6640625" style="599" customWidth="1"/>
    <col min="1293" max="1293" width="44.1640625" style="599" customWidth="1"/>
    <col min="1294" max="1294" width="45.33203125" style="599" customWidth="1"/>
    <col min="1295" max="1295" width="45.1640625" style="599" customWidth="1"/>
    <col min="1296" max="1536" width="9.33203125" style="599"/>
    <col min="1537" max="1537" width="144.1640625" style="599" customWidth="1"/>
    <col min="1538" max="1538" width="52" style="599" customWidth="1"/>
    <col min="1539" max="1539" width="43.5" style="599" customWidth="1"/>
    <col min="1540" max="1540" width="45.33203125" style="599" customWidth="1"/>
    <col min="1541" max="1541" width="41.33203125" style="599" customWidth="1"/>
    <col min="1542" max="1542" width="47.33203125" style="599" customWidth="1"/>
    <col min="1543" max="1543" width="144.1640625" style="599" customWidth="1"/>
    <col min="1544" max="1544" width="41.33203125" style="599" customWidth="1"/>
    <col min="1545" max="1545" width="44.83203125" style="599" customWidth="1"/>
    <col min="1546" max="1546" width="43.6640625" style="599" customWidth="1"/>
    <col min="1547" max="1547" width="35" style="599" customWidth="1"/>
    <col min="1548" max="1548" width="45.6640625" style="599" customWidth="1"/>
    <col min="1549" max="1549" width="44.1640625" style="599" customWidth="1"/>
    <col min="1550" max="1550" width="45.33203125" style="599" customWidth="1"/>
    <col min="1551" max="1551" width="45.1640625" style="599" customWidth="1"/>
    <col min="1552" max="1792" width="9.33203125" style="599"/>
    <col min="1793" max="1793" width="144.1640625" style="599" customWidth="1"/>
    <col min="1794" max="1794" width="52" style="599" customWidth="1"/>
    <col min="1795" max="1795" width="43.5" style="599" customWidth="1"/>
    <col min="1796" max="1796" width="45.33203125" style="599" customWidth="1"/>
    <col min="1797" max="1797" width="41.33203125" style="599" customWidth="1"/>
    <col min="1798" max="1798" width="47.33203125" style="599" customWidth="1"/>
    <col min="1799" max="1799" width="144.1640625" style="599" customWidth="1"/>
    <col min="1800" max="1800" width="41.33203125" style="599" customWidth="1"/>
    <col min="1801" max="1801" width="44.83203125" style="599" customWidth="1"/>
    <col min="1802" max="1802" width="43.6640625" style="599" customWidth="1"/>
    <col min="1803" max="1803" width="35" style="599" customWidth="1"/>
    <col min="1804" max="1804" width="45.6640625" style="599" customWidth="1"/>
    <col min="1805" max="1805" width="44.1640625" style="599" customWidth="1"/>
    <col min="1806" max="1806" width="45.33203125" style="599" customWidth="1"/>
    <col min="1807" max="1807" width="45.1640625" style="599" customWidth="1"/>
    <col min="1808" max="2048" width="9.33203125" style="599"/>
    <col min="2049" max="2049" width="144.1640625" style="599" customWidth="1"/>
    <col min="2050" max="2050" width="52" style="599" customWidth="1"/>
    <col min="2051" max="2051" width="43.5" style="599" customWidth="1"/>
    <col min="2052" max="2052" width="45.33203125" style="599" customWidth="1"/>
    <col min="2053" max="2053" width="41.33203125" style="599" customWidth="1"/>
    <col min="2054" max="2054" width="47.33203125" style="599" customWidth="1"/>
    <col min="2055" max="2055" width="144.1640625" style="599" customWidth="1"/>
    <col min="2056" max="2056" width="41.33203125" style="599" customWidth="1"/>
    <col min="2057" max="2057" width="44.83203125" style="599" customWidth="1"/>
    <col min="2058" max="2058" width="43.6640625" style="599" customWidth="1"/>
    <col min="2059" max="2059" width="35" style="599" customWidth="1"/>
    <col min="2060" max="2060" width="45.6640625" style="599" customWidth="1"/>
    <col min="2061" max="2061" width="44.1640625" style="599" customWidth="1"/>
    <col min="2062" max="2062" width="45.33203125" style="599" customWidth="1"/>
    <col min="2063" max="2063" width="45.1640625" style="599" customWidth="1"/>
    <col min="2064" max="2304" width="9.33203125" style="599"/>
    <col min="2305" max="2305" width="144.1640625" style="599" customWidth="1"/>
    <col min="2306" max="2306" width="52" style="599" customWidth="1"/>
    <col min="2307" max="2307" width="43.5" style="599" customWidth="1"/>
    <col min="2308" max="2308" width="45.33203125" style="599" customWidth="1"/>
    <col min="2309" max="2309" width="41.33203125" style="599" customWidth="1"/>
    <col min="2310" max="2310" width="47.33203125" style="599" customWidth="1"/>
    <col min="2311" max="2311" width="144.1640625" style="599" customWidth="1"/>
    <col min="2312" max="2312" width="41.33203125" style="599" customWidth="1"/>
    <col min="2313" max="2313" width="44.83203125" style="599" customWidth="1"/>
    <col min="2314" max="2314" width="43.6640625" style="599" customWidth="1"/>
    <col min="2315" max="2315" width="35" style="599" customWidth="1"/>
    <col min="2316" max="2316" width="45.6640625" style="599" customWidth="1"/>
    <col min="2317" max="2317" width="44.1640625" style="599" customWidth="1"/>
    <col min="2318" max="2318" width="45.33203125" style="599" customWidth="1"/>
    <col min="2319" max="2319" width="45.1640625" style="599" customWidth="1"/>
    <col min="2320" max="2560" width="9.33203125" style="599"/>
    <col min="2561" max="2561" width="144.1640625" style="599" customWidth="1"/>
    <col min="2562" max="2562" width="52" style="599" customWidth="1"/>
    <col min="2563" max="2563" width="43.5" style="599" customWidth="1"/>
    <col min="2564" max="2564" width="45.33203125" style="599" customWidth="1"/>
    <col min="2565" max="2565" width="41.33203125" style="599" customWidth="1"/>
    <col min="2566" max="2566" width="47.33203125" style="599" customWidth="1"/>
    <col min="2567" max="2567" width="144.1640625" style="599" customWidth="1"/>
    <col min="2568" max="2568" width="41.33203125" style="599" customWidth="1"/>
    <col min="2569" max="2569" width="44.83203125" style="599" customWidth="1"/>
    <col min="2570" max="2570" width="43.6640625" style="599" customWidth="1"/>
    <col min="2571" max="2571" width="35" style="599" customWidth="1"/>
    <col min="2572" max="2572" width="45.6640625" style="599" customWidth="1"/>
    <col min="2573" max="2573" width="44.1640625" style="599" customWidth="1"/>
    <col min="2574" max="2574" width="45.33203125" style="599" customWidth="1"/>
    <col min="2575" max="2575" width="45.1640625" style="599" customWidth="1"/>
    <col min="2576" max="2816" width="9.33203125" style="599"/>
    <col min="2817" max="2817" width="144.1640625" style="599" customWidth="1"/>
    <col min="2818" max="2818" width="52" style="599" customWidth="1"/>
    <col min="2819" max="2819" width="43.5" style="599" customWidth="1"/>
    <col min="2820" max="2820" width="45.33203125" style="599" customWidth="1"/>
    <col min="2821" max="2821" width="41.33203125" style="599" customWidth="1"/>
    <col min="2822" max="2822" width="47.33203125" style="599" customWidth="1"/>
    <col min="2823" max="2823" width="144.1640625" style="599" customWidth="1"/>
    <col min="2824" max="2824" width="41.33203125" style="599" customWidth="1"/>
    <col min="2825" max="2825" width="44.83203125" style="599" customWidth="1"/>
    <col min="2826" max="2826" width="43.6640625" style="599" customWidth="1"/>
    <col min="2827" max="2827" width="35" style="599" customWidth="1"/>
    <col min="2828" max="2828" width="45.6640625" style="599" customWidth="1"/>
    <col min="2829" max="2829" width="44.1640625" style="599" customWidth="1"/>
    <col min="2830" max="2830" width="45.33203125" style="599" customWidth="1"/>
    <col min="2831" max="2831" width="45.1640625" style="599" customWidth="1"/>
    <col min="2832" max="3072" width="9.33203125" style="599"/>
    <col min="3073" max="3073" width="144.1640625" style="599" customWidth="1"/>
    <col min="3074" max="3074" width="52" style="599" customWidth="1"/>
    <col min="3075" max="3075" width="43.5" style="599" customWidth="1"/>
    <col min="3076" max="3076" width="45.33203125" style="599" customWidth="1"/>
    <col min="3077" max="3077" width="41.33203125" style="599" customWidth="1"/>
    <col min="3078" max="3078" width="47.33203125" style="599" customWidth="1"/>
    <col min="3079" max="3079" width="144.1640625" style="599" customWidth="1"/>
    <col min="3080" max="3080" width="41.33203125" style="599" customWidth="1"/>
    <col min="3081" max="3081" width="44.83203125" style="599" customWidth="1"/>
    <col min="3082" max="3082" width="43.6640625" style="599" customWidth="1"/>
    <col min="3083" max="3083" width="35" style="599" customWidth="1"/>
    <col min="3084" max="3084" width="45.6640625" style="599" customWidth="1"/>
    <col min="3085" max="3085" width="44.1640625" style="599" customWidth="1"/>
    <col min="3086" max="3086" width="45.33203125" style="599" customWidth="1"/>
    <col min="3087" max="3087" width="45.1640625" style="599" customWidth="1"/>
    <col min="3088" max="3328" width="9.33203125" style="599"/>
    <col min="3329" max="3329" width="144.1640625" style="599" customWidth="1"/>
    <col min="3330" max="3330" width="52" style="599" customWidth="1"/>
    <col min="3331" max="3331" width="43.5" style="599" customWidth="1"/>
    <col min="3332" max="3332" width="45.33203125" style="599" customWidth="1"/>
    <col min="3333" max="3333" width="41.33203125" style="599" customWidth="1"/>
    <col min="3334" max="3334" width="47.33203125" style="599" customWidth="1"/>
    <col min="3335" max="3335" width="144.1640625" style="599" customWidth="1"/>
    <col min="3336" max="3336" width="41.33203125" style="599" customWidth="1"/>
    <col min="3337" max="3337" width="44.83203125" style="599" customWidth="1"/>
    <col min="3338" max="3338" width="43.6640625" style="599" customWidth="1"/>
    <col min="3339" max="3339" width="35" style="599" customWidth="1"/>
    <col min="3340" max="3340" width="45.6640625" style="599" customWidth="1"/>
    <col min="3341" max="3341" width="44.1640625" style="599" customWidth="1"/>
    <col min="3342" max="3342" width="45.33203125" style="599" customWidth="1"/>
    <col min="3343" max="3343" width="45.1640625" style="599" customWidth="1"/>
    <col min="3344" max="3584" width="9.33203125" style="599"/>
    <col min="3585" max="3585" width="144.1640625" style="599" customWidth="1"/>
    <col min="3586" max="3586" width="52" style="599" customWidth="1"/>
    <col min="3587" max="3587" width="43.5" style="599" customWidth="1"/>
    <col min="3588" max="3588" width="45.33203125" style="599" customWidth="1"/>
    <col min="3589" max="3589" width="41.33203125" style="599" customWidth="1"/>
    <col min="3590" max="3590" width="47.33203125" style="599" customWidth="1"/>
    <col min="3591" max="3591" width="144.1640625" style="599" customWidth="1"/>
    <col min="3592" max="3592" width="41.33203125" style="599" customWidth="1"/>
    <col min="3593" max="3593" width="44.83203125" style="599" customWidth="1"/>
    <col min="3594" max="3594" width="43.6640625" style="599" customWidth="1"/>
    <col min="3595" max="3595" width="35" style="599" customWidth="1"/>
    <col min="3596" max="3596" width="45.6640625" style="599" customWidth="1"/>
    <col min="3597" max="3597" width="44.1640625" style="599" customWidth="1"/>
    <col min="3598" max="3598" width="45.33203125" style="599" customWidth="1"/>
    <col min="3599" max="3599" width="45.1640625" style="599" customWidth="1"/>
    <col min="3600" max="3840" width="9.33203125" style="599"/>
    <col min="3841" max="3841" width="144.1640625" style="599" customWidth="1"/>
    <col min="3842" max="3842" width="52" style="599" customWidth="1"/>
    <col min="3843" max="3843" width="43.5" style="599" customWidth="1"/>
    <col min="3844" max="3844" width="45.33203125" style="599" customWidth="1"/>
    <col min="3845" max="3845" width="41.33203125" style="599" customWidth="1"/>
    <col min="3846" max="3846" width="47.33203125" style="599" customWidth="1"/>
    <col min="3847" max="3847" width="144.1640625" style="599" customWidth="1"/>
    <col min="3848" max="3848" width="41.33203125" style="599" customWidth="1"/>
    <col min="3849" max="3849" width="44.83203125" style="599" customWidth="1"/>
    <col min="3850" max="3850" width="43.6640625" style="599" customWidth="1"/>
    <col min="3851" max="3851" width="35" style="599" customWidth="1"/>
    <col min="3852" max="3852" width="45.6640625" style="599" customWidth="1"/>
    <col min="3853" max="3853" width="44.1640625" style="599" customWidth="1"/>
    <col min="3854" max="3854" width="45.33203125" style="599" customWidth="1"/>
    <col min="3855" max="3855" width="45.1640625" style="599" customWidth="1"/>
    <col min="3856" max="4096" width="9.33203125" style="599"/>
    <col min="4097" max="4097" width="144.1640625" style="599" customWidth="1"/>
    <col min="4098" max="4098" width="52" style="599" customWidth="1"/>
    <col min="4099" max="4099" width="43.5" style="599" customWidth="1"/>
    <col min="4100" max="4100" width="45.33203125" style="599" customWidth="1"/>
    <col min="4101" max="4101" width="41.33203125" style="599" customWidth="1"/>
    <col min="4102" max="4102" width="47.33203125" style="599" customWidth="1"/>
    <col min="4103" max="4103" width="144.1640625" style="599" customWidth="1"/>
    <col min="4104" max="4104" width="41.33203125" style="599" customWidth="1"/>
    <col min="4105" max="4105" width="44.83203125" style="599" customWidth="1"/>
    <col min="4106" max="4106" width="43.6640625" style="599" customWidth="1"/>
    <col min="4107" max="4107" width="35" style="599" customWidth="1"/>
    <col min="4108" max="4108" width="45.6640625" style="599" customWidth="1"/>
    <col min="4109" max="4109" width="44.1640625" style="599" customWidth="1"/>
    <col min="4110" max="4110" width="45.33203125" style="599" customWidth="1"/>
    <col min="4111" max="4111" width="45.1640625" style="599" customWidth="1"/>
    <col min="4112" max="4352" width="9.33203125" style="599"/>
    <col min="4353" max="4353" width="144.1640625" style="599" customWidth="1"/>
    <col min="4354" max="4354" width="52" style="599" customWidth="1"/>
    <col min="4355" max="4355" width="43.5" style="599" customWidth="1"/>
    <col min="4356" max="4356" width="45.33203125" style="599" customWidth="1"/>
    <col min="4357" max="4357" width="41.33203125" style="599" customWidth="1"/>
    <col min="4358" max="4358" width="47.33203125" style="599" customWidth="1"/>
    <col min="4359" max="4359" width="144.1640625" style="599" customWidth="1"/>
    <col min="4360" max="4360" width="41.33203125" style="599" customWidth="1"/>
    <col min="4361" max="4361" width="44.83203125" style="599" customWidth="1"/>
    <col min="4362" max="4362" width="43.6640625" style="599" customWidth="1"/>
    <col min="4363" max="4363" width="35" style="599" customWidth="1"/>
    <col min="4364" max="4364" width="45.6640625" style="599" customWidth="1"/>
    <col min="4365" max="4365" width="44.1640625" style="599" customWidth="1"/>
    <col min="4366" max="4366" width="45.33203125" style="599" customWidth="1"/>
    <col min="4367" max="4367" width="45.1640625" style="599" customWidth="1"/>
    <col min="4368" max="4608" width="9.33203125" style="599"/>
    <col min="4609" max="4609" width="144.1640625" style="599" customWidth="1"/>
    <col min="4610" max="4610" width="52" style="599" customWidth="1"/>
    <col min="4611" max="4611" width="43.5" style="599" customWidth="1"/>
    <col min="4612" max="4612" width="45.33203125" style="599" customWidth="1"/>
    <col min="4613" max="4613" width="41.33203125" style="599" customWidth="1"/>
    <col min="4614" max="4614" width="47.33203125" style="599" customWidth="1"/>
    <col min="4615" max="4615" width="144.1640625" style="599" customWidth="1"/>
    <col min="4616" max="4616" width="41.33203125" style="599" customWidth="1"/>
    <col min="4617" max="4617" width="44.83203125" style="599" customWidth="1"/>
    <col min="4618" max="4618" width="43.6640625" style="599" customWidth="1"/>
    <col min="4619" max="4619" width="35" style="599" customWidth="1"/>
    <col min="4620" max="4620" width="45.6640625" style="599" customWidth="1"/>
    <col min="4621" max="4621" width="44.1640625" style="599" customWidth="1"/>
    <col min="4622" max="4622" width="45.33203125" style="599" customWidth="1"/>
    <col min="4623" max="4623" width="45.1640625" style="599" customWidth="1"/>
    <col min="4624" max="4864" width="9.33203125" style="599"/>
    <col min="4865" max="4865" width="144.1640625" style="599" customWidth="1"/>
    <col min="4866" max="4866" width="52" style="599" customWidth="1"/>
    <col min="4867" max="4867" width="43.5" style="599" customWidth="1"/>
    <col min="4868" max="4868" width="45.33203125" style="599" customWidth="1"/>
    <col min="4869" max="4869" width="41.33203125" style="599" customWidth="1"/>
    <col min="4870" max="4870" width="47.33203125" style="599" customWidth="1"/>
    <col min="4871" max="4871" width="144.1640625" style="599" customWidth="1"/>
    <col min="4872" max="4872" width="41.33203125" style="599" customWidth="1"/>
    <col min="4873" max="4873" width="44.83203125" style="599" customWidth="1"/>
    <col min="4874" max="4874" width="43.6640625" style="599" customWidth="1"/>
    <col min="4875" max="4875" width="35" style="599" customWidth="1"/>
    <col min="4876" max="4876" width="45.6640625" style="599" customWidth="1"/>
    <col min="4877" max="4877" width="44.1640625" style="599" customWidth="1"/>
    <col min="4878" max="4878" width="45.33203125" style="599" customWidth="1"/>
    <col min="4879" max="4879" width="45.1640625" style="599" customWidth="1"/>
    <col min="4880" max="5120" width="9.33203125" style="599"/>
    <col min="5121" max="5121" width="144.1640625" style="599" customWidth="1"/>
    <col min="5122" max="5122" width="52" style="599" customWidth="1"/>
    <col min="5123" max="5123" width="43.5" style="599" customWidth="1"/>
    <col min="5124" max="5124" width="45.33203125" style="599" customWidth="1"/>
    <col min="5125" max="5125" width="41.33203125" style="599" customWidth="1"/>
    <col min="5126" max="5126" width="47.33203125" style="599" customWidth="1"/>
    <col min="5127" max="5127" width="144.1640625" style="599" customWidth="1"/>
    <col min="5128" max="5128" width="41.33203125" style="599" customWidth="1"/>
    <col min="5129" max="5129" width="44.83203125" style="599" customWidth="1"/>
    <col min="5130" max="5130" width="43.6640625" style="599" customWidth="1"/>
    <col min="5131" max="5131" width="35" style="599" customWidth="1"/>
    <col min="5132" max="5132" width="45.6640625" style="599" customWidth="1"/>
    <col min="5133" max="5133" width="44.1640625" style="599" customWidth="1"/>
    <col min="5134" max="5134" width="45.33203125" style="599" customWidth="1"/>
    <col min="5135" max="5135" width="45.1640625" style="599" customWidth="1"/>
    <col min="5136" max="5376" width="9.33203125" style="599"/>
    <col min="5377" max="5377" width="144.1640625" style="599" customWidth="1"/>
    <col min="5378" max="5378" width="52" style="599" customWidth="1"/>
    <col min="5379" max="5379" width="43.5" style="599" customWidth="1"/>
    <col min="5380" max="5380" width="45.33203125" style="599" customWidth="1"/>
    <col min="5381" max="5381" width="41.33203125" style="599" customWidth="1"/>
    <col min="5382" max="5382" width="47.33203125" style="599" customWidth="1"/>
    <col min="5383" max="5383" width="144.1640625" style="599" customWidth="1"/>
    <col min="5384" max="5384" width="41.33203125" style="599" customWidth="1"/>
    <col min="5385" max="5385" width="44.83203125" style="599" customWidth="1"/>
    <col min="5386" max="5386" width="43.6640625" style="599" customWidth="1"/>
    <col min="5387" max="5387" width="35" style="599" customWidth="1"/>
    <col min="5388" max="5388" width="45.6640625" style="599" customWidth="1"/>
    <col min="5389" max="5389" width="44.1640625" style="599" customWidth="1"/>
    <col min="5390" max="5390" width="45.33203125" style="599" customWidth="1"/>
    <col min="5391" max="5391" width="45.1640625" style="599" customWidth="1"/>
    <col min="5392" max="5632" width="9.33203125" style="599"/>
    <col min="5633" max="5633" width="144.1640625" style="599" customWidth="1"/>
    <col min="5634" max="5634" width="52" style="599" customWidth="1"/>
    <col min="5635" max="5635" width="43.5" style="599" customWidth="1"/>
    <col min="5636" max="5636" width="45.33203125" style="599" customWidth="1"/>
    <col min="5637" max="5637" width="41.33203125" style="599" customWidth="1"/>
    <col min="5638" max="5638" width="47.33203125" style="599" customWidth="1"/>
    <col min="5639" max="5639" width="144.1640625" style="599" customWidth="1"/>
    <col min="5640" max="5640" width="41.33203125" style="599" customWidth="1"/>
    <col min="5641" max="5641" width="44.83203125" style="599" customWidth="1"/>
    <col min="5642" max="5642" width="43.6640625" style="599" customWidth="1"/>
    <col min="5643" max="5643" width="35" style="599" customWidth="1"/>
    <col min="5644" max="5644" width="45.6640625" style="599" customWidth="1"/>
    <col min="5645" max="5645" width="44.1640625" style="599" customWidth="1"/>
    <col min="5646" max="5646" width="45.33203125" style="599" customWidth="1"/>
    <col min="5647" max="5647" width="45.1640625" style="599" customWidth="1"/>
    <col min="5648" max="5888" width="9.33203125" style="599"/>
    <col min="5889" max="5889" width="144.1640625" style="599" customWidth="1"/>
    <col min="5890" max="5890" width="52" style="599" customWidth="1"/>
    <col min="5891" max="5891" width="43.5" style="599" customWidth="1"/>
    <col min="5892" max="5892" width="45.33203125" style="599" customWidth="1"/>
    <col min="5893" max="5893" width="41.33203125" style="599" customWidth="1"/>
    <col min="5894" max="5894" width="47.33203125" style="599" customWidth="1"/>
    <col min="5895" max="5895" width="144.1640625" style="599" customWidth="1"/>
    <col min="5896" max="5896" width="41.33203125" style="599" customWidth="1"/>
    <col min="5897" max="5897" width="44.83203125" style="599" customWidth="1"/>
    <col min="5898" max="5898" width="43.6640625" style="599" customWidth="1"/>
    <col min="5899" max="5899" width="35" style="599" customWidth="1"/>
    <col min="5900" max="5900" width="45.6640625" style="599" customWidth="1"/>
    <col min="5901" max="5901" width="44.1640625" style="599" customWidth="1"/>
    <col min="5902" max="5902" width="45.33203125" style="599" customWidth="1"/>
    <col min="5903" max="5903" width="45.1640625" style="599" customWidth="1"/>
    <col min="5904" max="6144" width="9.33203125" style="599"/>
    <col min="6145" max="6145" width="144.1640625" style="599" customWidth="1"/>
    <col min="6146" max="6146" width="52" style="599" customWidth="1"/>
    <col min="6147" max="6147" width="43.5" style="599" customWidth="1"/>
    <col min="6148" max="6148" width="45.33203125" style="599" customWidth="1"/>
    <col min="6149" max="6149" width="41.33203125" style="599" customWidth="1"/>
    <col min="6150" max="6150" width="47.33203125" style="599" customWidth="1"/>
    <col min="6151" max="6151" width="144.1640625" style="599" customWidth="1"/>
    <col min="6152" max="6152" width="41.33203125" style="599" customWidth="1"/>
    <col min="6153" max="6153" width="44.83203125" style="599" customWidth="1"/>
    <col min="6154" max="6154" width="43.6640625" style="599" customWidth="1"/>
    <col min="6155" max="6155" width="35" style="599" customWidth="1"/>
    <col min="6156" max="6156" width="45.6640625" style="599" customWidth="1"/>
    <col min="6157" max="6157" width="44.1640625" style="599" customWidth="1"/>
    <col min="6158" max="6158" width="45.33203125" style="599" customWidth="1"/>
    <col min="6159" max="6159" width="45.1640625" style="599" customWidth="1"/>
    <col min="6160" max="6400" width="9.33203125" style="599"/>
    <col min="6401" max="6401" width="144.1640625" style="599" customWidth="1"/>
    <col min="6402" max="6402" width="52" style="599" customWidth="1"/>
    <col min="6403" max="6403" width="43.5" style="599" customWidth="1"/>
    <col min="6404" max="6404" width="45.33203125" style="599" customWidth="1"/>
    <col min="6405" max="6405" width="41.33203125" style="599" customWidth="1"/>
    <col min="6406" max="6406" width="47.33203125" style="599" customWidth="1"/>
    <col min="6407" max="6407" width="144.1640625" style="599" customWidth="1"/>
    <col min="6408" max="6408" width="41.33203125" style="599" customWidth="1"/>
    <col min="6409" max="6409" width="44.83203125" style="599" customWidth="1"/>
    <col min="6410" max="6410" width="43.6640625" style="599" customWidth="1"/>
    <col min="6411" max="6411" width="35" style="599" customWidth="1"/>
    <col min="6412" max="6412" width="45.6640625" style="599" customWidth="1"/>
    <col min="6413" max="6413" width="44.1640625" style="599" customWidth="1"/>
    <col min="6414" max="6414" width="45.33203125" style="599" customWidth="1"/>
    <col min="6415" max="6415" width="45.1640625" style="599" customWidth="1"/>
    <col min="6416" max="6656" width="9.33203125" style="599"/>
    <col min="6657" max="6657" width="144.1640625" style="599" customWidth="1"/>
    <col min="6658" max="6658" width="52" style="599" customWidth="1"/>
    <col min="6659" max="6659" width="43.5" style="599" customWidth="1"/>
    <col min="6660" max="6660" width="45.33203125" style="599" customWidth="1"/>
    <col min="6661" max="6661" width="41.33203125" style="599" customWidth="1"/>
    <col min="6662" max="6662" width="47.33203125" style="599" customWidth="1"/>
    <col min="6663" max="6663" width="144.1640625" style="599" customWidth="1"/>
    <col min="6664" max="6664" width="41.33203125" style="599" customWidth="1"/>
    <col min="6665" max="6665" width="44.83203125" style="599" customWidth="1"/>
    <col min="6666" max="6666" width="43.6640625" style="599" customWidth="1"/>
    <col min="6667" max="6667" width="35" style="599" customWidth="1"/>
    <col min="6668" max="6668" width="45.6640625" style="599" customWidth="1"/>
    <col min="6669" max="6669" width="44.1640625" style="599" customWidth="1"/>
    <col min="6670" max="6670" width="45.33203125" style="599" customWidth="1"/>
    <col min="6671" max="6671" width="45.1640625" style="599" customWidth="1"/>
    <col min="6672" max="6912" width="9.33203125" style="599"/>
    <col min="6913" max="6913" width="144.1640625" style="599" customWidth="1"/>
    <col min="6914" max="6914" width="52" style="599" customWidth="1"/>
    <col min="6915" max="6915" width="43.5" style="599" customWidth="1"/>
    <col min="6916" max="6916" width="45.33203125" style="599" customWidth="1"/>
    <col min="6917" max="6917" width="41.33203125" style="599" customWidth="1"/>
    <col min="6918" max="6918" width="47.33203125" style="599" customWidth="1"/>
    <col min="6919" max="6919" width="144.1640625" style="599" customWidth="1"/>
    <col min="6920" max="6920" width="41.33203125" style="599" customWidth="1"/>
    <col min="6921" max="6921" width="44.83203125" style="599" customWidth="1"/>
    <col min="6922" max="6922" width="43.6640625" style="599" customWidth="1"/>
    <col min="6923" max="6923" width="35" style="599" customWidth="1"/>
    <col min="6924" max="6924" width="45.6640625" style="599" customWidth="1"/>
    <col min="6925" max="6925" width="44.1640625" style="599" customWidth="1"/>
    <col min="6926" max="6926" width="45.33203125" style="599" customWidth="1"/>
    <col min="6927" max="6927" width="45.1640625" style="599" customWidth="1"/>
    <col min="6928" max="7168" width="9.33203125" style="599"/>
    <col min="7169" max="7169" width="144.1640625" style="599" customWidth="1"/>
    <col min="7170" max="7170" width="52" style="599" customWidth="1"/>
    <col min="7171" max="7171" width="43.5" style="599" customWidth="1"/>
    <col min="7172" max="7172" width="45.33203125" style="599" customWidth="1"/>
    <col min="7173" max="7173" width="41.33203125" style="599" customWidth="1"/>
    <col min="7174" max="7174" width="47.33203125" style="599" customWidth="1"/>
    <col min="7175" max="7175" width="144.1640625" style="599" customWidth="1"/>
    <col min="7176" max="7176" width="41.33203125" style="599" customWidth="1"/>
    <col min="7177" max="7177" width="44.83203125" style="599" customWidth="1"/>
    <col min="7178" max="7178" width="43.6640625" style="599" customWidth="1"/>
    <col min="7179" max="7179" width="35" style="599" customWidth="1"/>
    <col min="7180" max="7180" width="45.6640625" style="599" customWidth="1"/>
    <col min="7181" max="7181" width="44.1640625" style="599" customWidth="1"/>
    <col min="7182" max="7182" width="45.33203125" style="599" customWidth="1"/>
    <col min="7183" max="7183" width="45.1640625" style="599" customWidth="1"/>
    <col min="7184" max="7424" width="9.33203125" style="599"/>
    <col min="7425" max="7425" width="144.1640625" style="599" customWidth="1"/>
    <col min="7426" max="7426" width="52" style="599" customWidth="1"/>
    <col min="7427" max="7427" width="43.5" style="599" customWidth="1"/>
    <col min="7428" max="7428" width="45.33203125" style="599" customWidth="1"/>
    <col min="7429" max="7429" width="41.33203125" style="599" customWidth="1"/>
    <col min="7430" max="7430" width="47.33203125" style="599" customWidth="1"/>
    <col min="7431" max="7431" width="144.1640625" style="599" customWidth="1"/>
    <col min="7432" max="7432" width="41.33203125" style="599" customWidth="1"/>
    <col min="7433" max="7433" width="44.83203125" style="599" customWidth="1"/>
    <col min="7434" max="7434" width="43.6640625" style="599" customWidth="1"/>
    <col min="7435" max="7435" width="35" style="599" customWidth="1"/>
    <col min="7436" max="7436" width="45.6640625" style="599" customWidth="1"/>
    <col min="7437" max="7437" width="44.1640625" style="599" customWidth="1"/>
    <col min="7438" max="7438" width="45.33203125" style="599" customWidth="1"/>
    <col min="7439" max="7439" width="45.1640625" style="599" customWidth="1"/>
    <col min="7440" max="7680" width="9.33203125" style="599"/>
    <col min="7681" max="7681" width="144.1640625" style="599" customWidth="1"/>
    <col min="7682" max="7682" width="52" style="599" customWidth="1"/>
    <col min="7683" max="7683" width="43.5" style="599" customWidth="1"/>
    <col min="7684" max="7684" width="45.33203125" style="599" customWidth="1"/>
    <col min="7685" max="7685" width="41.33203125" style="599" customWidth="1"/>
    <col min="7686" max="7686" width="47.33203125" style="599" customWidth="1"/>
    <col min="7687" max="7687" width="144.1640625" style="599" customWidth="1"/>
    <col min="7688" max="7688" width="41.33203125" style="599" customWidth="1"/>
    <col min="7689" max="7689" width="44.83203125" style="599" customWidth="1"/>
    <col min="7690" max="7690" width="43.6640625" style="599" customWidth="1"/>
    <col min="7691" max="7691" width="35" style="599" customWidth="1"/>
    <col min="7692" max="7692" width="45.6640625" style="599" customWidth="1"/>
    <col min="7693" max="7693" width="44.1640625" style="599" customWidth="1"/>
    <col min="7694" max="7694" width="45.33203125" style="599" customWidth="1"/>
    <col min="7695" max="7695" width="45.1640625" style="599" customWidth="1"/>
    <col min="7696" max="7936" width="9.33203125" style="599"/>
    <col min="7937" max="7937" width="144.1640625" style="599" customWidth="1"/>
    <col min="7938" max="7938" width="52" style="599" customWidth="1"/>
    <col min="7939" max="7939" width="43.5" style="599" customWidth="1"/>
    <col min="7940" max="7940" width="45.33203125" style="599" customWidth="1"/>
    <col min="7941" max="7941" width="41.33203125" style="599" customWidth="1"/>
    <col min="7942" max="7942" width="47.33203125" style="599" customWidth="1"/>
    <col min="7943" max="7943" width="144.1640625" style="599" customWidth="1"/>
    <col min="7944" max="7944" width="41.33203125" style="599" customWidth="1"/>
    <col min="7945" max="7945" width="44.83203125" style="599" customWidth="1"/>
    <col min="7946" max="7946" width="43.6640625" style="599" customWidth="1"/>
    <col min="7947" max="7947" width="35" style="599" customWidth="1"/>
    <col min="7948" max="7948" width="45.6640625" style="599" customWidth="1"/>
    <col min="7949" max="7949" width="44.1640625" style="599" customWidth="1"/>
    <col min="7950" max="7950" width="45.33203125" style="599" customWidth="1"/>
    <col min="7951" max="7951" width="45.1640625" style="599" customWidth="1"/>
    <col min="7952" max="8192" width="9.33203125" style="599"/>
    <col min="8193" max="8193" width="144.1640625" style="599" customWidth="1"/>
    <col min="8194" max="8194" width="52" style="599" customWidth="1"/>
    <col min="8195" max="8195" width="43.5" style="599" customWidth="1"/>
    <col min="8196" max="8196" width="45.33203125" style="599" customWidth="1"/>
    <col min="8197" max="8197" width="41.33203125" style="599" customWidth="1"/>
    <col min="8198" max="8198" width="47.33203125" style="599" customWidth="1"/>
    <col min="8199" max="8199" width="144.1640625" style="599" customWidth="1"/>
    <col min="8200" max="8200" width="41.33203125" style="599" customWidth="1"/>
    <col min="8201" max="8201" width="44.83203125" style="599" customWidth="1"/>
    <col min="8202" max="8202" width="43.6640625" style="599" customWidth="1"/>
    <col min="8203" max="8203" width="35" style="599" customWidth="1"/>
    <col min="8204" max="8204" width="45.6640625" style="599" customWidth="1"/>
    <col min="8205" max="8205" width="44.1640625" style="599" customWidth="1"/>
    <col min="8206" max="8206" width="45.33203125" style="599" customWidth="1"/>
    <col min="8207" max="8207" width="45.1640625" style="599" customWidth="1"/>
    <col min="8208" max="8448" width="9.33203125" style="599"/>
    <col min="8449" max="8449" width="144.1640625" style="599" customWidth="1"/>
    <col min="8450" max="8450" width="52" style="599" customWidth="1"/>
    <col min="8451" max="8451" width="43.5" style="599" customWidth="1"/>
    <col min="8452" max="8452" width="45.33203125" style="599" customWidth="1"/>
    <col min="8453" max="8453" width="41.33203125" style="599" customWidth="1"/>
    <col min="8454" max="8454" width="47.33203125" style="599" customWidth="1"/>
    <col min="8455" max="8455" width="144.1640625" style="599" customWidth="1"/>
    <col min="8456" max="8456" width="41.33203125" style="599" customWidth="1"/>
    <col min="8457" max="8457" width="44.83203125" style="599" customWidth="1"/>
    <col min="8458" max="8458" width="43.6640625" style="599" customWidth="1"/>
    <col min="8459" max="8459" width="35" style="599" customWidth="1"/>
    <col min="8460" max="8460" width="45.6640625" style="599" customWidth="1"/>
    <col min="8461" max="8461" width="44.1640625" style="599" customWidth="1"/>
    <col min="8462" max="8462" width="45.33203125" style="599" customWidth="1"/>
    <col min="8463" max="8463" width="45.1640625" style="599" customWidth="1"/>
    <col min="8464" max="8704" width="9.33203125" style="599"/>
    <col min="8705" max="8705" width="144.1640625" style="599" customWidth="1"/>
    <col min="8706" max="8706" width="52" style="599" customWidth="1"/>
    <col min="8707" max="8707" width="43.5" style="599" customWidth="1"/>
    <col min="8708" max="8708" width="45.33203125" style="599" customWidth="1"/>
    <col min="8709" max="8709" width="41.33203125" style="599" customWidth="1"/>
    <col min="8710" max="8710" width="47.33203125" style="599" customWidth="1"/>
    <col min="8711" max="8711" width="144.1640625" style="599" customWidth="1"/>
    <col min="8712" max="8712" width="41.33203125" style="599" customWidth="1"/>
    <col min="8713" max="8713" width="44.83203125" style="599" customWidth="1"/>
    <col min="8714" max="8714" width="43.6640625" style="599" customWidth="1"/>
    <col min="8715" max="8715" width="35" style="599" customWidth="1"/>
    <col min="8716" max="8716" width="45.6640625" style="599" customWidth="1"/>
    <col min="8717" max="8717" width="44.1640625" style="599" customWidth="1"/>
    <col min="8718" max="8718" width="45.33203125" style="599" customWidth="1"/>
    <col min="8719" max="8719" width="45.1640625" style="599" customWidth="1"/>
    <col min="8720" max="8960" width="9.33203125" style="599"/>
    <col min="8961" max="8961" width="144.1640625" style="599" customWidth="1"/>
    <col min="8962" max="8962" width="52" style="599" customWidth="1"/>
    <col min="8963" max="8963" width="43.5" style="599" customWidth="1"/>
    <col min="8964" max="8964" width="45.33203125" style="599" customWidth="1"/>
    <col min="8965" max="8965" width="41.33203125" style="599" customWidth="1"/>
    <col min="8966" max="8966" width="47.33203125" style="599" customWidth="1"/>
    <col min="8967" max="8967" width="144.1640625" style="599" customWidth="1"/>
    <col min="8968" max="8968" width="41.33203125" style="599" customWidth="1"/>
    <col min="8969" max="8969" width="44.83203125" style="599" customWidth="1"/>
    <col min="8970" max="8970" width="43.6640625" style="599" customWidth="1"/>
    <col min="8971" max="8971" width="35" style="599" customWidth="1"/>
    <col min="8972" max="8972" width="45.6640625" style="599" customWidth="1"/>
    <col min="8973" max="8973" width="44.1640625" style="599" customWidth="1"/>
    <col min="8974" max="8974" width="45.33203125" style="599" customWidth="1"/>
    <col min="8975" max="8975" width="45.1640625" style="599" customWidth="1"/>
    <col min="8976" max="9216" width="9.33203125" style="599"/>
    <col min="9217" max="9217" width="144.1640625" style="599" customWidth="1"/>
    <col min="9218" max="9218" width="52" style="599" customWidth="1"/>
    <col min="9219" max="9219" width="43.5" style="599" customWidth="1"/>
    <col min="9220" max="9220" width="45.33203125" style="599" customWidth="1"/>
    <col min="9221" max="9221" width="41.33203125" style="599" customWidth="1"/>
    <col min="9222" max="9222" width="47.33203125" style="599" customWidth="1"/>
    <col min="9223" max="9223" width="144.1640625" style="599" customWidth="1"/>
    <col min="9224" max="9224" width="41.33203125" style="599" customWidth="1"/>
    <col min="9225" max="9225" width="44.83203125" style="599" customWidth="1"/>
    <col min="9226" max="9226" width="43.6640625" style="599" customWidth="1"/>
    <col min="9227" max="9227" width="35" style="599" customWidth="1"/>
    <col min="9228" max="9228" width="45.6640625" style="599" customWidth="1"/>
    <col min="9229" max="9229" width="44.1640625" style="599" customWidth="1"/>
    <col min="9230" max="9230" width="45.33203125" style="599" customWidth="1"/>
    <col min="9231" max="9231" width="45.1640625" style="599" customWidth="1"/>
    <col min="9232" max="9472" width="9.33203125" style="599"/>
    <col min="9473" max="9473" width="144.1640625" style="599" customWidth="1"/>
    <col min="9474" max="9474" width="52" style="599" customWidth="1"/>
    <col min="9475" max="9475" width="43.5" style="599" customWidth="1"/>
    <col min="9476" max="9476" width="45.33203125" style="599" customWidth="1"/>
    <col min="9477" max="9477" width="41.33203125" style="599" customWidth="1"/>
    <col min="9478" max="9478" width="47.33203125" style="599" customWidth="1"/>
    <col min="9479" max="9479" width="144.1640625" style="599" customWidth="1"/>
    <col min="9480" max="9480" width="41.33203125" style="599" customWidth="1"/>
    <col min="9481" max="9481" width="44.83203125" style="599" customWidth="1"/>
    <col min="9482" max="9482" width="43.6640625" style="599" customWidth="1"/>
    <col min="9483" max="9483" width="35" style="599" customWidth="1"/>
    <col min="9484" max="9484" width="45.6640625" style="599" customWidth="1"/>
    <col min="9485" max="9485" width="44.1640625" style="599" customWidth="1"/>
    <col min="9486" max="9486" width="45.33203125" style="599" customWidth="1"/>
    <col min="9487" max="9487" width="45.1640625" style="599" customWidth="1"/>
    <col min="9488" max="9728" width="9.33203125" style="599"/>
    <col min="9729" max="9729" width="144.1640625" style="599" customWidth="1"/>
    <col min="9730" max="9730" width="52" style="599" customWidth="1"/>
    <col min="9731" max="9731" width="43.5" style="599" customWidth="1"/>
    <col min="9732" max="9732" width="45.33203125" style="599" customWidth="1"/>
    <col min="9733" max="9733" width="41.33203125" style="599" customWidth="1"/>
    <col min="9734" max="9734" width="47.33203125" style="599" customWidth="1"/>
    <col min="9735" max="9735" width="144.1640625" style="599" customWidth="1"/>
    <col min="9736" max="9736" width="41.33203125" style="599" customWidth="1"/>
    <col min="9737" max="9737" width="44.83203125" style="599" customWidth="1"/>
    <col min="9738" max="9738" width="43.6640625" style="599" customWidth="1"/>
    <col min="9739" max="9739" width="35" style="599" customWidth="1"/>
    <col min="9740" max="9740" width="45.6640625" style="599" customWidth="1"/>
    <col min="9741" max="9741" width="44.1640625" style="599" customWidth="1"/>
    <col min="9742" max="9742" width="45.33203125" style="599" customWidth="1"/>
    <col min="9743" max="9743" width="45.1640625" style="599" customWidth="1"/>
    <col min="9744" max="9984" width="9.33203125" style="599"/>
    <col min="9985" max="9985" width="144.1640625" style="599" customWidth="1"/>
    <col min="9986" max="9986" width="52" style="599" customWidth="1"/>
    <col min="9987" max="9987" width="43.5" style="599" customWidth="1"/>
    <col min="9988" max="9988" width="45.33203125" style="599" customWidth="1"/>
    <col min="9989" max="9989" width="41.33203125" style="599" customWidth="1"/>
    <col min="9990" max="9990" width="47.33203125" style="599" customWidth="1"/>
    <col min="9991" max="9991" width="144.1640625" style="599" customWidth="1"/>
    <col min="9992" max="9992" width="41.33203125" style="599" customWidth="1"/>
    <col min="9993" max="9993" width="44.83203125" style="599" customWidth="1"/>
    <col min="9994" max="9994" width="43.6640625" style="599" customWidth="1"/>
    <col min="9995" max="9995" width="35" style="599" customWidth="1"/>
    <col min="9996" max="9996" width="45.6640625" style="599" customWidth="1"/>
    <col min="9997" max="9997" width="44.1640625" style="599" customWidth="1"/>
    <col min="9998" max="9998" width="45.33203125" style="599" customWidth="1"/>
    <col min="9999" max="9999" width="45.1640625" style="599" customWidth="1"/>
    <col min="10000" max="10240" width="9.33203125" style="599"/>
    <col min="10241" max="10241" width="144.1640625" style="599" customWidth="1"/>
    <col min="10242" max="10242" width="52" style="599" customWidth="1"/>
    <col min="10243" max="10243" width="43.5" style="599" customWidth="1"/>
    <col min="10244" max="10244" width="45.33203125" style="599" customWidth="1"/>
    <col min="10245" max="10245" width="41.33203125" style="599" customWidth="1"/>
    <col min="10246" max="10246" width="47.33203125" style="599" customWidth="1"/>
    <col min="10247" max="10247" width="144.1640625" style="599" customWidth="1"/>
    <col min="10248" max="10248" width="41.33203125" style="599" customWidth="1"/>
    <col min="10249" max="10249" width="44.83203125" style="599" customWidth="1"/>
    <col min="10250" max="10250" width="43.6640625" style="599" customWidth="1"/>
    <col min="10251" max="10251" width="35" style="599" customWidth="1"/>
    <col min="10252" max="10252" width="45.6640625" style="599" customWidth="1"/>
    <col min="10253" max="10253" width="44.1640625" style="599" customWidth="1"/>
    <col min="10254" max="10254" width="45.33203125" style="599" customWidth="1"/>
    <col min="10255" max="10255" width="45.1640625" style="599" customWidth="1"/>
    <col min="10256" max="10496" width="9.33203125" style="599"/>
    <col min="10497" max="10497" width="144.1640625" style="599" customWidth="1"/>
    <col min="10498" max="10498" width="52" style="599" customWidth="1"/>
    <col min="10499" max="10499" width="43.5" style="599" customWidth="1"/>
    <col min="10500" max="10500" width="45.33203125" style="599" customWidth="1"/>
    <col min="10501" max="10501" width="41.33203125" style="599" customWidth="1"/>
    <col min="10502" max="10502" width="47.33203125" style="599" customWidth="1"/>
    <col min="10503" max="10503" width="144.1640625" style="599" customWidth="1"/>
    <col min="10504" max="10504" width="41.33203125" style="599" customWidth="1"/>
    <col min="10505" max="10505" width="44.83203125" style="599" customWidth="1"/>
    <col min="10506" max="10506" width="43.6640625" style="599" customWidth="1"/>
    <col min="10507" max="10507" width="35" style="599" customWidth="1"/>
    <col min="10508" max="10508" width="45.6640625" style="599" customWidth="1"/>
    <col min="10509" max="10509" width="44.1640625" style="599" customWidth="1"/>
    <col min="10510" max="10510" width="45.33203125" style="599" customWidth="1"/>
    <col min="10511" max="10511" width="45.1640625" style="599" customWidth="1"/>
    <col min="10512" max="10752" width="9.33203125" style="599"/>
    <col min="10753" max="10753" width="144.1640625" style="599" customWidth="1"/>
    <col min="10754" max="10754" width="52" style="599" customWidth="1"/>
    <col min="10755" max="10755" width="43.5" style="599" customWidth="1"/>
    <col min="10756" max="10756" width="45.33203125" style="599" customWidth="1"/>
    <col min="10757" max="10757" width="41.33203125" style="599" customWidth="1"/>
    <col min="10758" max="10758" width="47.33203125" style="599" customWidth="1"/>
    <col min="10759" max="10759" width="144.1640625" style="599" customWidth="1"/>
    <col min="10760" max="10760" width="41.33203125" style="599" customWidth="1"/>
    <col min="10761" max="10761" width="44.83203125" style="599" customWidth="1"/>
    <col min="10762" max="10762" width="43.6640625" style="599" customWidth="1"/>
    <col min="10763" max="10763" width="35" style="599" customWidth="1"/>
    <col min="10764" max="10764" width="45.6640625" style="599" customWidth="1"/>
    <col min="10765" max="10765" width="44.1640625" style="599" customWidth="1"/>
    <col min="10766" max="10766" width="45.33203125" style="599" customWidth="1"/>
    <col min="10767" max="10767" width="45.1640625" style="599" customWidth="1"/>
    <col min="10768" max="11008" width="9.33203125" style="599"/>
    <col min="11009" max="11009" width="144.1640625" style="599" customWidth="1"/>
    <col min="11010" max="11010" width="52" style="599" customWidth="1"/>
    <col min="11011" max="11011" width="43.5" style="599" customWidth="1"/>
    <col min="11012" max="11012" width="45.33203125" style="599" customWidth="1"/>
    <col min="11013" max="11013" width="41.33203125" style="599" customWidth="1"/>
    <col min="11014" max="11014" width="47.33203125" style="599" customWidth="1"/>
    <col min="11015" max="11015" width="144.1640625" style="599" customWidth="1"/>
    <col min="11016" max="11016" width="41.33203125" style="599" customWidth="1"/>
    <col min="11017" max="11017" width="44.83203125" style="599" customWidth="1"/>
    <col min="11018" max="11018" width="43.6640625" style="599" customWidth="1"/>
    <col min="11019" max="11019" width="35" style="599" customWidth="1"/>
    <col min="11020" max="11020" width="45.6640625" style="599" customWidth="1"/>
    <col min="11021" max="11021" width="44.1640625" style="599" customWidth="1"/>
    <col min="11022" max="11022" width="45.33203125" style="599" customWidth="1"/>
    <col min="11023" max="11023" width="45.1640625" style="599" customWidth="1"/>
    <col min="11024" max="11264" width="9.33203125" style="599"/>
    <col min="11265" max="11265" width="144.1640625" style="599" customWidth="1"/>
    <col min="11266" max="11266" width="52" style="599" customWidth="1"/>
    <col min="11267" max="11267" width="43.5" style="599" customWidth="1"/>
    <col min="11268" max="11268" width="45.33203125" style="599" customWidth="1"/>
    <col min="11269" max="11269" width="41.33203125" style="599" customWidth="1"/>
    <col min="11270" max="11270" width="47.33203125" style="599" customWidth="1"/>
    <col min="11271" max="11271" width="144.1640625" style="599" customWidth="1"/>
    <col min="11272" max="11272" width="41.33203125" style="599" customWidth="1"/>
    <col min="11273" max="11273" width="44.83203125" style="599" customWidth="1"/>
    <col min="11274" max="11274" width="43.6640625" style="599" customWidth="1"/>
    <col min="11275" max="11275" width="35" style="599" customWidth="1"/>
    <col min="11276" max="11276" width="45.6640625" style="599" customWidth="1"/>
    <col min="11277" max="11277" width="44.1640625" style="599" customWidth="1"/>
    <col min="11278" max="11278" width="45.33203125" style="599" customWidth="1"/>
    <col min="11279" max="11279" width="45.1640625" style="599" customWidth="1"/>
    <col min="11280" max="11520" width="9.33203125" style="599"/>
    <col min="11521" max="11521" width="144.1640625" style="599" customWidth="1"/>
    <col min="11522" max="11522" width="52" style="599" customWidth="1"/>
    <col min="11523" max="11523" width="43.5" style="599" customWidth="1"/>
    <col min="11524" max="11524" width="45.33203125" style="599" customWidth="1"/>
    <col min="11525" max="11525" width="41.33203125" style="599" customWidth="1"/>
    <col min="11526" max="11526" width="47.33203125" style="599" customWidth="1"/>
    <col min="11527" max="11527" width="144.1640625" style="599" customWidth="1"/>
    <col min="11528" max="11528" width="41.33203125" style="599" customWidth="1"/>
    <col min="11529" max="11529" width="44.83203125" style="599" customWidth="1"/>
    <col min="11530" max="11530" width="43.6640625" style="599" customWidth="1"/>
    <col min="11531" max="11531" width="35" style="599" customWidth="1"/>
    <col min="11532" max="11532" width="45.6640625" style="599" customWidth="1"/>
    <col min="11533" max="11533" width="44.1640625" style="599" customWidth="1"/>
    <col min="11534" max="11534" width="45.33203125" style="599" customWidth="1"/>
    <col min="11535" max="11535" width="45.1640625" style="599" customWidth="1"/>
    <col min="11536" max="11776" width="9.33203125" style="599"/>
    <col min="11777" max="11777" width="144.1640625" style="599" customWidth="1"/>
    <col min="11778" max="11778" width="52" style="599" customWidth="1"/>
    <col min="11779" max="11779" width="43.5" style="599" customWidth="1"/>
    <col min="11780" max="11780" width="45.33203125" style="599" customWidth="1"/>
    <col min="11781" max="11781" width="41.33203125" style="599" customWidth="1"/>
    <col min="11782" max="11782" width="47.33203125" style="599" customWidth="1"/>
    <col min="11783" max="11783" width="144.1640625" style="599" customWidth="1"/>
    <col min="11784" max="11784" width="41.33203125" style="599" customWidth="1"/>
    <col min="11785" max="11785" width="44.83203125" style="599" customWidth="1"/>
    <col min="11786" max="11786" width="43.6640625" style="599" customWidth="1"/>
    <col min="11787" max="11787" width="35" style="599" customWidth="1"/>
    <col min="11788" max="11788" width="45.6640625" style="599" customWidth="1"/>
    <col min="11789" max="11789" width="44.1640625" style="599" customWidth="1"/>
    <col min="11790" max="11790" width="45.33203125" style="599" customWidth="1"/>
    <col min="11791" max="11791" width="45.1640625" style="599" customWidth="1"/>
    <col min="11792" max="12032" width="9.33203125" style="599"/>
    <col min="12033" max="12033" width="144.1640625" style="599" customWidth="1"/>
    <col min="12034" max="12034" width="52" style="599" customWidth="1"/>
    <col min="12035" max="12035" width="43.5" style="599" customWidth="1"/>
    <col min="12036" max="12036" width="45.33203125" style="599" customWidth="1"/>
    <col min="12037" max="12037" width="41.33203125" style="599" customWidth="1"/>
    <col min="12038" max="12038" width="47.33203125" style="599" customWidth="1"/>
    <col min="12039" max="12039" width="144.1640625" style="599" customWidth="1"/>
    <col min="12040" max="12040" width="41.33203125" style="599" customWidth="1"/>
    <col min="12041" max="12041" width="44.83203125" style="599" customWidth="1"/>
    <col min="12042" max="12042" width="43.6640625" style="599" customWidth="1"/>
    <col min="12043" max="12043" width="35" style="599" customWidth="1"/>
    <col min="12044" max="12044" width="45.6640625" style="599" customWidth="1"/>
    <col min="12045" max="12045" width="44.1640625" style="599" customWidth="1"/>
    <col min="12046" max="12046" width="45.33203125" style="599" customWidth="1"/>
    <col min="12047" max="12047" width="45.1640625" style="599" customWidth="1"/>
    <col min="12048" max="12288" width="9.33203125" style="599"/>
    <col min="12289" max="12289" width="144.1640625" style="599" customWidth="1"/>
    <col min="12290" max="12290" width="52" style="599" customWidth="1"/>
    <col min="12291" max="12291" width="43.5" style="599" customWidth="1"/>
    <col min="12292" max="12292" width="45.33203125" style="599" customWidth="1"/>
    <col min="12293" max="12293" width="41.33203125" style="599" customWidth="1"/>
    <col min="12294" max="12294" width="47.33203125" style="599" customWidth="1"/>
    <col min="12295" max="12295" width="144.1640625" style="599" customWidth="1"/>
    <col min="12296" max="12296" width="41.33203125" style="599" customWidth="1"/>
    <col min="12297" max="12297" width="44.83203125" style="599" customWidth="1"/>
    <col min="12298" max="12298" width="43.6640625" style="599" customWidth="1"/>
    <col min="12299" max="12299" width="35" style="599" customWidth="1"/>
    <col min="12300" max="12300" width="45.6640625" style="599" customWidth="1"/>
    <col min="12301" max="12301" width="44.1640625" style="599" customWidth="1"/>
    <col min="12302" max="12302" width="45.33203125" style="599" customWidth="1"/>
    <col min="12303" max="12303" width="45.1640625" style="599" customWidth="1"/>
    <col min="12304" max="12544" width="9.33203125" style="599"/>
    <col min="12545" max="12545" width="144.1640625" style="599" customWidth="1"/>
    <col min="12546" max="12546" width="52" style="599" customWidth="1"/>
    <col min="12547" max="12547" width="43.5" style="599" customWidth="1"/>
    <col min="12548" max="12548" width="45.33203125" style="599" customWidth="1"/>
    <col min="12549" max="12549" width="41.33203125" style="599" customWidth="1"/>
    <col min="12550" max="12550" width="47.33203125" style="599" customWidth="1"/>
    <col min="12551" max="12551" width="144.1640625" style="599" customWidth="1"/>
    <col min="12552" max="12552" width="41.33203125" style="599" customWidth="1"/>
    <col min="12553" max="12553" width="44.83203125" style="599" customWidth="1"/>
    <col min="12554" max="12554" width="43.6640625" style="599" customWidth="1"/>
    <col min="12555" max="12555" width="35" style="599" customWidth="1"/>
    <col min="12556" max="12556" width="45.6640625" style="599" customWidth="1"/>
    <col min="12557" max="12557" width="44.1640625" style="599" customWidth="1"/>
    <col min="12558" max="12558" width="45.33203125" style="599" customWidth="1"/>
    <col min="12559" max="12559" width="45.1640625" style="599" customWidth="1"/>
    <col min="12560" max="12800" width="9.33203125" style="599"/>
    <col min="12801" max="12801" width="144.1640625" style="599" customWidth="1"/>
    <col min="12802" max="12802" width="52" style="599" customWidth="1"/>
    <col min="12803" max="12803" width="43.5" style="599" customWidth="1"/>
    <col min="12804" max="12804" width="45.33203125" style="599" customWidth="1"/>
    <col min="12805" max="12805" width="41.33203125" style="599" customWidth="1"/>
    <col min="12806" max="12806" width="47.33203125" style="599" customWidth="1"/>
    <col min="12807" max="12807" width="144.1640625" style="599" customWidth="1"/>
    <col min="12808" max="12808" width="41.33203125" style="599" customWidth="1"/>
    <col min="12809" max="12809" width="44.83203125" style="599" customWidth="1"/>
    <col min="12810" max="12810" width="43.6640625" style="599" customWidth="1"/>
    <col min="12811" max="12811" width="35" style="599" customWidth="1"/>
    <col min="12812" max="12812" width="45.6640625" style="599" customWidth="1"/>
    <col min="12813" max="12813" width="44.1640625" style="599" customWidth="1"/>
    <col min="12814" max="12814" width="45.33203125" style="599" customWidth="1"/>
    <col min="12815" max="12815" width="45.1640625" style="599" customWidth="1"/>
    <col min="12816" max="13056" width="9.33203125" style="599"/>
    <col min="13057" max="13057" width="144.1640625" style="599" customWidth="1"/>
    <col min="13058" max="13058" width="52" style="599" customWidth="1"/>
    <col min="13059" max="13059" width="43.5" style="599" customWidth="1"/>
    <col min="13060" max="13060" width="45.33203125" style="599" customWidth="1"/>
    <col min="13061" max="13061" width="41.33203125" style="599" customWidth="1"/>
    <col min="13062" max="13062" width="47.33203125" style="599" customWidth="1"/>
    <col min="13063" max="13063" width="144.1640625" style="599" customWidth="1"/>
    <col min="13064" max="13064" width="41.33203125" style="599" customWidth="1"/>
    <col min="13065" max="13065" width="44.83203125" style="599" customWidth="1"/>
    <col min="13066" max="13066" width="43.6640625" style="599" customWidth="1"/>
    <col min="13067" max="13067" width="35" style="599" customWidth="1"/>
    <col min="13068" max="13068" width="45.6640625" style="599" customWidth="1"/>
    <col min="13069" max="13069" width="44.1640625" style="599" customWidth="1"/>
    <col min="13070" max="13070" width="45.33203125" style="599" customWidth="1"/>
    <col min="13071" max="13071" width="45.1640625" style="599" customWidth="1"/>
    <col min="13072" max="13312" width="9.33203125" style="599"/>
    <col min="13313" max="13313" width="144.1640625" style="599" customWidth="1"/>
    <col min="13314" max="13314" width="52" style="599" customWidth="1"/>
    <col min="13315" max="13315" width="43.5" style="599" customWidth="1"/>
    <col min="13316" max="13316" width="45.33203125" style="599" customWidth="1"/>
    <col min="13317" max="13317" width="41.33203125" style="599" customWidth="1"/>
    <col min="13318" max="13318" width="47.33203125" style="599" customWidth="1"/>
    <col min="13319" max="13319" width="144.1640625" style="599" customWidth="1"/>
    <col min="13320" max="13320" width="41.33203125" style="599" customWidth="1"/>
    <col min="13321" max="13321" width="44.83203125" style="599" customWidth="1"/>
    <col min="13322" max="13322" width="43.6640625" style="599" customWidth="1"/>
    <col min="13323" max="13323" width="35" style="599" customWidth="1"/>
    <col min="13324" max="13324" width="45.6640625" style="599" customWidth="1"/>
    <col min="13325" max="13325" width="44.1640625" style="599" customWidth="1"/>
    <col min="13326" max="13326" width="45.33203125" style="599" customWidth="1"/>
    <col min="13327" max="13327" width="45.1640625" style="599" customWidth="1"/>
    <col min="13328" max="13568" width="9.33203125" style="599"/>
    <col min="13569" max="13569" width="144.1640625" style="599" customWidth="1"/>
    <col min="13570" max="13570" width="52" style="599" customWidth="1"/>
    <col min="13571" max="13571" width="43.5" style="599" customWidth="1"/>
    <col min="13572" max="13572" width="45.33203125" style="599" customWidth="1"/>
    <col min="13573" max="13573" width="41.33203125" style="599" customWidth="1"/>
    <col min="13574" max="13574" width="47.33203125" style="599" customWidth="1"/>
    <col min="13575" max="13575" width="144.1640625" style="599" customWidth="1"/>
    <col min="13576" max="13576" width="41.33203125" style="599" customWidth="1"/>
    <col min="13577" max="13577" width="44.83203125" style="599" customWidth="1"/>
    <col min="13578" max="13578" width="43.6640625" style="599" customWidth="1"/>
    <col min="13579" max="13579" width="35" style="599" customWidth="1"/>
    <col min="13580" max="13580" width="45.6640625" style="599" customWidth="1"/>
    <col min="13581" max="13581" width="44.1640625" style="599" customWidth="1"/>
    <col min="13582" max="13582" width="45.33203125" style="599" customWidth="1"/>
    <col min="13583" max="13583" width="45.1640625" style="599" customWidth="1"/>
    <col min="13584" max="13824" width="9.33203125" style="599"/>
    <col min="13825" max="13825" width="144.1640625" style="599" customWidth="1"/>
    <col min="13826" max="13826" width="52" style="599" customWidth="1"/>
    <col min="13827" max="13827" width="43.5" style="599" customWidth="1"/>
    <col min="13828" max="13828" width="45.33203125" style="599" customWidth="1"/>
    <col min="13829" max="13829" width="41.33203125" style="599" customWidth="1"/>
    <col min="13830" max="13830" width="47.33203125" style="599" customWidth="1"/>
    <col min="13831" max="13831" width="144.1640625" style="599" customWidth="1"/>
    <col min="13832" max="13832" width="41.33203125" style="599" customWidth="1"/>
    <col min="13833" max="13833" width="44.83203125" style="599" customWidth="1"/>
    <col min="13834" max="13834" width="43.6640625" style="599" customWidth="1"/>
    <col min="13835" max="13835" width="35" style="599" customWidth="1"/>
    <col min="13836" max="13836" width="45.6640625" style="599" customWidth="1"/>
    <col min="13837" max="13837" width="44.1640625" style="599" customWidth="1"/>
    <col min="13838" max="13838" width="45.33203125" style="599" customWidth="1"/>
    <col min="13839" max="13839" width="45.1640625" style="599" customWidth="1"/>
    <col min="13840" max="14080" width="9.33203125" style="599"/>
    <col min="14081" max="14081" width="144.1640625" style="599" customWidth="1"/>
    <col min="14082" max="14082" width="52" style="599" customWidth="1"/>
    <col min="14083" max="14083" width="43.5" style="599" customWidth="1"/>
    <col min="14084" max="14084" width="45.33203125" style="599" customWidth="1"/>
    <col min="14085" max="14085" width="41.33203125" style="599" customWidth="1"/>
    <col min="14086" max="14086" width="47.33203125" style="599" customWidth="1"/>
    <col min="14087" max="14087" width="144.1640625" style="599" customWidth="1"/>
    <col min="14088" max="14088" width="41.33203125" style="599" customWidth="1"/>
    <col min="14089" max="14089" width="44.83203125" style="599" customWidth="1"/>
    <col min="14090" max="14090" width="43.6640625" style="599" customWidth="1"/>
    <col min="14091" max="14091" width="35" style="599" customWidth="1"/>
    <col min="14092" max="14092" width="45.6640625" style="599" customWidth="1"/>
    <col min="14093" max="14093" width="44.1640625" style="599" customWidth="1"/>
    <col min="14094" max="14094" width="45.33203125" style="599" customWidth="1"/>
    <col min="14095" max="14095" width="45.1640625" style="599" customWidth="1"/>
    <col min="14096" max="14336" width="9.33203125" style="599"/>
    <col min="14337" max="14337" width="144.1640625" style="599" customWidth="1"/>
    <col min="14338" max="14338" width="52" style="599" customWidth="1"/>
    <col min="14339" max="14339" width="43.5" style="599" customWidth="1"/>
    <col min="14340" max="14340" width="45.33203125" style="599" customWidth="1"/>
    <col min="14341" max="14341" width="41.33203125" style="599" customWidth="1"/>
    <col min="14342" max="14342" width="47.33203125" style="599" customWidth="1"/>
    <col min="14343" max="14343" width="144.1640625" style="599" customWidth="1"/>
    <col min="14344" max="14344" width="41.33203125" style="599" customWidth="1"/>
    <col min="14345" max="14345" width="44.83203125" style="599" customWidth="1"/>
    <col min="14346" max="14346" width="43.6640625" style="599" customWidth="1"/>
    <col min="14347" max="14347" width="35" style="599" customWidth="1"/>
    <col min="14348" max="14348" width="45.6640625" style="599" customWidth="1"/>
    <col min="14349" max="14349" width="44.1640625" style="599" customWidth="1"/>
    <col min="14350" max="14350" width="45.33203125" style="599" customWidth="1"/>
    <col min="14351" max="14351" width="45.1640625" style="599" customWidth="1"/>
    <col min="14352" max="14592" width="9.33203125" style="599"/>
    <col min="14593" max="14593" width="144.1640625" style="599" customWidth="1"/>
    <col min="14594" max="14594" width="52" style="599" customWidth="1"/>
    <col min="14595" max="14595" width="43.5" style="599" customWidth="1"/>
    <col min="14596" max="14596" width="45.33203125" style="599" customWidth="1"/>
    <col min="14597" max="14597" width="41.33203125" style="599" customWidth="1"/>
    <col min="14598" max="14598" width="47.33203125" style="599" customWidth="1"/>
    <col min="14599" max="14599" width="144.1640625" style="599" customWidth="1"/>
    <col min="14600" max="14600" width="41.33203125" style="599" customWidth="1"/>
    <col min="14601" max="14601" width="44.83203125" style="599" customWidth="1"/>
    <col min="14602" max="14602" width="43.6640625" style="599" customWidth="1"/>
    <col min="14603" max="14603" width="35" style="599" customWidth="1"/>
    <col min="14604" max="14604" width="45.6640625" style="599" customWidth="1"/>
    <col min="14605" max="14605" width="44.1640625" style="599" customWidth="1"/>
    <col min="14606" max="14606" width="45.33203125" style="599" customWidth="1"/>
    <col min="14607" max="14607" width="45.1640625" style="599" customWidth="1"/>
    <col min="14608" max="14848" width="9.33203125" style="599"/>
    <col min="14849" max="14849" width="144.1640625" style="599" customWidth="1"/>
    <col min="14850" max="14850" width="52" style="599" customWidth="1"/>
    <col min="14851" max="14851" width="43.5" style="599" customWidth="1"/>
    <col min="14852" max="14852" width="45.33203125" style="599" customWidth="1"/>
    <col min="14853" max="14853" width="41.33203125" style="599" customWidth="1"/>
    <col min="14854" max="14854" width="47.33203125" style="599" customWidth="1"/>
    <col min="14855" max="14855" width="144.1640625" style="599" customWidth="1"/>
    <col min="14856" max="14856" width="41.33203125" style="599" customWidth="1"/>
    <col min="14857" max="14857" width="44.83203125" style="599" customWidth="1"/>
    <col min="14858" max="14858" width="43.6640625" style="599" customWidth="1"/>
    <col min="14859" max="14859" width="35" style="599" customWidth="1"/>
    <col min="14860" max="14860" width="45.6640625" style="599" customWidth="1"/>
    <col min="14861" max="14861" width="44.1640625" style="599" customWidth="1"/>
    <col min="14862" max="14862" width="45.33203125" style="599" customWidth="1"/>
    <col min="14863" max="14863" width="45.1640625" style="599" customWidth="1"/>
    <col min="14864" max="15104" width="9.33203125" style="599"/>
    <col min="15105" max="15105" width="144.1640625" style="599" customWidth="1"/>
    <col min="15106" max="15106" width="52" style="599" customWidth="1"/>
    <col min="15107" max="15107" width="43.5" style="599" customWidth="1"/>
    <col min="15108" max="15108" width="45.33203125" style="599" customWidth="1"/>
    <col min="15109" max="15109" width="41.33203125" style="599" customWidth="1"/>
    <col min="15110" max="15110" width="47.33203125" style="599" customWidth="1"/>
    <col min="15111" max="15111" width="144.1640625" style="599" customWidth="1"/>
    <col min="15112" max="15112" width="41.33203125" style="599" customWidth="1"/>
    <col min="15113" max="15113" width="44.83203125" style="599" customWidth="1"/>
    <col min="15114" max="15114" width="43.6640625" style="599" customWidth="1"/>
    <col min="15115" max="15115" width="35" style="599" customWidth="1"/>
    <col min="15116" max="15116" width="45.6640625" style="599" customWidth="1"/>
    <col min="15117" max="15117" width="44.1640625" style="599" customWidth="1"/>
    <col min="15118" max="15118" width="45.33203125" style="599" customWidth="1"/>
    <col min="15119" max="15119" width="45.1640625" style="599" customWidth="1"/>
    <col min="15120" max="15360" width="9.33203125" style="599"/>
    <col min="15361" max="15361" width="144.1640625" style="599" customWidth="1"/>
    <col min="15362" max="15362" width="52" style="599" customWidth="1"/>
    <col min="15363" max="15363" width="43.5" style="599" customWidth="1"/>
    <col min="15364" max="15364" width="45.33203125" style="599" customWidth="1"/>
    <col min="15365" max="15365" width="41.33203125" style="599" customWidth="1"/>
    <col min="15366" max="15366" width="47.33203125" style="599" customWidth="1"/>
    <col min="15367" max="15367" width="144.1640625" style="599" customWidth="1"/>
    <col min="15368" max="15368" width="41.33203125" style="599" customWidth="1"/>
    <col min="15369" max="15369" width="44.83203125" style="599" customWidth="1"/>
    <col min="15370" max="15370" width="43.6640625" style="599" customWidth="1"/>
    <col min="15371" max="15371" width="35" style="599" customWidth="1"/>
    <col min="15372" max="15372" width="45.6640625" style="599" customWidth="1"/>
    <col min="15373" max="15373" width="44.1640625" style="599" customWidth="1"/>
    <col min="15374" max="15374" width="45.33203125" style="599" customWidth="1"/>
    <col min="15375" max="15375" width="45.1640625" style="599" customWidth="1"/>
    <col min="15376" max="15616" width="9.33203125" style="599"/>
    <col min="15617" max="15617" width="144.1640625" style="599" customWidth="1"/>
    <col min="15618" max="15618" width="52" style="599" customWidth="1"/>
    <col min="15619" max="15619" width="43.5" style="599" customWidth="1"/>
    <col min="15620" max="15620" width="45.33203125" style="599" customWidth="1"/>
    <col min="15621" max="15621" width="41.33203125" style="599" customWidth="1"/>
    <col min="15622" max="15622" width="47.33203125" style="599" customWidth="1"/>
    <col min="15623" max="15623" width="144.1640625" style="599" customWidth="1"/>
    <col min="15624" max="15624" width="41.33203125" style="599" customWidth="1"/>
    <col min="15625" max="15625" width="44.83203125" style="599" customWidth="1"/>
    <col min="15626" max="15626" width="43.6640625" style="599" customWidth="1"/>
    <col min="15627" max="15627" width="35" style="599" customWidth="1"/>
    <col min="15628" max="15628" width="45.6640625" style="599" customWidth="1"/>
    <col min="15629" max="15629" width="44.1640625" style="599" customWidth="1"/>
    <col min="15630" max="15630" width="45.33203125" style="599" customWidth="1"/>
    <col min="15631" max="15631" width="45.1640625" style="599" customWidth="1"/>
    <col min="15632" max="15872" width="9.33203125" style="599"/>
    <col min="15873" max="15873" width="144.1640625" style="599" customWidth="1"/>
    <col min="15874" max="15874" width="52" style="599" customWidth="1"/>
    <col min="15875" max="15875" width="43.5" style="599" customWidth="1"/>
    <col min="15876" max="15876" width="45.33203125" style="599" customWidth="1"/>
    <col min="15877" max="15877" width="41.33203125" style="599" customWidth="1"/>
    <col min="15878" max="15878" width="47.33203125" style="599" customWidth="1"/>
    <col min="15879" max="15879" width="144.1640625" style="599" customWidth="1"/>
    <col min="15880" max="15880" width="41.33203125" style="599" customWidth="1"/>
    <col min="15881" max="15881" width="44.83203125" style="599" customWidth="1"/>
    <col min="15882" max="15882" width="43.6640625" style="599" customWidth="1"/>
    <col min="15883" max="15883" width="35" style="599" customWidth="1"/>
    <col min="15884" max="15884" width="45.6640625" style="599" customWidth="1"/>
    <col min="15885" max="15885" width="44.1640625" style="599" customWidth="1"/>
    <col min="15886" max="15886" width="45.33203125" style="599" customWidth="1"/>
    <col min="15887" max="15887" width="45.1640625" style="599" customWidth="1"/>
    <col min="15888" max="16128" width="9.33203125" style="599"/>
    <col min="16129" max="16129" width="144.1640625" style="599" customWidth="1"/>
    <col min="16130" max="16130" width="52" style="599" customWidth="1"/>
    <col min="16131" max="16131" width="43.5" style="599" customWidth="1"/>
    <col min="16132" max="16132" width="45.33203125" style="599" customWidth="1"/>
    <col min="16133" max="16133" width="41.33203125" style="599" customWidth="1"/>
    <col min="16134" max="16134" width="47.33203125" style="599" customWidth="1"/>
    <col min="16135" max="16135" width="144.1640625" style="599" customWidth="1"/>
    <col min="16136" max="16136" width="41.33203125" style="599" customWidth="1"/>
    <col min="16137" max="16137" width="44.83203125" style="599" customWidth="1"/>
    <col min="16138" max="16138" width="43.6640625" style="599" customWidth="1"/>
    <col min="16139" max="16139" width="35" style="599" customWidth="1"/>
    <col min="16140" max="16140" width="45.6640625" style="599" customWidth="1"/>
    <col min="16141" max="16141" width="44.1640625" style="599" customWidth="1"/>
    <col min="16142" max="16142" width="45.33203125" style="599" customWidth="1"/>
    <col min="16143" max="16143" width="45.1640625" style="599" customWidth="1"/>
    <col min="16144" max="16384" width="9.33203125" style="599"/>
  </cols>
  <sheetData>
    <row r="1" spans="1:15" ht="26.45" customHeight="1" x14ac:dyDescent="0.3">
      <c r="B1" s="598"/>
      <c r="C1" s="598"/>
      <c r="D1" s="598"/>
      <c r="E1" s="598"/>
      <c r="F1" s="598"/>
      <c r="H1" s="598"/>
      <c r="I1" s="598"/>
      <c r="J1" s="598"/>
      <c r="K1" s="598"/>
      <c r="L1" s="598"/>
      <c r="M1" s="598"/>
      <c r="N1" s="598"/>
      <c r="O1" s="598"/>
    </row>
    <row r="2" spans="1:15" ht="54" customHeight="1" x14ac:dyDescent="0.45">
      <c r="A2" s="955" t="s">
        <v>224</v>
      </c>
      <c r="B2" s="955"/>
      <c r="C2" s="955"/>
      <c r="D2" s="955"/>
      <c r="E2" s="955"/>
      <c r="F2" s="955"/>
      <c r="G2" s="955" t="s">
        <v>224</v>
      </c>
      <c r="H2" s="955"/>
      <c r="I2" s="955"/>
      <c r="J2" s="955"/>
      <c r="K2" s="955"/>
      <c r="L2" s="955"/>
      <c r="M2" s="955"/>
      <c r="N2" s="955"/>
      <c r="O2" s="955"/>
    </row>
    <row r="3" spans="1:15" ht="54" customHeight="1" x14ac:dyDescent="0.45">
      <c r="A3" s="955" t="s">
        <v>724</v>
      </c>
      <c r="B3" s="955"/>
      <c r="C3" s="955"/>
      <c r="D3" s="955"/>
      <c r="E3" s="955"/>
      <c r="F3" s="955"/>
      <c r="G3" s="955" t="s">
        <v>724</v>
      </c>
      <c r="H3" s="955"/>
      <c r="I3" s="955"/>
      <c r="J3" s="955"/>
      <c r="K3" s="955"/>
      <c r="L3" s="955"/>
      <c r="M3" s="955"/>
      <c r="N3" s="955"/>
      <c r="O3" s="955"/>
    </row>
    <row r="4" spans="1:15" ht="42.75" customHeight="1" thickBot="1" x14ac:dyDescent="0.4">
      <c r="A4" s="600"/>
      <c r="B4" s="601"/>
      <c r="C4" s="601"/>
      <c r="D4" s="601"/>
      <c r="E4" s="601"/>
      <c r="F4" s="601"/>
      <c r="G4" s="600"/>
      <c r="H4" s="601"/>
      <c r="I4" s="601"/>
      <c r="J4" s="601"/>
      <c r="K4" s="601"/>
      <c r="L4" s="601"/>
      <c r="M4" s="601"/>
      <c r="N4" s="601"/>
      <c r="O4" s="601"/>
    </row>
    <row r="5" spans="1:15" s="605" customFormat="1" ht="41.25" customHeight="1" x14ac:dyDescent="0.35">
      <c r="A5" s="602"/>
      <c r="B5" s="603"/>
      <c r="C5" s="604"/>
      <c r="D5" s="604"/>
      <c r="E5" s="604"/>
      <c r="F5" s="603"/>
      <c r="G5" s="602"/>
      <c r="H5" s="604"/>
      <c r="I5" s="604"/>
      <c r="J5" s="604"/>
      <c r="K5" s="604"/>
      <c r="L5" s="604"/>
      <c r="M5" s="604"/>
      <c r="N5" s="604"/>
      <c r="O5" s="603"/>
    </row>
    <row r="6" spans="1:15" s="609" customFormat="1" ht="143.25" customHeight="1" x14ac:dyDescent="0.4">
      <c r="A6" s="606" t="s">
        <v>725</v>
      </c>
      <c r="B6" s="607" t="s">
        <v>54</v>
      </c>
      <c r="C6" s="607" t="s">
        <v>257</v>
      </c>
      <c r="D6" s="607" t="s">
        <v>113</v>
      </c>
      <c r="E6" s="608" t="s">
        <v>193</v>
      </c>
      <c r="F6" s="608" t="s">
        <v>234</v>
      </c>
      <c r="G6" s="606" t="s">
        <v>725</v>
      </c>
      <c r="H6" s="608" t="s">
        <v>70</v>
      </c>
      <c r="I6" s="607" t="s">
        <v>71</v>
      </c>
      <c r="J6" s="607" t="s">
        <v>263</v>
      </c>
      <c r="K6" s="608" t="s">
        <v>235</v>
      </c>
      <c r="L6" s="608" t="s">
        <v>726</v>
      </c>
      <c r="M6" s="608" t="s">
        <v>727</v>
      </c>
      <c r="N6" s="608" t="s">
        <v>728</v>
      </c>
      <c r="O6" s="608" t="s">
        <v>236</v>
      </c>
    </row>
    <row r="7" spans="1:15" s="605" customFormat="1" ht="51.75" customHeight="1" thickBot="1" x14ac:dyDescent="0.4">
      <c r="A7" s="610" t="s">
        <v>681</v>
      </c>
      <c r="B7" s="611"/>
      <c r="C7" s="611"/>
      <c r="D7" s="611"/>
      <c r="E7" s="611"/>
      <c r="F7" s="611"/>
      <c r="G7" s="610" t="s">
        <v>681</v>
      </c>
      <c r="H7" s="611"/>
      <c r="I7" s="611"/>
      <c r="J7" s="611"/>
      <c r="K7" s="611"/>
      <c r="L7" s="611"/>
      <c r="M7" s="611"/>
      <c r="N7" s="611"/>
      <c r="O7" s="611"/>
    </row>
    <row r="8" spans="1:15" ht="26.45" customHeight="1" x14ac:dyDescent="0.35">
      <c r="A8" s="612" t="s">
        <v>729</v>
      </c>
      <c r="B8" s="613"/>
      <c r="C8" s="613"/>
      <c r="D8" s="613"/>
      <c r="E8" s="613"/>
      <c r="F8" s="613"/>
      <c r="G8" s="612" t="s">
        <v>729</v>
      </c>
      <c r="H8" s="613"/>
      <c r="I8" s="613"/>
      <c r="J8" s="613"/>
      <c r="K8" s="613"/>
      <c r="L8" s="613"/>
      <c r="M8" s="613"/>
      <c r="N8" s="613"/>
      <c r="O8" s="613"/>
    </row>
    <row r="9" spans="1:15" ht="26.45" customHeight="1" x14ac:dyDescent="0.7">
      <c r="A9" s="614" t="s">
        <v>730</v>
      </c>
      <c r="B9" s="615">
        <v>1712</v>
      </c>
      <c r="C9" s="615"/>
      <c r="D9" s="615"/>
      <c r="E9" s="615"/>
      <c r="F9" s="616">
        <f t="shared" ref="F9:F26" si="0">SUM(B9:E9)</f>
        <v>1712</v>
      </c>
      <c r="G9" s="614" t="s">
        <v>730</v>
      </c>
      <c r="H9" s="615"/>
      <c r="I9" s="615"/>
      <c r="J9" s="615"/>
      <c r="K9" s="616">
        <f t="shared" ref="K9:K26" si="1">SUM(H9:J9)</f>
        <v>0</v>
      </c>
      <c r="L9" s="615">
        <v>274286</v>
      </c>
      <c r="M9" s="617"/>
      <c r="N9" s="616">
        <f t="shared" ref="N9:N26" si="2">SUM(L9:M9)</f>
        <v>274286</v>
      </c>
      <c r="O9" s="616">
        <f t="shared" ref="O9:O26" si="3">F9+K9+N9</f>
        <v>275998</v>
      </c>
    </row>
    <row r="10" spans="1:15" ht="26.45" customHeight="1" x14ac:dyDescent="0.4">
      <c r="A10" s="618" t="s">
        <v>731</v>
      </c>
      <c r="B10" s="619">
        <v>736</v>
      </c>
      <c r="C10" s="619"/>
      <c r="D10" s="619"/>
      <c r="E10" s="619"/>
      <c r="F10" s="616">
        <f t="shared" si="0"/>
        <v>736</v>
      </c>
      <c r="G10" s="618" t="s">
        <v>731</v>
      </c>
      <c r="H10" s="619"/>
      <c r="I10" s="619"/>
      <c r="J10" s="619"/>
      <c r="K10" s="616">
        <f t="shared" si="1"/>
        <v>0</v>
      </c>
      <c r="L10" s="615">
        <v>187998</v>
      </c>
      <c r="M10" s="615"/>
      <c r="N10" s="616">
        <f t="shared" si="2"/>
        <v>187998</v>
      </c>
      <c r="O10" s="616">
        <f t="shared" si="3"/>
        <v>188734</v>
      </c>
    </row>
    <row r="11" spans="1:15" ht="26.45" customHeight="1" x14ac:dyDescent="0.4">
      <c r="A11" s="618" t="s">
        <v>732</v>
      </c>
      <c r="B11" s="619">
        <v>1320</v>
      </c>
      <c r="C11" s="619"/>
      <c r="D11" s="619"/>
      <c r="E11" s="619"/>
      <c r="F11" s="616">
        <f t="shared" si="0"/>
        <v>1320</v>
      </c>
      <c r="G11" s="618" t="s">
        <v>732</v>
      </c>
      <c r="H11" s="619"/>
      <c r="I11" s="619"/>
      <c r="J11" s="619"/>
      <c r="K11" s="616">
        <f t="shared" si="1"/>
        <v>0</v>
      </c>
      <c r="L11" s="615">
        <v>198404</v>
      </c>
      <c r="M11" s="615"/>
      <c r="N11" s="616">
        <f t="shared" si="2"/>
        <v>198404</v>
      </c>
      <c r="O11" s="616">
        <f t="shared" si="3"/>
        <v>199724</v>
      </c>
    </row>
    <row r="12" spans="1:15" ht="26.45" customHeight="1" x14ac:dyDescent="0.4">
      <c r="A12" s="618" t="s">
        <v>733</v>
      </c>
      <c r="B12" s="619">
        <v>1224</v>
      </c>
      <c r="C12" s="619"/>
      <c r="D12" s="619"/>
      <c r="E12" s="619"/>
      <c r="F12" s="616">
        <f t="shared" si="0"/>
        <v>1224</v>
      </c>
      <c r="G12" s="618" t="s">
        <v>733</v>
      </c>
      <c r="H12" s="619"/>
      <c r="I12" s="619"/>
      <c r="J12" s="619"/>
      <c r="K12" s="616">
        <f t="shared" si="1"/>
        <v>0</v>
      </c>
      <c r="L12" s="615">
        <v>239897</v>
      </c>
      <c r="M12" s="615"/>
      <c r="N12" s="616">
        <f t="shared" si="2"/>
        <v>239897</v>
      </c>
      <c r="O12" s="616">
        <f t="shared" si="3"/>
        <v>241121</v>
      </c>
    </row>
    <row r="13" spans="1:15" ht="26.45" customHeight="1" x14ac:dyDescent="0.4">
      <c r="A13" s="618" t="s">
        <v>734</v>
      </c>
      <c r="B13" s="619">
        <v>1016</v>
      </c>
      <c r="C13" s="619"/>
      <c r="D13" s="619"/>
      <c r="E13" s="619"/>
      <c r="F13" s="616">
        <f t="shared" si="0"/>
        <v>1016</v>
      </c>
      <c r="G13" s="618" t="s">
        <v>734</v>
      </c>
      <c r="H13" s="619"/>
      <c r="I13" s="619"/>
      <c r="J13" s="619"/>
      <c r="K13" s="616">
        <f t="shared" si="1"/>
        <v>0</v>
      </c>
      <c r="L13" s="615">
        <v>227264</v>
      </c>
      <c r="M13" s="615"/>
      <c r="N13" s="616">
        <f t="shared" si="2"/>
        <v>227264</v>
      </c>
      <c r="O13" s="616">
        <f t="shared" si="3"/>
        <v>228280</v>
      </c>
    </row>
    <row r="14" spans="1:15" ht="26.45" customHeight="1" x14ac:dyDescent="0.4">
      <c r="A14" s="618" t="s">
        <v>735</v>
      </c>
      <c r="B14" s="619">
        <v>1304</v>
      </c>
      <c r="C14" s="619"/>
      <c r="D14" s="619"/>
      <c r="E14" s="619"/>
      <c r="F14" s="616">
        <f t="shared" si="0"/>
        <v>1304</v>
      </c>
      <c r="G14" s="618" t="s">
        <v>735</v>
      </c>
      <c r="H14" s="619"/>
      <c r="I14" s="619"/>
      <c r="J14" s="619"/>
      <c r="K14" s="616">
        <f t="shared" si="1"/>
        <v>0</v>
      </c>
      <c r="L14" s="615">
        <v>205975</v>
      </c>
      <c r="M14" s="615"/>
      <c r="N14" s="616">
        <f t="shared" si="2"/>
        <v>205975</v>
      </c>
      <c r="O14" s="616">
        <f t="shared" si="3"/>
        <v>207279</v>
      </c>
    </row>
    <row r="15" spans="1:15" ht="26.45" customHeight="1" x14ac:dyDescent="0.4">
      <c r="A15" s="618" t="s">
        <v>736</v>
      </c>
      <c r="B15" s="619">
        <v>1560</v>
      </c>
      <c r="C15" s="619"/>
      <c r="D15" s="619"/>
      <c r="E15" s="619"/>
      <c r="F15" s="616">
        <f t="shared" si="0"/>
        <v>1560</v>
      </c>
      <c r="G15" s="618" t="s">
        <v>736</v>
      </c>
      <c r="H15" s="619"/>
      <c r="I15" s="619"/>
      <c r="J15" s="619"/>
      <c r="K15" s="616">
        <f t="shared" si="1"/>
        <v>0</v>
      </c>
      <c r="L15" s="615">
        <v>156466</v>
      </c>
      <c r="M15" s="615"/>
      <c r="N15" s="616">
        <f t="shared" si="2"/>
        <v>156466</v>
      </c>
      <c r="O15" s="616">
        <f t="shared" si="3"/>
        <v>158026</v>
      </c>
    </row>
    <row r="16" spans="1:15" ht="26.45" customHeight="1" x14ac:dyDescent="0.4">
      <c r="A16" s="618" t="s">
        <v>737</v>
      </c>
      <c r="B16" s="619">
        <v>1216</v>
      </c>
      <c r="C16" s="619"/>
      <c r="D16" s="619"/>
      <c r="E16" s="619"/>
      <c r="F16" s="616">
        <f t="shared" si="0"/>
        <v>1216</v>
      </c>
      <c r="G16" s="618" t="s">
        <v>737</v>
      </c>
      <c r="H16" s="619"/>
      <c r="I16" s="619"/>
      <c r="J16" s="619"/>
      <c r="K16" s="616">
        <f t="shared" si="1"/>
        <v>0</v>
      </c>
      <c r="L16" s="615">
        <v>167727</v>
      </c>
      <c r="M16" s="615"/>
      <c r="N16" s="616">
        <f t="shared" si="2"/>
        <v>167727</v>
      </c>
      <c r="O16" s="616">
        <f t="shared" si="3"/>
        <v>168943</v>
      </c>
    </row>
    <row r="17" spans="1:15" ht="26.45" customHeight="1" x14ac:dyDescent="0.4">
      <c r="A17" s="618" t="s">
        <v>738</v>
      </c>
      <c r="B17" s="619">
        <v>760</v>
      </c>
      <c r="C17" s="619"/>
      <c r="D17" s="619"/>
      <c r="E17" s="619"/>
      <c r="F17" s="616">
        <f t="shared" si="0"/>
        <v>760</v>
      </c>
      <c r="G17" s="618" t="s">
        <v>738</v>
      </c>
      <c r="H17" s="619"/>
      <c r="I17" s="619"/>
      <c r="J17" s="619"/>
      <c r="K17" s="616">
        <f t="shared" si="1"/>
        <v>0</v>
      </c>
      <c r="L17" s="615">
        <v>230100</v>
      </c>
      <c r="M17" s="615"/>
      <c r="N17" s="616">
        <f t="shared" si="2"/>
        <v>230100</v>
      </c>
      <c r="O17" s="616">
        <f t="shared" si="3"/>
        <v>230860</v>
      </c>
    </row>
    <row r="18" spans="1:15" ht="26.45" customHeight="1" x14ac:dyDescent="0.4">
      <c r="A18" s="618" t="s">
        <v>739</v>
      </c>
      <c r="B18" s="619">
        <v>2920</v>
      </c>
      <c r="C18" s="619"/>
      <c r="D18" s="619"/>
      <c r="E18" s="619"/>
      <c r="F18" s="616">
        <f t="shared" si="0"/>
        <v>2920</v>
      </c>
      <c r="G18" s="618" t="s">
        <v>739</v>
      </c>
      <c r="H18" s="619"/>
      <c r="I18" s="619"/>
      <c r="J18" s="619"/>
      <c r="K18" s="616">
        <f t="shared" si="1"/>
        <v>0</v>
      </c>
      <c r="L18" s="615">
        <v>285732</v>
      </c>
      <c r="M18" s="615"/>
      <c r="N18" s="616">
        <f t="shared" si="2"/>
        <v>285732</v>
      </c>
      <c r="O18" s="616">
        <f t="shared" si="3"/>
        <v>288652</v>
      </c>
    </row>
    <row r="19" spans="1:15" ht="27" customHeight="1" x14ac:dyDescent="0.4">
      <c r="A19" s="618" t="s">
        <v>740</v>
      </c>
      <c r="B19" s="619">
        <v>680</v>
      </c>
      <c r="C19" s="619"/>
      <c r="D19" s="619"/>
      <c r="E19" s="619"/>
      <c r="F19" s="616">
        <f t="shared" si="0"/>
        <v>680</v>
      </c>
      <c r="G19" s="618" t="s">
        <v>740</v>
      </c>
      <c r="H19" s="619"/>
      <c r="I19" s="619"/>
      <c r="J19" s="619"/>
      <c r="K19" s="616">
        <f t="shared" si="1"/>
        <v>0</v>
      </c>
      <c r="L19" s="615">
        <v>135344</v>
      </c>
      <c r="M19" s="615"/>
      <c r="N19" s="616">
        <f t="shared" si="2"/>
        <v>135344</v>
      </c>
      <c r="O19" s="616">
        <f t="shared" si="3"/>
        <v>136024</v>
      </c>
    </row>
    <row r="20" spans="1:15" ht="25.5" customHeight="1" x14ac:dyDescent="0.4">
      <c r="A20" s="618" t="s">
        <v>741</v>
      </c>
      <c r="B20" s="619">
        <v>1040</v>
      </c>
      <c r="C20" s="619"/>
      <c r="D20" s="619"/>
      <c r="E20" s="619"/>
      <c r="F20" s="616">
        <f t="shared" si="0"/>
        <v>1040</v>
      </c>
      <c r="G20" s="618" t="s">
        <v>741</v>
      </c>
      <c r="H20" s="619"/>
      <c r="I20" s="619"/>
      <c r="J20" s="619"/>
      <c r="K20" s="616">
        <f t="shared" si="1"/>
        <v>0</v>
      </c>
      <c r="L20" s="615">
        <v>129802</v>
      </c>
      <c r="M20" s="615"/>
      <c r="N20" s="616">
        <f t="shared" si="2"/>
        <v>129802</v>
      </c>
      <c r="O20" s="616">
        <f t="shared" si="3"/>
        <v>130842</v>
      </c>
    </row>
    <row r="21" spans="1:15" ht="26.45" customHeight="1" x14ac:dyDescent="0.4">
      <c r="A21" s="618" t="s">
        <v>742</v>
      </c>
      <c r="B21" s="619">
        <v>1176</v>
      </c>
      <c r="C21" s="619"/>
      <c r="D21" s="619"/>
      <c r="E21" s="619"/>
      <c r="F21" s="616">
        <f t="shared" si="0"/>
        <v>1176</v>
      </c>
      <c r="G21" s="618" t="s">
        <v>742</v>
      </c>
      <c r="H21" s="619"/>
      <c r="I21" s="619"/>
      <c r="J21" s="619"/>
      <c r="K21" s="616">
        <f t="shared" si="1"/>
        <v>0</v>
      </c>
      <c r="L21" s="615">
        <v>160936</v>
      </c>
      <c r="M21" s="615"/>
      <c r="N21" s="616">
        <f t="shared" si="2"/>
        <v>160936</v>
      </c>
      <c r="O21" s="616">
        <f t="shared" si="3"/>
        <v>162112</v>
      </c>
    </row>
    <row r="22" spans="1:15" ht="26.45" customHeight="1" x14ac:dyDescent="0.4">
      <c r="A22" s="618" t="s">
        <v>743</v>
      </c>
      <c r="B22" s="619">
        <v>472</v>
      </c>
      <c r="C22" s="619"/>
      <c r="D22" s="619"/>
      <c r="E22" s="619"/>
      <c r="F22" s="616">
        <f t="shared" si="0"/>
        <v>472</v>
      </c>
      <c r="G22" s="618" t="s">
        <v>743</v>
      </c>
      <c r="H22" s="619"/>
      <c r="I22" s="619"/>
      <c r="J22" s="619"/>
      <c r="K22" s="616">
        <f t="shared" si="1"/>
        <v>0</v>
      </c>
      <c r="L22" s="615">
        <v>191931</v>
      </c>
      <c r="M22" s="615"/>
      <c r="N22" s="616">
        <f t="shared" si="2"/>
        <v>191931</v>
      </c>
      <c r="O22" s="616">
        <f t="shared" si="3"/>
        <v>192403</v>
      </c>
    </row>
    <row r="23" spans="1:15" ht="26.45" customHeight="1" x14ac:dyDescent="0.4">
      <c r="A23" s="618" t="s">
        <v>744</v>
      </c>
      <c r="B23" s="619">
        <v>1448</v>
      </c>
      <c r="C23" s="619"/>
      <c r="D23" s="619"/>
      <c r="E23" s="619"/>
      <c r="F23" s="616">
        <f t="shared" si="0"/>
        <v>1448</v>
      </c>
      <c r="G23" s="618" t="s">
        <v>744</v>
      </c>
      <c r="H23" s="619"/>
      <c r="I23" s="619"/>
      <c r="J23" s="619"/>
      <c r="K23" s="616">
        <f t="shared" si="1"/>
        <v>0</v>
      </c>
      <c r="L23" s="615">
        <v>266280</v>
      </c>
      <c r="M23" s="615"/>
      <c r="N23" s="616">
        <f t="shared" si="2"/>
        <v>266280</v>
      </c>
      <c r="O23" s="616">
        <f t="shared" si="3"/>
        <v>267728</v>
      </c>
    </row>
    <row r="24" spans="1:15" ht="26.45" customHeight="1" x14ac:dyDescent="0.4">
      <c r="A24" s="618" t="s">
        <v>745</v>
      </c>
      <c r="B24" s="619">
        <v>360</v>
      </c>
      <c r="C24" s="619"/>
      <c r="D24" s="619"/>
      <c r="E24" s="619"/>
      <c r="F24" s="616">
        <f t="shared" si="0"/>
        <v>360</v>
      </c>
      <c r="G24" s="618" t="s">
        <v>745</v>
      </c>
      <c r="H24" s="619"/>
      <c r="I24" s="619"/>
      <c r="J24" s="619"/>
      <c r="K24" s="616">
        <f t="shared" si="1"/>
        <v>0</v>
      </c>
      <c r="L24" s="615">
        <v>194627</v>
      </c>
      <c r="M24" s="615"/>
      <c r="N24" s="616">
        <f t="shared" si="2"/>
        <v>194627</v>
      </c>
      <c r="O24" s="616">
        <f t="shared" si="3"/>
        <v>194987</v>
      </c>
    </row>
    <row r="25" spans="1:15" ht="26.45" customHeight="1" x14ac:dyDescent="0.4">
      <c r="A25" s="614" t="s">
        <v>746</v>
      </c>
      <c r="B25" s="615">
        <v>1000</v>
      </c>
      <c r="C25" s="615"/>
      <c r="D25" s="615"/>
      <c r="E25" s="615"/>
      <c r="F25" s="616">
        <f t="shared" si="0"/>
        <v>1000</v>
      </c>
      <c r="G25" s="614" t="s">
        <v>746</v>
      </c>
      <c r="H25" s="615"/>
      <c r="I25" s="615"/>
      <c r="J25" s="615"/>
      <c r="K25" s="616">
        <f t="shared" si="1"/>
        <v>0</v>
      </c>
      <c r="L25" s="615">
        <v>147733</v>
      </c>
      <c r="M25" s="615"/>
      <c r="N25" s="616">
        <f t="shared" si="2"/>
        <v>147733</v>
      </c>
      <c r="O25" s="616">
        <f t="shared" si="3"/>
        <v>148733</v>
      </c>
    </row>
    <row r="26" spans="1:15" ht="26.45" customHeight="1" thickBot="1" x14ac:dyDescent="0.45">
      <c r="A26" s="620" t="s">
        <v>747</v>
      </c>
      <c r="B26" s="621">
        <v>840</v>
      </c>
      <c r="C26" s="621"/>
      <c r="D26" s="621"/>
      <c r="E26" s="621"/>
      <c r="F26" s="616">
        <f t="shared" si="0"/>
        <v>840</v>
      </c>
      <c r="G26" s="620" t="s">
        <v>747</v>
      </c>
      <c r="H26" s="621"/>
      <c r="I26" s="621"/>
      <c r="J26" s="621"/>
      <c r="K26" s="616">
        <f t="shared" si="1"/>
        <v>0</v>
      </c>
      <c r="L26" s="615">
        <v>119614</v>
      </c>
      <c r="M26" s="615"/>
      <c r="N26" s="616">
        <f t="shared" si="2"/>
        <v>119614</v>
      </c>
      <c r="O26" s="616">
        <f t="shared" si="3"/>
        <v>120454</v>
      </c>
    </row>
    <row r="27" spans="1:15" s="624" customFormat="1" ht="26.45" customHeight="1" thickBot="1" x14ac:dyDescent="0.45">
      <c r="A27" s="622" t="s">
        <v>748</v>
      </c>
      <c r="B27" s="623">
        <f>SUM(B9:B26)</f>
        <v>20784</v>
      </c>
      <c r="C27" s="623">
        <f>SUM(C9:C26)</f>
        <v>0</v>
      </c>
      <c r="D27" s="623">
        <f>SUM(D9:D26)</f>
        <v>0</v>
      </c>
      <c r="E27" s="623">
        <f>SUM(E9:E26)</f>
        <v>0</v>
      </c>
      <c r="F27" s="623">
        <f>SUM(F9:F26)</f>
        <v>20784</v>
      </c>
      <c r="G27" s="622" t="s">
        <v>748</v>
      </c>
      <c r="H27" s="623">
        <f t="shared" ref="H27:O27" si="4">SUM(H9:H26)</f>
        <v>0</v>
      </c>
      <c r="I27" s="623">
        <f t="shared" si="4"/>
        <v>0</v>
      </c>
      <c r="J27" s="623">
        <f t="shared" si="4"/>
        <v>0</v>
      </c>
      <c r="K27" s="623">
        <f t="shared" si="4"/>
        <v>0</v>
      </c>
      <c r="L27" s="623">
        <f t="shared" si="4"/>
        <v>3520116</v>
      </c>
      <c r="M27" s="623">
        <f t="shared" si="4"/>
        <v>0</v>
      </c>
      <c r="N27" s="623">
        <f t="shared" si="4"/>
        <v>3520116</v>
      </c>
      <c r="O27" s="623">
        <f t="shared" si="4"/>
        <v>3540900</v>
      </c>
    </row>
    <row r="28" spans="1:15" ht="26.45" customHeight="1" thickBot="1" x14ac:dyDescent="0.45">
      <c r="A28" s="625" t="s">
        <v>749</v>
      </c>
      <c r="B28" s="626">
        <v>658521</v>
      </c>
      <c r="C28" s="626"/>
      <c r="D28" s="626"/>
      <c r="E28" s="626"/>
      <c r="F28" s="623">
        <f>SUM(B28:E28)</f>
        <v>658521</v>
      </c>
      <c r="G28" s="625" t="s">
        <v>749</v>
      </c>
      <c r="H28" s="626"/>
      <c r="I28" s="626"/>
      <c r="J28" s="626"/>
      <c r="K28" s="623">
        <f>SUM(H28:J28)</f>
        <v>0</v>
      </c>
      <c r="L28" s="626">
        <v>1836748</v>
      </c>
      <c r="M28" s="626"/>
      <c r="N28" s="623">
        <f>SUM(L28:M28)</f>
        <v>1836748</v>
      </c>
      <c r="O28" s="623">
        <f>F28+K28+N28</f>
        <v>2495269</v>
      </c>
    </row>
    <row r="29" spans="1:15" s="629" customFormat="1" ht="26.45" customHeight="1" thickBot="1" x14ac:dyDescent="0.45">
      <c r="A29" s="627" t="s">
        <v>750</v>
      </c>
      <c r="B29" s="628">
        <f>SUM(B27:B28)</f>
        <v>679305</v>
      </c>
      <c r="C29" s="628">
        <f>SUM(C27:C28)</f>
        <v>0</v>
      </c>
      <c r="D29" s="628">
        <f>SUM(D27:D28)</f>
        <v>0</v>
      </c>
      <c r="E29" s="628">
        <f>SUM(E27:E28)</f>
        <v>0</v>
      </c>
      <c r="F29" s="628">
        <f>SUM(F27:F28)</f>
        <v>679305</v>
      </c>
      <c r="G29" s="627" t="s">
        <v>750</v>
      </c>
      <c r="H29" s="628">
        <f t="shared" ref="H29:O29" si="5">SUM(H27:H28)</f>
        <v>0</v>
      </c>
      <c r="I29" s="628">
        <f t="shared" si="5"/>
        <v>0</v>
      </c>
      <c r="J29" s="628">
        <f t="shared" si="5"/>
        <v>0</v>
      </c>
      <c r="K29" s="628">
        <f t="shared" si="5"/>
        <v>0</v>
      </c>
      <c r="L29" s="628">
        <f t="shared" si="5"/>
        <v>5356864</v>
      </c>
      <c r="M29" s="628">
        <f t="shared" si="5"/>
        <v>0</v>
      </c>
      <c r="N29" s="628">
        <f t="shared" si="5"/>
        <v>5356864</v>
      </c>
      <c r="O29" s="628">
        <f t="shared" si="5"/>
        <v>6036169</v>
      </c>
    </row>
    <row r="30" spans="1:15" ht="26.45" customHeight="1" x14ac:dyDescent="0.4">
      <c r="A30" s="612" t="s">
        <v>751</v>
      </c>
      <c r="B30" s="630"/>
      <c r="C30" s="630"/>
      <c r="D30" s="630"/>
      <c r="E30" s="630"/>
      <c r="F30" s="630"/>
      <c r="G30" s="612" t="s">
        <v>751</v>
      </c>
      <c r="H30" s="630"/>
      <c r="I30" s="630"/>
      <c r="J30" s="630"/>
      <c r="K30" s="630"/>
      <c r="L30" s="630"/>
      <c r="M30" s="630"/>
      <c r="N30" s="630"/>
      <c r="O30" s="630"/>
    </row>
    <row r="31" spans="1:15" ht="26.45" customHeight="1" x14ac:dyDescent="0.4">
      <c r="A31" s="612" t="s">
        <v>752</v>
      </c>
      <c r="B31" s="630"/>
      <c r="C31" s="630"/>
      <c r="D31" s="630"/>
      <c r="E31" s="630"/>
      <c r="F31" s="630"/>
      <c r="G31" s="612" t="s">
        <v>752</v>
      </c>
      <c r="H31" s="630"/>
      <c r="I31" s="630"/>
      <c r="J31" s="630"/>
      <c r="K31" s="630"/>
      <c r="L31" s="630"/>
      <c r="M31" s="630"/>
      <c r="N31" s="630"/>
      <c r="O31" s="630"/>
    </row>
    <row r="32" spans="1:15" ht="26.45" customHeight="1" x14ac:dyDescent="0.4">
      <c r="A32" s="631" t="s">
        <v>102</v>
      </c>
      <c r="B32" s="621">
        <v>28471</v>
      </c>
      <c r="C32" s="621"/>
      <c r="D32" s="621"/>
      <c r="E32" s="621"/>
      <c r="F32" s="616">
        <f>SUM(B32:E32)</f>
        <v>28471</v>
      </c>
      <c r="G32" s="631" t="s">
        <v>102</v>
      </c>
      <c r="H32" s="615"/>
      <c r="I32" s="615"/>
      <c r="J32" s="615"/>
      <c r="K32" s="616">
        <f>SUM(H32:J32)</f>
        <v>0</v>
      </c>
      <c r="L32" s="615">
        <v>134055</v>
      </c>
      <c r="M32" s="615"/>
      <c r="N32" s="616">
        <f>SUM(L32:M32)</f>
        <v>134055</v>
      </c>
      <c r="O32" s="616">
        <f>F32+K32+N32</f>
        <v>162526</v>
      </c>
    </row>
    <row r="33" spans="1:15" ht="26.45" customHeight="1" x14ac:dyDescent="0.4">
      <c r="A33" s="618" t="s">
        <v>551</v>
      </c>
      <c r="B33" s="619">
        <v>113344</v>
      </c>
      <c r="C33" s="619"/>
      <c r="D33" s="619"/>
      <c r="E33" s="619"/>
      <c r="F33" s="616">
        <f>SUM(B33:E33)</f>
        <v>113344</v>
      </c>
      <c r="G33" s="618" t="s">
        <v>551</v>
      </c>
      <c r="H33" s="619"/>
      <c r="I33" s="619"/>
      <c r="J33" s="619"/>
      <c r="K33" s="616">
        <f>SUM(H33:J33)</f>
        <v>0</v>
      </c>
      <c r="L33" s="615">
        <v>468016</v>
      </c>
      <c r="M33" s="615"/>
      <c r="N33" s="616">
        <f>SUM(L33:M33)</f>
        <v>468016</v>
      </c>
      <c r="O33" s="616">
        <f>F33+K33+N33</f>
        <v>581360</v>
      </c>
    </row>
    <row r="34" spans="1:15" ht="26.45" customHeight="1" x14ac:dyDescent="0.4">
      <c r="A34" s="618" t="s">
        <v>753</v>
      </c>
      <c r="B34" s="619">
        <v>32900</v>
      </c>
      <c r="C34" s="619"/>
      <c r="D34" s="619"/>
      <c r="E34" s="619"/>
      <c r="F34" s="616">
        <f>SUM(B34:E34)</f>
        <v>32900</v>
      </c>
      <c r="G34" s="618" t="s">
        <v>753</v>
      </c>
      <c r="H34" s="619"/>
      <c r="I34" s="619"/>
      <c r="J34" s="619"/>
      <c r="K34" s="616">
        <f>SUM(H34:J34)</f>
        <v>0</v>
      </c>
      <c r="L34" s="615">
        <v>291995</v>
      </c>
      <c r="M34" s="615"/>
      <c r="N34" s="616">
        <f>SUM(L34:M34)</f>
        <v>291995</v>
      </c>
      <c r="O34" s="616">
        <f>F34+K34+N34</f>
        <v>324895</v>
      </c>
    </row>
    <row r="35" spans="1:15" ht="26.45" customHeight="1" thickBot="1" x14ac:dyDescent="0.45">
      <c r="A35" s="632" t="s">
        <v>552</v>
      </c>
      <c r="B35" s="633">
        <v>154078</v>
      </c>
      <c r="C35" s="633"/>
      <c r="D35" s="633"/>
      <c r="E35" s="633"/>
      <c r="F35" s="634">
        <f>SUM(B35:E35)</f>
        <v>154078</v>
      </c>
      <c r="G35" s="632" t="s">
        <v>552</v>
      </c>
      <c r="H35" s="633"/>
      <c r="I35" s="633"/>
      <c r="J35" s="633"/>
      <c r="K35" s="634">
        <f>SUM(H35:J35)</f>
        <v>0</v>
      </c>
      <c r="L35" s="633">
        <v>602349</v>
      </c>
      <c r="M35" s="633"/>
      <c r="N35" s="634">
        <f>SUM(L35:M35)</f>
        <v>602349</v>
      </c>
      <c r="O35" s="634">
        <f>F35+K35+N35</f>
        <v>756427</v>
      </c>
    </row>
    <row r="36" spans="1:15" ht="26.45" customHeight="1" thickBot="1" x14ac:dyDescent="0.45">
      <c r="A36" s="627" t="s">
        <v>754</v>
      </c>
      <c r="B36" s="628">
        <f>SUM(B32:B35)</f>
        <v>328793</v>
      </c>
      <c r="C36" s="628">
        <f>SUM(C32:C35)</f>
        <v>0</v>
      </c>
      <c r="D36" s="628">
        <f>SUM(D32:D35)</f>
        <v>0</v>
      </c>
      <c r="E36" s="628">
        <f>SUM(E32:E35)</f>
        <v>0</v>
      </c>
      <c r="F36" s="628">
        <f>SUM(F32:F35)</f>
        <v>328793</v>
      </c>
      <c r="G36" s="627" t="s">
        <v>754</v>
      </c>
      <c r="H36" s="628">
        <f t="shared" ref="H36:O36" si="6">SUM(H32:H35)</f>
        <v>0</v>
      </c>
      <c r="I36" s="628">
        <f t="shared" si="6"/>
        <v>0</v>
      </c>
      <c r="J36" s="628">
        <f t="shared" si="6"/>
        <v>0</v>
      </c>
      <c r="K36" s="628">
        <f t="shared" si="6"/>
        <v>0</v>
      </c>
      <c r="L36" s="628">
        <f t="shared" si="6"/>
        <v>1496415</v>
      </c>
      <c r="M36" s="628">
        <f t="shared" si="6"/>
        <v>0</v>
      </c>
      <c r="N36" s="628">
        <f t="shared" si="6"/>
        <v>1496415</v>
      </c>
      <c r="O36" s="628">
        <f t="shared" si="6"/>
        <v>1825208</v>
      </c>
    </row>
    <row r="37" spans="1:15" ht="26.45" customHeight="1" x14ac:dyDescent="0.4">
      <c r="A37" s="603" t="s">
        <v>755</v>
      </c>
      <c r="B37" s="630"/>
      <c r="C37" s="630"/>
      <c r="D37" s="630"/>
      <c r="E37" s="630"/>
      <c r="F37" s="630"/>
      <c r="G37" s="603" t="s">
        <v>756</v>
      </c>
      <c r="H37" s="635"/>
      <c r="I37" s="635"/>
      <c r="J37" s="635"/>
      <c r="K37" s="635"/>
      <c r="L37" s="635"/>
      <c r="M37" s="635"/>
      <c r="N37" s="635"/>
      <c r="O37" s="635"/>
    </row>
    <row r="38" spans="1:15" ht="26.45" customHeight="1" thickBot="1" x14ac:dyDescent="0.45">
      <c r="A38" s="631" t="s">
        <v>581</v>
      </c>
      <c r="B38" s="621">
        <v>197479</v>
      </c>
      <c r="C38" s="621"/>
      <c r="D38" s="621"/>
      <c r="E38" s="621"/>
      <c r="F38" s="616">
        <f>SUM(B38:E38)</f>
        <v>197479</v>
      </c>
      <c r="G38" s="631" t="s">
        <v>581</v>
      </c>
      <c r="H38" s="636"/>
      <c r="I38" s="636"/>
      <c r="J38" s="636"/>
      <c r="K38" s="616">
        <f>SUM(H38:J38)</f>
        <v>0</v>
      </c>
      <c r="L38" s="615">
        <v>1520185</v>
      </c>
      <c r="M38" s="615"/>
      <c r="N38" s="616">
        <f>SUM(L38:M38)</f>
        <v>1520185</v>
      </c>
      <c r="O38" s="616">
        <f>F38+K38+N38</f>
        <v>1717664</v>
      </c>
    </row>
    <row r="39" spans="1:15" ht="26.45" customHeight="1" x14ac:dyDescent="0.4">
      <c r="A39" s="603" t="s">
        <v>757</v>
      </c>
      <c r="B39" s="635"/>
      <c r="C39" s="635"/>
      <c r="D39" s="635"/>
      <c r="E39" s="635"/>
      <c r="F39" s="635"/>
      <c r="G39" s="603" t="s">
        <v>757</v>
      </c>
      <c r="H39" s="637"/>
      <c r="I39" s="637"/>
      <c r="J39" s="637"/>
      <c r="K39" s="635"/>
      <c r="L39" s="637"/>
      <c r="M39" s="637"/>
      <c r="N39" s="635"/>
      <c r="O39" s="635"/>
    </row>
    <row r="40" spans="1:15" ht="26.45" customHeight="1" thickBot="1" x14ac:dyDescent="0.45">
      <c r="A40" s="631" t="s">
        <v>758</v>
      </c>
      <c r="B40" s="636">
        <v>39495</v>
      </c>
      <c r="C40" s="636">
        <v>449270</v>
      </c>
      <c r="D40" s="636"/>
      <c r="E40" s="636"/>
      <c r="F40" s="628">
        <f>SUM(B40:E40)</f>
        <v>488765</v>
      </c>
      <c r="G40" s="638" t="s">
        <v>758</v>
      </c>
      <c r="H40" s="636"/>
      <c r="I40" s="636"/>
      <c r="J40" s="636"/>
      <c r="K40" s="628">
        <f>SUM(H40:J40)</f>
        <v>0</v>
      </c>
      <c r="L40" s="636">
        <v>356057</v>
      </c>
      <c r="M40" s="636"/>
      <c r="N40" s="628">
        <f>SUM(L40:M40)</f>
        <v>356057</v>
      </c>
      <c r="O40" s="628">
        <f>F40+K40+N40</f>
        <v>844822</v>
      </c>
    </row>
    <row r="41" spans="1:15" ht="26.45" customHeight="1" x14ac:dyDescent="0.4">
      <c r="A41" s="603" t="s">
        <v>759</v>
      </c>
      <c r="B41" s="630"/>
      <c r="C41" s="630"/>
      <c r="D41" s="630"/>
      <c r="E41" s="630"/>
      <c r="F41" s="630"/>
      <c r="G41" s="612" t="s">
        <v>759</v>
      </c>
      <c r="H41" s="621"/>
      <c r="I41" s="621"/>
      <c r="J41" s="621"/>
      <c r="K41" s="630"/>
      <c r="L41" s="621"/>
      <c r="M41" s="621"/>
      <c r="N41" s="630"/>
      <c r="O41" s="630"/>
    </row>
    <row r="42" spans="1:15" ht="26.45" customHeight="1" thickBot="1" x14ac:dyDescent="0.45">
      <c r="A42" s="639" t="s">
        <v>649</v>
      </c>
      <c r="B42" s="621">
        <v>97148</v>
      </c>
      <c r="C42" s="621"/>
      <c r="D42" s="621"/>
      <c r="E42" s="621"/>
      <c r="F42" s="616">
        <f>SUM(B42:E42)</f>
        <v>97148</v>
      </c>
      <c r="G42" s="639" t="s">
        <v>649</v>
      </c>
      <c r="H42" s="621"/>
      <c r="I42" s="621"/>
      <c r="J42" s="621"/>
      <c r="K42" s="616">
        <f>SUM(H42:J42)</f>
        <v>0</v>
      </c>
      <c r="L42" s="615">
        <v>1882717</v>
      </c>
      <c r="M42" s="615">
        <v>700</v>
      </c>
      <c r="N42" s="616">
        <f>SUM(L42:M42)</f>
        <v>1883417</v>
      </c>
      <c r="O42" s="616">
        <f>F42+K42+N42</f>
        <v>1980565</v>
      </c>
    </row>
    <row r="43" spans="1:15" ht="26.45" customHeight="1" x14ac:dyDescent="0.4">
      <c r="A43" s="603" t="s">
        <v>760</v>
      </c>
      <c r="B43" s="635"/>
      <c r="C43" s="635"/>
      <c r="D43" s="635"/>
      <c r="E43" s="635"/>
      <c r="F43" s="635"/>
      <c r="G43" s="603" t="s">
        <v>760</v>
      </c>
      <c r="H43" s="637"/>
      <c r="I43" s="637"/>
      <c r="J43" s="637"/>
      <c r="K43" s="635"/>
      <c r="L43" s="637"/>
      <c r="M43" s="637"/>
      <c r="N43" s="635"/>
      <c r="O43" s="635"/>
    </row>
    <row r="44" spans="1:15" ht="26.45" customHeight="1" x14ac:dyDescent="0.4">
      <c r="A44" s="631" t="s">
        <v>761</v>
      </c>
      <c r="B44" s="615">
        <v>188823</v>
      </c>
      <c r="C44" s="615"/>
      <c r="D44" s="615"/>
      <c r="E44" s="615"/>
      <c r="F44" s="616">
        <f>SUM(B44:E44)</f>
        <v>188823</v>
      </c>
      <c r="G44" s="631" t="s">
        <v>761</v>
      </c>
      <c r="H44" s="615"/>
      <c r="I44" s="615"/>
      <c r="J44" s="615"/>
      <c r="K44" s="616">
        <f>SUM(H44:J44)</f>
        <v>0</v>
      </c>
      <c r="L44" s="615">
        <v>20195</v>
      </c>
      <c r="M44" s="615"/>
      <c r="N44" s="616">
        <f>SUM(L44:M44)</f>
        <v>20195</v>
      </c>
      <c r="O44" s="616">
        <f>F44+K44+N44</f>
        <v>209018</v>
      </c>
    </row>
    <row r="45" spans="1:15" s="641" customFormat="1" ht="26.25" customHeight="1" x14ac:dyDescent="0.4">
      <c r="A45" s="618" t="s">
        <v>4</v>
      </c>
      <c r="B45" s="619">
        <v>17150</v>
      </c>
      <c r="C45" s="619"/>
      <c r="D45" s="619"/>
      <c r="E45" s="619">
        <v>1850</v>
      </c>
      <c r="F45" s="640">
        <f>SUM(B45:E45)</f>
        <v>19000</v>
      </c>
      <c r="G45" s="618" t="s">
        <v>4</v>
      </c>
      <c r="H45" s="619"/>
      <c r="I45" s="619"/>
      <c r="J45" s="619"/>
      <c r="K45" s="616">
        <f>SUM(H45:J45)</f>
        <v>0</v>
      </c>
      <c r="L45" s="619">
        <v>3115054</v>
      </c>
      <c r="M45" s="619">
        <v>72163</v>
      </c>
      <c r="N45" s="640">
        <f>SUM(L45:M45)</f>
        <v>3187217</v>
      </c>
      <c r="O45" s="640">
        <f>F45+K45+N45</f>
        <v>3206217</v>
      </c>
    </row>
    <row r="46" spans="1:15" ht="26.45" customHeight="1" thickBot="1" x14ac:dyDescent="0.45">
      <c r="A46" s="627" t="s">
        <v>762</v>
      </c>
      <c r="B46" s="628">
        <f>SUM(B44:B45)</f>
        <v>205973</v>
      </c>
      <c r="C46" s="628">
        <f>SUM(C44:C45)</f>
        <v>0</v>
      </c>
      <c r="D46" s="628">
        <f>SUM(D44:D45)</f>
        <v>0</v>
      </c>
      <c r="E46" s="628">
        <f>SUM(E44:E45)</f>
        <v>1850</v>
      </c>
      <c r="F46" s="628">
        <f>SUM(F44:F45)</f>
        <v>207823</v>
      </c>
      <c r="G46" s="627" t="s">
        <v>762</v>
      </c>
      <c r="H46" s="628">
        <f t="shared" ref="H46:O46" si="7">SUM(H44:H45)</f>
        <v>0</v>
      </c>
      <c r="I46" s="628">
        <f t="shared" si="7"/>
        <v>0</v>
      </c>
      <c r="J46" s="628">
        <f t="shared" si="7"/>
        <v>0</v>
      </c>
      <c r="K46" s="628">
        <f t="shared" si="7"/>
        <v>0</v>
      </c>
      <c r="L46" s="628">
        <f t="shared" si="7"/>
        <v>3135249</v>
      </c>
      <c r="M46" s="628">
        <f t="shared" si="7"/>
        <v>72163</v>
      </c>
      <c r="N46" s="628">
        <f t="shared" si="7"/>
        <v>3207412</v>
      </c>
      <c r="O46" s="628">
        <f t="shared" si="7"/>
        <v>3415235</v>
      </c>
    </row>
    <row r="47" spans="1:15" ht="26.45" customHeight="1" thickBot="1" x14ac:dyDescent="0.45">
      <c r="A47" s="627" t="s">
        <v>763</v>
      </c>
      <c r="B47" s="628">
        <f>B36+B38+B40+B42+B46</f>
        <v>868888</v>
      </c>
      <c r="C47" s="628">
        <f>C36+C38+C40+C42+C46</f>
        <v>449270</v>
      </c>
      <c r="D47" s="628">
        <f>D36+D38+D40+D42+D46</f>
        <v>0</v>
      </c>
      <c r="E47" s="628">
        <f>E36+E38+E40+E42+E46</f>
        <v>1850</v>
      </c>
      <c r="F47" s="628">
        <f>F36+F38+F40+F42+F46</f>
        <v>1320008</v>
      </c>
      <c r="G47" s="627" t="s">
        <v>763</v>
      </c>
      <c r="H47" s="628">
        <f t="shared" ref="H47:O47" si="8">H36+H38+H40+H42+H46</f>
        <v>0</v>
      </c>
      <c r="I47" s="628">
        <f t="shared" si="8"/>
        <v>0</v>
      </c>
      <c r="J47" s="628">
        <f t="shared" si="8"/>
        <v>0</v>
      </c>
      <c r="K47" s="628">
        <f t="shared" si="8"/>
        <v>0</v>
      </c>
      <c r="L47" s="628">
        <f t="shared" si="8"/>
        <v>8390623</v>
      </c>
      <c r="M47" s="628">
        <f t="shared" si="8"/>
        <v>72863</v>
      </c>
      <c r="N47" s="628">
        <f t="shared" si="8"/>
        <v>8463486</v>
      </c>
      <c r="O47" s="628">
        <f t="shared" si="8"/>
        <v>9783494</v>
      </c>
    </row>
    <row r="48" spans="1:15" ht="39.75" customHeight="1" thickBot="1" x14ac:dyDescent="0.45">
      <c r="A48" s="622" t="s">
        <v>764</v>
      </c>
      <c r="B48" s="623">
        <f>B29+B47</f>
        <v>1548193</v>
      </c>
      <c r="C48" s="623">
        <f>C29+C47</f>
        <v>449270</v>
      </c>
      <c r="D48" s="623">
        <f>D29+D47</f>
        <v>0</v>
      </c>
      <c r="E48" s="623">
        <f>E29+E47</f>
        <v>1850</v>
      </c>
      <c r="F48" s="623">
        <f>F29+F47</f>
        <v>1999313</v>
      </c>
      <c r="G48" s="622" t="s">
        <v>764</v>
      </c>
      <c r="H48" s="623">
        <f t="shared" ref="H48:O48" si="9">H29+H47</f>
        <v>0</v>
      </c>
      <c r="I48" s="623">
        <f t="shared" si="9"/>
        <v>0</v>
      </c>
      <c r="J48" s="623">
        <f t="shared" si="9"/>
        <v>0</v>
      </c>
      <c r="K48" s="623">
        <f t="shared" si="9"/>
        <v>0</v>
      </c>
      <c r="L48" s="623">
        <f t="shared" si="9"/>
        <v>13747487</v>
      </c>
      <c r="M48" s="623">
        <f t="shared" si="9"/>
        <v>72863</v>
      </c>
      <c r="N48" s="623">
        <f t="shared" si="9"/>
        <v>13820350</v>
      </c>
      <c r="O48" s="623">
        <f t="shared" si="9"/>
        <v>15819663</v>
      </c>
    </row>
    <row r="49" spans="1:7" ht="26.45" customHeight="1" x14ac:dyDescent="0.4">
      <c r="A49" s="642"/>
      <c r="G49" s="642"/>
    </row>
    <row r="50" spans="1:7" ht="26.45" customHeight="1" x14ac:dyDescent="0.4">
      <c r="A50" s="642"/>
      <c r="G50" s="642"/>
    </row>
    <row r="51" spans="1:7" ht="26.45" customHeight="1" x14ac:dyDescent="0.4">
      <c r="A51" s="642"/>
      <c r="G51" s="642"/>
    </row>
    <row r="52" spans="1:7" ht="26.45" customHeight="1" x14ac:dyDescent="0.4">
      <c r="A52" s="642"/>
      <c r="G52" s="642"/>
    </row>
  </sheetData>
  <mergeCells count="4">
    <mergeCell ref="A2:F2"/>
    <mergeCell ref="G2:O2"/>
    <mergeCell ref="A3:F3"/>
    <mergeCell ref="G3:O3"/>
  </mergeCells>
  <printOptions horizontalCentered="1" verticalCentered="1"/>
  <pageMargins left="0" right="0" top="0" bottom="0" header="0" footer="0"/>
  <pageSetup paperSize="9" scale="40" orientation="landscape" r:id="rId1"/>
  <headerFooter alignWithMargins="0">
    <oddHeader xml:space="preserve">&amp;R&amp;"-,Félkövér"&amp;20
4. melléklet a  4/2025.(II.28.) önkormányzati rendelethez&amp;12
</oddHeader>
    <oddFooter xml:space="preserve">&amp;C &amp;R
&amp;36 &amp;10
</oddFooter>
  </headerFooter>
  <colBreaks count="1" manualBreakCount="1">
    <brk id="6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7"/>
  <sheetViews>
    <sheetView zoomScaleNormal="100" zoomScaleSheetLayoutView="44" workbookViewId="0">
      <selection activeCell="B9" sqref="B9"/>
    </sheetView>
  </sheetViews>
  <sheetFormatPr defaultColWidth="10.33203125" defaultRowHeight="72" customHeight="1" x14ac:dyDescent="0.3"/>
  <cols>
    <col min="1" max="1" width="162.6640625" style="770" bestFit="1" customWidth="1"/>
    <col min="2" max="4" width="39.33203125" style="771" bestFit="1" customWidth="1"/>
    <col min="5" max="16384" width="10.33203125" style="769"/>
  </cols>
  <sheetData>
    <row r="1" spans="1:4" s="768" customFormat="1" ht="43.5" customHeight="1" x14ac:dyDescent="0.4">
      <c r="A1" s="956" t="s">
        <v>785</v>
      </c>
      <c r="B1" s="956"/>
      <c r="C1" s="956"/>
      <c r="D1" s="956"/>
    </row>
    <row r="2" spans="1:4" ht="33" customHeight="1" x14ac:dyDescent="0.4">
      <c r="A2" s="957" t="s">
        <v>786</v>
      </c>
      <c r="B2" s="957"/>
      <c r="C2" s="957"/>
      <c r="D2" s="957"/>
    </row>
    <row r="3" spans="1:4" ht="42" customHeight="1" thickBot="1" x14ac:dyDescent="0.4">
      <c r="C3" s="772"/>
      <c r="D3" s="772"/>
    </row>
    <row r="4" spans="1:4" s="776" customFormat="1" ht="123.75" customHeight="1" x14ac:dyDescent="0.4">
      <c r="A4" s="773" t="s">
        <v>787</v>
      </c>
      <c r="B4" s="774" t="s">
        <v>788</v>
      </c>
      <c r="C4" s="775" t="s">
        <v>789</v>
      </c>
      <c r="D4" s="774" t="s">
        <v>790</v>
      </c>
    </row>
    <row r="5" spans="1:4" s="779" customFormat="1" ht="77.25" customHeight="1" x14ac:dyDescent="0.4">
      <c r="A5" s="777" t="s">
        <v>791</v>
      </c>
      <c r="B5" s="778"/>
      <c r="C5" s="778"/>
      <c r="D5" s="778"/>
    </row>
    <row r="6" spans="1:4" s="779" customFormat="1" ht="51" customHeight="1" x14ac:dyDescent="0.5">
      <c r="A6" s="780" t="s">
        <v>792</v>
      </c>
      <c r="B6" s="781">
        <v>1066402</v>
      </c>
      <c r="C6" s="781">
        <v>1066402</v>
      </c>
      <c r="D6" s="781">
        <f>C6-B6</f>
        <v>0</v>
      </c>
    </row>
    <row r="7" spans="1:4" s="779" customFormat="1" ht="61.5" x14ac:dyDescent="0.5">
      <c r="A7" s="782" t="s">
        <v>793</v>
      </c>
      <c r="B7" s="783">
        <v>83140</v>
      </c>
      <c r="C7" s="783">
        <v>83153</v>
      </c>
      <c r="D7" s="781">
        <f t="shared" ref="D7:D13" si="0">C7-B7</f>
        <v>13</v>
      </c>
    </row>
    <row r="8" spans="1:4" s="779" customFormat="1" ht="54.75" customHeight="1" x14ac:dyDescent="0.5">
      <c r="A8" s="782" t="s">
        <v>794</v>
      </c>
      <c r="B8" s="783">
        <v>218067</v>
      </c>
      <c r="C8" s="783">
        <v>218067</v>
      </c>
      <c r="D8" s="781">
        <f t="shared" si="0"/>
        <v>0</v>
      </c>
    </row>
    <row r="9" spans="1:4" s="779" customFormat="1" ht="77.25" customHeight="1" x14ac:dyDescent="0.5">
      <c r="A9" s="782" t="s">
        <v>795</v>
      </c>
      <c r="B9" s="784">
        <v>30744</v>
      </c>
      <c r="C9" s="784">
        <v>100</v>
      </c>
      <c r="D9" s="781">
        <f t="shared" si="0"/>
        <v>-30644</v>
      </c>
    </row>
    <row r="10" spans="1:4" s="779" customFormat="1" ht="77.25" customHeight="1" x14ac:dyDescent="0.5">
      <c r="A10" s="782" t="s">
        <v>796</v>
      </c>
      <c r="B10" s="783">
        <v>130601</v>
      </c>
      <c r="C10" s="783">
        <v>131036</v>
      </c>
      <c r="D10" s="781">
        <f t="shared" si="0"/>
        <v>435</v>
      </c>
    </row>
    <row r="11" spans="1:4" s="779" customFormat="1" ht="77.25" customHeight="1" x14ac:dyDescent="0.5">
      <c r="A11" s="782" t="s">
        <v>797</v>
      </c>
      <c r="B11" s="783">
        <v>208944</v>
      </c>
      <c r="C11" s="783">
        <v>207617</v>
      </c>
      <c r="D11" s="781">
        <f t="shared" si="0"/>
        <v>-1327</v>
      </c>
    </row>
    <row r="12" spans="1:4" s="779" customFormat="1" ht="77.25" customHeight="1" x14ac:dyDescent="0.5">
      <c r="A12" s="782" t="s">
        <v>798</v>
      </c>
      <c r="B12" s="783">
        <v>186</v>
      </c>
      <c r="C12" s="783">
        <v>224</v>
      </c>
      <c r="D12" s="781">
        <f t="shared" si="0"/>
        <v>38</v>
      </c>
    </row>
    <row r="13" spans="1:4" s="779" customFormat="1" ht="77.25" customHeight="1" thickBot="1" x14ac:dyDescent="0.55000000000000004">
      <c r="A13" s="785" t="s">
        <v>799</v>
      </c>
      <c r="B13" s="783">
        <v>42</v>
      </c>
      <c r="C13" s="783"/>
      <c r="D13" s="781">
        <f t="shared" si="0"/>
        <v>-42</v>
      </c>
    </row>
    <row r="14" spans="1:4" s="788" customFormat="1" ht="77.25" customHeight="1" thickTop="1" thickBot="1" x14ac:dyDescent="0.55000000000000004">
      <c r="A14" s="786" t="s">
        <v>800</v>
      </c>
      <c r="B14" s="787">
        <f>SUM(B5:B13)</f>
        <v>1738126</v>
      </c>
      <c r="C14" s="787">
        <f>SUM(C5:C13)</f>
        <v>1706599</v>
      </c>
      <c r="D14" s="787">
        <f>SUM(D5:D13)</f>
        <v>-31527</v>
      </c>
    </row>
    <row r="15" spans="1:4" s="788" customFormat="1" ht="77.25" customHeight="1" thickTop="1" x14ac:dyDescent="0.5">
      <c r="A15" s="789" t="s">
        <v>801</v>
      </c>
      <c r="B15" s="790"/>
      <c r="C15" s="790"/>
      <c r="D15" s="790"/>
    </row>
    <row r="16" spans="1:4" s="779" customFormat="1" ht="77.25" customHeight="1" x14ac:dyDescent="0.5">
      <c r="A16" s="791" t="s">
        <v>802</v>
      </c>
      <c r="B16" s="792"/>
      <c r="C16" s="792"/>
      <c r="D16" s="792"/>
    </row>
    <row r="17" spans="1:4" s="779" customFormat="1" ht="77.25" customHeight="1" x14ac:dyDescent="0.5">
      <c r="A17" s="793" t="s">
        <v>803</v>
      </c>
      <c r="B17" s="781">
        <v>373655</v>
      </c>
      <c r="C17" s="781">
        <v>373655</v>
      </c>
      <c r="D17" s="781">
        <f t="shared" ref="D17:D39" si="1">C17-B17</f>
        <v>0</v>
      </c>
    </row>
    <row r="18" spans="1:4" s="779" customFormat="1" ht="77.25" customHeight="1" x14ac:dyDescent="0.5">
      <c r="A18" s="794" t="s">
        <v>804</v>
      </c>
      <c r="B18" s="795"/>
      <c r="C18" s="795"/>
      <c r="D18" s="795">
        <f t="shared" si="1"/>
        <v>0</v>
      </c>
    </row>
    <row r="19" spans="1:4" s="779" customFormat="1" ht="77.25" customHeight="1" x14ac:dyDescent="0.5">
      <c r="A19" s="796" t="s">
        <v>805</v>
      </c>
      <c r="B19" s="781">
        <v>1681935</v>
      </c>
      <c r="C19" s="781">
        <v>2033459</v>
      </c>
      <c r="D19" s="781">
        <f t="shared" si="1"/>
        <v>351524</v>
      </c>
    </row>
    <row r="20" spans="1:4" s="779" customFormat="1" ht="96" customHeight="1" x14ac:dyDescent="0.5">
      <c r="A20" s="797" t="s">
        <v>806</v>
      </c>
      <c r="B20" s="792"/>
      <c r="C20" s="792"/>
      <c r="D20" s="792"/>
    </row>
    <row r="21" spans="1:4" s="779" customFormat="1" ht="61.5" x14ac:dyDescent="0.5">
      <c r="A21" s="798" t="s">
        <v>807</v>
      </c>
      <c r="B21" s="792"/>
      <c r="C21" s="792"/>
      <c r="D21" s="792"/>
    </row>
    <row r="22" spans="1:4" s="779" customFormat="1" ht="33.75" x14ac:dyDescent="0.5">
      <c r="A22" s="799" t="s">
        <v>808</v>
      </c>
      <c r="B22" s="792"/>
      <c r="C22" s="792"/>
      <c r="D22" s="792"/>
    </row>
    <row r="23" spans="1:4" s="779" customFormat="1" ht="96" customHeight="1" x14ac:dyDescent="0.5">
      <c r="A23" s="800" t="s">
        <v>809</v>
      </c>
      <c r="B23" s="781">
        <v>47609</v>
      </c>
      <c r="C23" s="781">
        <v>49793</v>
      </c>
      <c r="D23" s="781">
        <f t="shared" si="1"/>
        <v>2184</v>
      </c>
    </row>
    <row r="24" spans="1:4" s="779" customFormat="1" ht="47.25" customHeight="1" x14ac:dyDescent="0.5">
      <c r="A24" s="801" t="s">
        <v>810</v>
      </c>
      <c r="B24" s="781">
        <f>B23-B25</f>
        <v>44741</v>
      </c>
      <c r="C24" s="781">
        <v>48055</v>
      </c>
      <c r="D24" s="781">
        <f t="shared" si="1"/>
        <v>3314</v>
      </c>
    </row>
    <row r="25" spans="1:4" s="779" customFormat="1" ht="47.25" customHeight="1" x14ac:dyDescent="0.5">
      <c r="A25" s="780" t="s">
        <v>811</v>
      </c>
      <c r="B25" s="781">
        <v>2868</v>
      </c>
      <c r="C25" s="781">
        <v>1738</v>
      </c>
      <c r="D25" s="781">
        <f t="shared" si="1"/>
        <v>-1130</v>
      </c>
    </row>
    <row r="26" spans="1:4" s="779" customFormat="1" ht="77.25" customHeight="1" x14ac:dyDescent="0.5">
      <c r="A26" s="780" t="s">
        <v>812</v>
      </c>
      <c r="B26" s="783">
        <v>41447</v>
      </c>
      <c r="C26" s="783">
        <v>51208</v>
      </c>
      <c r="D26" s="783">
        <f t="shared" si="1"/>
        <v>9761</v>
      </c>
    </row>
    <row r="27" spans="1:4" s="779" customFormat="1" ht="77.25" customHeight="1" x14ac:dyDescent="0.5">
      <c r="A27" s="797" t="s">
        <v>813</v>
      </c>
      <c r="B27" s="795"/>
      <c r="C27" s="795"/>
      <c r="D27" s="795"/>
    </row>
    <row r="28" spans="1:4" s="779" customFormat="1" ht="90.75" customHeight="1" x14ac:dyDescent="0.5">
      <c r="A28" s="802" t="s">
        <v>814</v>
      </c>
      <c r="B28" s="781">
        <v>1728</v>
      </c>
      <c r="C28" s="781">
        <v>3141</v>
      </c>
      <c r="D28" s="781">
        <f t="shared" si="1"/>
        <v>1413</v>
      </c>
    </row>
    <row r="29" spans="1:4" s="779" customFormat="1" ht="51.75" customHeight="1" x14ac:dyDescent="0.5">
      <c r="A29" s="780" t="s">
        <v>810</v>
      </c>
      <c r="B29" s="781">
        <f>B28-B30</f>
        <v>864</v>
      </c>
      <c r="C29" s="781">
        <v>1047</v>
      </c>
      <c r="D29" s="781">
        <f t="shared" si="1"/>
        <v>183</v>
      </c>
    </row>
    <row r="30" spans="1:4" s="779" customFormat="1" ht="58.5" customHeight="1" x14ac:dyDescent="0.5">
      <c r="A30" s="780" t="s">
        <v>811</v>
      </c>
      <c r="B30" s="781">
        <v>864</v>
      </c>
      <c r="C30" s="781">
        <v>2094</v>
      </c>
      <c r="D30" s="781">
        <f t="shared" si="1"/>
        <v>1230</v>
      </c>
    </row>
    <row r="31" spans="1:4" s="779" customFormat="1" ht="77.25" customHeight="1" x14ac:dyDescent="0.5">
      <c r="A31" s="780" t="s">
        <v>815</v>
      </c>
      <c r="B31" s="783">
        <v>3020</v>
      </c>
      <c r="C31" s="783">
        <v>3660</v>
      </c>
      <c r="D31" s="783">
        <f t="shared" si="1"/>
        <v>640</v>
      </c>
    </row>
    <row r="32" spans="1:4" s="779" customFormat="1" ht="77.25" customHeight="1" x14ac:dyDescent="0.5">
      <c r="A32" s="803" t="s">
        <v>816</v>
      </c>
      <c r="B32" s="795"/>
      <c r="C32" s="795"/>
      <c r="D32" s="795"/>
    </row>
    <row r="33" spans="1:4" s="779" customFormat="1" ht="77.25" customHeight="1" x14ac:dyDescent="0.5">
      <c r="A33" s="798" t="s">
        <v>817</v>
      </c>
      <c r="B33" s="792"/>
      <c r="C33" s="792"/>
      <c r="D33" s="792"/>
    </row>
    <row r="34" spans="1:4" s="779" customFormat="1" ht="87.75" customHeight="1" x14ac:dyDescent="0.5">
      <c r="A34" s="804" t="s">
        <v>818</v>
      </c>
      <c r="B34" s="781">
        <v>14340</v>
      </c>
      <c r="C34" s="781">
        <v>13904</v>
      </c>
      <c r="D34" s="781">
        <f t="shared" si="1"/>
        <v>-436</v>
      </c>
    </row>
    <row r="35" spans="1:4" s="779" customFormat="1" ht="99.75" customHeight="1" x14ac:dyDescent="0.5">
      <c r="A35" s="791" t="s">
        <v>819</v>
      </c>
      <c r="B35" s="792"/>
      <c r="C35" s="792"/>
      <c r="D35" s="792"/>
    </row>
    <row r="36" spans="1:4" s="779" customFormat="1" ht="77.25" customHeight="1" x14ac:dyDescent="0.5">
      <c r="A36" s="798" t="s">
        <v>820</v>
      </c>
      <c r="B36" s="792"/>
      <c r="C36" s="792"/>
      <c r="D36" s="792"/>
    </row>
    <row r="37" spans="1:4" s="779" customFormat="1" ht="77.25" customHeight="1" x14ac:dyDescent="0.5">
      <c r="A37" s="780" t="s">
        <v>821</v>
      </c>
      <c r="B37" s="781">
        <v>721716</v>
      </c>
      <c r="C37" s="781">
        <v>732252</v>
      </c>
      <c r="D37" s="781">
        <f t="shared" si="1"/>
        <v>10536</v>
      </c>
    </row>
    <row r="38" spans="1:4" s="779" customFormat="1" ht="77.25" customHeight="1" thickBot="1" x14ac:dyDescent="0.55000000000000004">
      <c r="A38" s="805" t="s">
        <v>822</v>
      </c>
      <c r="B38" s="806">
        <v>58604</v>
      </c>
      <c r="C38" s="806">
        <v>71029</v>
      </c>
      <c r="D38" s="806">
        <f t="shared" si="1"/>
        <v>12425</v>
      </c>
    </row>
    <row r="39" spans="1:4" s="779" customFormat="1" ht="77.25" customHeight="1" thickTop="1" thickBot="1" x14ac:dyDescent="0.55000000000000004">
      <c r="A39" s="782" t="s">
        <v>823</v>
      </c>
      <c r="B39" s="783">
        <v>1434</v>
      </c>
      <c r="C39" s="783">
        <v>1738</v>
      </c>
      <c r="D39" s="783">
        <f t="shared" si="1"/>
        <v>304</v>
      </c>
    </row>
    <row r="40" spans="1:4" s="779" customFormat="1" ht="62.25" customHeight="1" thickTop="1" thickBot="1" x14ac:dyDescent="0.55000000000000004">
      <c r="A40" s="786" t="s">
        <v>824</v>
      </c>
      <c r="B40" s="807">
        <f>SUM(B15:B39)-B24-B25-B29-B30</f>
        <v>2945488</v>
      </c>
      <c r="C40" s="807">
        <f t="shared" ref="C40:D40" si="2">SUM(C15:C39)-C24-C25-C29-C30</f>
        <v>3333839</v>
      </c>
      <c r="D40" s="807">
        <f t="shared" si="2"/>
        <v>388351</v>
      </c>
    </row>
    <row r="41" spans="1:4" s="808" customFormat="1" ht="77.25" customHeight="1" thickTop="1" x14ac:dyDescent="0.5">
      <c r="A41" s="789" t="s">
        <v>825</v>
      </c>
      <c r="B41" s="790"/>
      <c r="C41" s="790"/>
      <c r="D41" s="790"/>
    </row>
    <row r="42" spans="1:4" s="779" customFormat="1" ht="77.25" customHeight="1" x14ac:dyDescent="0.5">
      <c r="A42" s="809" t="s">
        <v>826</v>
      </c>
      <c r="B42" s="781"/>
      <c r="C42" s="781"/>
      <c r="D42" s="781"/>
    </row>
    <row r="43" spans="1:4" s="779" customFormat="1" ht="77.25" customHeight="1" x14ac:dyDescent="0.5">
      <c r="A43" s="782" t="s">
        <v>827</v>
      </c>
      <c r="B43" s="810">
        <v>101639</v>
      </c>
      <c r="C43" s="810">
        <v>103632</v>
      </c>
      <c r="D43" s="781">
        <f t="shared" ref="D43:D50" si="3">C43-B43</f>
        <v>1993</v>
      </c>
    </row>
    <row r="44" spans="1:4" s="779" customFormat="1" ht="77.25" customHeight="1" x14ac:dyDescent="0.5">
      <c r="A44" s="782" t="s">
        <v>828</v>
      </c>
      <c r="B44" s="810">
        <v>135912</v>
      </c>
      <c r="C44" s="810">
        <v>142276</v>
      </c>
      <c r="D44" s="781">
        <f t="shared" si="3"/>
        <v>6364</v>
      </c>
    </row>
    <row r="45" spans="1:4" s="779" customFormat="1" ht="77.25" customHeight="1" x14ac:dyDescent="0.5">
      <c r="A45" s="811" t="s">
        <v>829</v>
      </c>
      <c r="B45" s="810">
        <v>88330</v>
      </c>
      <c r="C45" s="810">
        <v>96167</v>
      </c>
      <c r="D45" s="781">
        <f t="shared" si="3"/>
        <v>7837</v>
      </c>
    </row>
    <row r="46" spans="1:4" s="779" customFormat="1" ht="77.25" customHeight="1" x14ac:dyDescent="0.5">
      <c r="A46" s="782" t="s">
        <v>830</v>
      </c>
      <c r="B46" s="810">
        <v>80447</v>
      </c>
      <c r="C46" s="810">
        <v>88874</v>
      </c>
      <c r="D46" s="781">
        <f t="shared" si="3"/>
        <v>8427</v>
      </c>
    </row>
    <row r="47" spans="1:4" s="779" customFormat="1" ht="77.25" customHeight="1" x14ac:dyDescent="0.5">
      <c r="A47" s="812" t="s">
        <v>831</v>
      </c>
      <c r="B47" s="810">
        <v>100</v>
      </c>
      <c r="C47" s="810">
        <v>100</v>
      </c>
      <c r="D47" s="781">
        <f t="shared" si="3"/>
        <v>0</v>
      </c>
    </row>
    <row r="48" spans="1:4" s="779" customFormat="1" ht="77.25" customHeight="1" x14ac:dyDescent="0.5">
      <c r="A48" s="782" t="s">
        <v>832</v>
      </c>
      <c r="B48" s="810">
        <v>69890</v>
      </c>
      <c r="C48" s="810">
        <v>73235</v>
      </c>
      <c r="D48" s="781">
        <f t="shared" si="3"/>
        <v>3345</v>
      </c>
    </row>
    <row r="49" spans="1:4" s="808" customFormat="1" ht="77.25" customHeight="1" x14ac:dyDescent="0.5">
      <c r="A49" s="813" t="s">
        <v>833</v>
      </c>
      <c r="B49" s="810">
        <v>50376</v>
      </c>
      <c r="C49" s="810">
        <v>59243</v>
      </c>
      <c r="D49" s="781">
        <f t="shared" si="3"/>
        <v>8867</v>
      </c>
    </row>
    <row r="50" spans="1:4" s="779" customFormat="1" ht="77.25" customHeight="1" thickBot="1" x14ac:dyDescent="0.55000000000000004">
      <c r="A50" s="782" t="s">
        <v>834</v>
      </c>
      <c r="B50" s="784">
        <v>6803</v>
      </c>
      <c r="C50" s="784">
        <v>8145</v>
      </c>
      <c r="D50" s="781">
        <f t="shared" si="3"/>
        <v>1342</v>
      </c>
    </row>
    <row r="51" spans="1:4" s="779" customFormat="1" ht="63" thickTop="1" thickBot="1" x14ac:dyDescent="0.55000000000000004">
      <c r="A51" s="814" t="s">
        <v>826</v>
      </c>
      <c r="B51" s="815">
        <f>SUM(B43:B50)</f>
        <v>533497</v>
      </c>
      <c r="C51" s="815">
        <f>SUM(C43:C50)</f>
        <v>571672</v>
      </c>
      <c r="D51" s="815">
        <f>SUM(D43:D50)</f>
        <v>38175</v>
      </c>
    </row>
    <row r="52" spans="1:4" s="779" customFormat="1" ht="77.25" customHeight="1" thickTop="1" x14ac:dyDescent="0.5">
      <c r="A52" s="791" t="s">
        <v>835</v>
      </c>
      <c r="B52" s="792"/>
      <c r="C52" s="792"/>
      <c r="D52" s="792"/>
    </row>
    <row r="53" spans="1:4" s="779" customFormat="1" ht="77.25" customHeight="1" x14ac:dyDescent="0.5">
      <c r="A53" s="791" t="s">
        <v>836</v>
      </c>
      <c r="B53" s="792"/>
      <c r="C53" s="792"/>
      <c r="D53" s="792"/>
    </row>
    <row r="54" spans="1:4" s="779" customFormat="1" ht="77.25" customHeight="1" x14ac:dyDescent="0.5">
      <c r="A54" s="780" t="s">
        <v>837</v>
      </c>
      <c r="B54" s="781">
        <v>519842</v>
      </c>
      <c r="C54" s="781">
        <v>638414</v>
      </c>
      <c r="D54" s="781">
        <f t="shared" ref="D54:D56" si="4">C54-B54</f>
        <v>118572</v>
      </c>
    </row>
    <row r="55" spans="1:4" s="779" customFormat="1" ht="77.25" customHeight="1" x14ac:dyDescent="0.5">
      <c r="A55" s="782" t="s">
        <v>838</v>
      </c>
      <c r="B55" s="781">
        <v>493020</v>
      </c>
      <c r="C55" s="781">
        <v>596580</v>
      </c>
      <c r="D55" s="781">
        <f t="shared" si="4"/>
        <v>103560</v>
      </c>
    </row>
    <row r="56" spans="1:4" s="779" customFormat="1" ht="58.5" customHeight="1" thickBot="1" x14ac:dyDescent="0.55000000000000004">
      <c r="A56" s="816" t="s">
        <v>839</v>
      </c>
      <c r="B56" s="781">
        <v>220472</v>
      </c>
      <c r="C56" s="781">
        <v>259783</v>
      </c>
      <c r="D56" s="781">
        <f t="shared" si="4"/>
        <v>39311</v>
      </c>
    </row>
    <row r="57" spans="1:4" s="779" customFormat="1" ht="60.75" customHeight="1" thickTop="1" thickBot="1" x14ac:dyDescent="0.55000000000000004">
      <c r="A57" s="814" t="s">
        <v>840</v>
      </c>
      <c r="B57" s="815">
        <f>SUM(B54:B56)</f>
        <v>1233334</v>
      </c>
      <c r="C57" s="815">
        <f>SUM(C54:C56)</f>
        <v>1494777</v>
      </c>
      <c r="D57" s="815">
        <f>SUM(D54:D56)</f>
        <v>261443</v>
      </c>
    </row>
    <row r="58" spans="1:4" s="779" customFormat="1" ht="92.25" thickTop="1" x14ac:dyDescent="0.5">
      <c r="A58" s="817" t="s">
        <v>841</v>
      </c>
      <c r="B58" s="818"/>
      <c r="C58" s="818"/>
      <c r="D58" s="818"/>
    </row>
    <row r="59" spans="1:4" s="779" customFormat="1" ht="48.75" customHeight="1" x14ac:dyDescent="0.5">
      <c r="A59" s="780" t="s">
        <v>842</v>
      </c>
      <c r="B59" s="781">
        <v>57991</v>
      </c>
      <c r="C59" s="781">
        <v>62330</v>
      </c>
      <c r="D59" s="781">
        <f t="shared" ref="D59:D60" si="5">C59-B59</f>
        <v>4339</v>
      </c>
    </row>
    <row r="60" spans="1:4" s="779" customFormat="1" ht="77.25" customHeight="1" thickBot="1" x14ac:dyDescent="0.55000000000000004">
      <c r="A60" s="782" t="s">
        <v>843</v>
      </c>
      <c r="B60" s="781">
        <v>17078</v>
      </c>
      <c r="C60" s="781">
        <v>16902</v>
      </c>
      <c r="D60" s="781">
        <f t="shared" si="5"/>
        <v>-176</v>
      </c>
    </row>
    <row r="61" spans="1:4" s="779" customFormat="1" ht="92.25" customHeight="1" thickTop="1" thickBot="1" x14ac:dyDescent="0.55000000000000004">
      <c r="A61" s="817" t="s">
        <v>844</v>
      </c>
      <c r="B61" s="815">
        <f>SUM(B59:B60)</f>
        <v>75069</v>
      </c>
      <c r="C61" s="815">
        <f>SUM(C59:C60)</f>
        <v>79232</v>
      </c>
      <c r="D61" s="815">
        <f>SUM(D59:D60)</f>
        <v>4163</v>
      </c>
    </row>
    <row r="62" spans="1:4" s="779" customFormat="1" ht="77.25" customHeight="1" thickTop="1" thickBot="1" x14ac:dyDescent="0.55000000000000004">
      <c r="A62" s="786" t="s">
        <v>845</v>
      </c>
      <c r="B62" s="807">
        <f>B51+B57+B61</f>
        <v>1841900</v>
      </c>
      <c r="C62" s="807">
        <f>C51+C57+C61</f>
        <v>2145681</v>
      </c>
      <c r="D62" s="807">
        <f>D51+D57+D61</f>
        <v>303781</v>
      </c>
    </row>
    <row r="63" spans="1:4" s="779" customFormat="1" ht="77.25" customHeight="1" thickTop="1" x14ac:dyDescent="0.5">
      <c r="A63" s="819" t="s">
        <v>846</v>
      </c>
      <c r="B63" s="792"/>
      <c r="C63" s="792"/>
      <c r="D63" s="792"/>
    </row>
    <row r="64" spans="1:4" s="808" customFormat="1" ht="45" customHeight="1" x14ac:dyDescent="0.5">
      <c r="A64" s="820" t="s">
        <v>847</v>
      </c>
      <c r="B64" s="790"/>
      <c r="C64" s="790"/>
      <c r="D64" s="790"/>
    </row>
    <row r="65" spans="1:4" s="779" customFormat="1" ht="42" customHeight="1" x14ac:dyDescent="0.5">
      <c r="A65" s="821" t="s">
        <v>848</v>
      </c>
      <c r="B65" s="781">
        <v>313998</v>
      </c>
      <c r="C65" s="781">
        <v>400523</v>
      </c>
      <c r="D65" s="781">
        <f t="shared" ref="D65:D67" si="6">C65-B65</f>
        <v>86525</v>
      </c>
    </row>
    <row r="66" spans="1:4" s="779" customFormat="1" ht="45" customHeight="1" x14ac:dyDescent="0.5">
      <c r="A66" s="822" t="s">
        <v>849</v>
      </c>
      <c r="B66" s="781">
        <v>415024</v>
      </c>
      <c r="C66" s="781">
        <v>476813</v>
      </c>
      <c r="D66" s="781">
        <f t="shared" si="6"/>
        <v>61789</v>
      </c>
    </row>
    <row r="67" spans="1:4" s="779" customFormat="1" ht="38.25" customHeight="1" thickBot="1" x14ac:dyDescent="0.55000000000000004">
      <c r="A67" s="820" t="s">
        <v>850</v>
      </c>
      <c r="B67" s="781">
        <v>918</v>
      </c>
      <c r="C67" s="781">
        <v>729</v>
      </c>
      <c r="D67" s="781">
        <f t="shared" si="6"/>
        <v>-189</v>
      </c>
    </row>
    <row r="68" spans="1:4" s="779" customFormat="1" ht="60" customHeight="1" thickTop="1" thickBot="1" x14ac:dyDescent="0.55000000000000004">
      <c r="A68" s="823" t="s">
        <v>851</v>
      </c>
      <c r="B68" s="807">
        <f>SUM(B65:B67)</f>
        <v>729940</v>
      </c>
      <c r="C68" s="807">
        <f>SUM(C65:C67)</f>
        <v>878065</v>
      </c>
      <c r="D68" s="807">
        <f>SUM(D65:D67)</f>
        <v>148125</v>
      </c>
    </row>
    <row r="69" spans="1:4" s="779" customFormat="1" ht="56.25" customHeight="1" thickTop="1" x14ac:dyDescent="0.5">
      <c r="A69" s="824" t="s">
        <v>852</v>
      </c>
      <c r="B69" s="818"/>
      <c r="C69" s="818"/>
      <c r="D69" s="818"/>
    </row>
    <row r="70" spans="1:4" s="779" customFormat="1" ht="64.5" customHeight="1" x14ac:dyDescent="0.5">
      <c r="A70" s="825" t="s">
        <v>853</v>
      </c>
      <c r="B70" s="781">
        <v>71937</v>
      </c>
      <c r="C70" s="781">
        <v>71479</v>
      </c>
      <c r="D70" s="781">
        <f t="shared" ref="D70:D71" si="7">C70-B70</f>
        <v>-458</v>
      </c>
    </row>
    <row r="71" spans="1:4" s="779" customFormat="1" ht="63.75" customHeight="1" thickBot="1" x14ac:dyDescent="0.55000000000000004">
      <c r="A71" s="826" t="s">
        <v>854</v>
      </c>
      <c r="B71" s="781">
        <v>142713</v>
      </c>
      <c r="C71" s="781">
        <v>142713</v>
      </c>
      <c r="D71" s="781">
        <f t="shared" si="7"/>
        <v>0</v>
      </c>
    </row>
    <row r="72" spans="1:4" s="779" customFormat="1" ht="63.75" customHeight="1" thickTop="1" thickBot="1" x14ac:dyDescent="0.55000000000000004">
      <c r="A72" s="823" t="s">
        <v>855</v>
      </c>
      <c r="B72" s="807">
        <f>SUM(B70:B71)</f>
        <v>214650</v>
      </c>
      <c r="C72" s="807">
        <f>SUM(C70:C71)</f>
        <v>214192</v>
      </c>
      <c r="D72" s="807">
        <f>SUM(D70:D71)</f>
        <v>-458</v>
      </c>
    </row>
    <row r="73" spans="1:4" s="779" customFormat="1" ht="72" customHeight="1" thickTop="1" thickBot="1" x14ac:dyDescent="0.55000000000000004">
      <c r="A73" s="827" t="s">
        <v>856</v>
      </c>
      <c r="B73" s="828">
        <f>B14+B40+B62+B68+B72</f>
        <v>7470104</v>
      </c>
      <c r="C73" s="828">
        <f>C14+C40+C62+C68+C72</f>
        <v>8278376</v>
      </c>
      <c r="D73" s="828">
        <f>D14+D40+D62+D68+D72</f>
        <v>808272</v>
      </c>
    </row>
    <row r="74" spans="1:4" s="776" customFormat="1" ht="77.25" customHeight="1" x14ac:dyDescent="0.5">
      <c r="A74" s="829" t="s">
        <v>857</v>
      </c>
      <c r="B74" s="830"/>
      <c r="C74" s="830"/>
      <c r="D74" s="830"/>
    </row>
    <row r="75" spans="1:4" s="779" customFormat="1" ht="60.75" customHeight="1" x14ac:dyDescent="0.5">
      <c r="A75" s="831" t="s">
        <v>858</v>
      </c>
      <c r="B75" s="832">
        <v>230670</v>
      </c>
      <c r="C75" s="832">
        <v>230670</v>
      </c>
      <c r="D75" s="781">
        <f t="shared" ref="D75:D78" si="8">C75-B75</f>
        <v>0</v>
      </c>
    </row>
    <row r="76" spans="1:4" s="779" customFormat="1" ht="48.75" customHeight="1" x14ac:dyDescent="0.5">
      <c r="A76" s="831" t="s">
        <v>859</v>
      </c>
      <c r="B76" s="833">
        <v>188000</v>
      </c>
      <c r="C76" s="833">
        <v>188000</v>
      </c>
      <c r="D76" s="781">
        <f t="shared" si="8"/>
        <v>0</v>
      </c>
    </row>
    <row r="77" spans="1:4" s="808" customFormat="1" ht="52.5" customHeight="1" x14ac:dyDescent="0.5">
      <c r="A77" s="834" t="s">
        <v>860</v>
      </c>
      <c r="B77" s="833">
        <v>318266</v>
      </c>
      <c r="C77" s="833">
        <v>318266</v>
      </c>
      <c r="D77" s="781">
        <f t="shared" si="8"/>
        <v>0</v>
      </c>
    </row>
    <row r="78" spans="1:4" s="808" customFormat="1" ht="61.5" x14ac:dyDescent="0.5">
      <c r="A78" s="835" t="s">
        <v>861</v>
      </c>
      <c r="B78" s="833">
        <v>153707</v>
      </c>
      <c r="C78" s="833">
        <v>157338</v>
      </c>
      <c r="D78" s="781">
        <f t="shared" si="8"/>
        <v>3631</v>
      </c>
    </row>
    <row r="79" spans="1:4" s="838" customFormat="1" ht="47.25" customHeight="1" x14ac:dyDescent="0.45">
      <c r="A79" s="836" t="s">
        <v>862</v>
      </c>
      <c r="B79" s="837">
        <f>SUM(B75:B78)</f>
        <v>890643</v>
      </c>
      <c r="C79" s="837">
        <f>SUM(C75:C78)</f>
        <v>894274</v>
      </c>
      <c r="D79" s="837">
        <f>SUM(D75:D78)</f>
        <v>3631</v>
      </c>
    </row>
    <row r="80" spans="1:4" s="808" customFormat="1" ht="64.5" customHeight="1" x14ac:dyDescent="0.45">
      <c r="A80" s="839" t="s">
        <v>863</v>
      </c>
      <c r="B80" s="840">
        <f>B79</f>
        <v>890643</v>
      </c>
      <c r="C80" s="840">
        <f t="shared" ref="C80:D81" si="9">C79</f>
        <v>894274</v>
      </c>
      <c r="D80" s="840">
        <f t="shared" si="9"/>
        <v>3631</v>
      </c>
    </row>
    <row r="81" spans="1:4" s="788" customFormat="1" ht="63" customHeight="1" x14ac:dyDescent="0.5">
      <c r="A81" s="841" t="s">
        <v>864</v>
      </c>
      <c r="B81" s="842">
        <f>B80</f>
        <v>890643</v>
      </c>
      <c r="C81" s="842">
        <f t="shared" si="9"/>
        <v>894274</v>
      </c>
      <c r="D81" s="842">
        <f t="shared" si="9"/>
        <v>3631</v>
      </c>
    </row>
    <row r="82" spans="1:4" s="788" customFormat="1" ht="60" customHeight="1" thickBot="1" x14ac:dyDescent="0.55000000000000004">
      <c r="A82" s="843" t="s">
        <v>865</v>
      </c>
      <c r="B82" s="844">
        <f>B73+B81</f>
        <v>8360747</v>
      </c>
      <c r="C82" s="844">
        <f>C73+C81</f>
        <v>9172650</v>
      </c>
      <c r="D82" s="844">
        <f>D73+D81</f>
        <v>811903</v>
      </c>
    </row>
    <row r="83" spans="1:4" s="788" customFormat="1" ht="34.5" thickTop="1" x14ac:dyDescent="0.5">
      <c r="A83" s="845" t="s">
        <v>866</v>
      </c>
      <c r="B83" s="846"/>
      <c r="C83" s="846"/>
      <c r="D83" s="846"/>
    </row>
    <row r="84" spans="1:4" s="808" customFormat="1" ht="33.75" x14ac:dyDescent="0.5">
      <c r="A84" s="847" t="s">
        <v>867</v>
      </c>
      <c r="B84" s="790"/>
      <c r="C84" s="790"/>
      <c r="D84" s="790"/>
    </row>
    <row r="85" spans="1:4" s="808" customFormat="1" ht="29.25" customHeight="1" x14ac:dyDescent="0.5">
      <c r="A85" s="848" t="s">
        <v>868</v>
      </c>
      <c r="B85" s="849">
        <v>53000</v>
      </c>
      <c r="C85" s="849">
        <v>53000</v>
      </c>
      <c r="D85" s="781">
        <f t="shared" ref="D85:D86" si="10">C85-B85</f>
        <v>0</v>
      </c>
    </row>
    <row r="86" spans="1:4" s="808" customFormat="1" ht="38.25" customHeight="1" thickBot="1" x14ac:dyDescent="0.55000000000000004">
      <c r="A86" s="850" t="s">
        <v>869</v>
      </c>
      <c r="B86" s="833">
        <v>302075</v>
      </c>
      <c r="C86" s="833">
        <v>302075</v>
      </c>
      <c r="D86" s="781">
        <f t="shared" si="10"/>
        <v>0</v>
      </c>
    </row>
    <row r="87" spans="1:4" s="788" customFormat="1" ht="39.75" customHeight="1" thickTop="1" thickBot="1" x14ac:dyDescent="0.55000000000000004">
      <c r="A87" s="852" t="s">
        <v>685</v>
      </c>
      <c r="B87" s="853">
        <f>B73+B81+B85+B86</f>
        <v>8715822</v>
      </c>
      <c r="C87" s="853">
        <f>C73+C81+C85+C86</f>
        <v>9527725</v>
      </c>
      <c r="D87" s="853">
        <f>D73+D81+D85+D86</f>
        <v>811903</v>
      </c>
    </row>
  </sheetData>
  <mergeCells count="2">
    <mergeCell ref="A1:D1"/>
    <mergeCell ref="A2:D2"/>
  </mergeCells>
  <printOptions horizontalCentered="1" verticalCentered="1"/>
  <pageMargins left="0" right="0" top="0" bottom="0" header="0.31496062992125984" footer="0.31496062992125984"/>
  <pageSetup paperSize="9" scale="27" orientation="portrait" r:id="rId1"/>
  <headerFooter>
    <oddHeader>&amp;R&amp;18 5. melléklet a &amp;22 4/2025.(II.28.) önkormányzati rendelethez</oddHeader>
  </headerFooter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53"/>
  <sheetViews>
    <sheetView zoomScale="60" zoomScaleNormal="60" workbookViewId="0">
      <selection activeCell="B9" sqref="B9"/>
    </sheetView>
  </sheetViews>
  <sheetFormatPr defaultRowHeight="26.45" customHeight="1" x14ac:dyDescent="0.35"/>
  <cols>
    <col min="1" max="1" width="144.1640625" style="644" customWidth="1"/>
    <col min="2" max="2" width="41" style="645" customWidth="1"/>
    <col min="3" max="3" width="42.83203125" style="645" customWidth="1"/>
    <col min="4" max="5" width="37.5" style="645" customWidth="1"/>
    <col min="6" max="7" width="45.1640625" style="597" customWidth="1"/>
    <col min="8" max="8" width="144.1640625" style="644" customWidth="1"/>
    <col min="9" max="9" width="49" style="597" customWidth="1"/>
    <col min="10" max="10" width="48.83203125" style="597" customWidth="1"/>
    <col min="11" max="11" width="49" style="597" customWidth="1"/>
    <col min="12" max="13" width="48.83203125" style="597" customWidth="1"/>
    <col min="14" max="14" width="6.6640625" style="597" customWidth="1"/>
    <col min="15" max="255" width="9.33203125" style="629"/>
    <col min="256" max="256" width="144.1640625" style="629" customWidth="1"/>
    <col min="257" max="257" width="41" style="629" customWidth="1"/>
    <col min="258" max="258" width="42.83203125" style="629" customWidth="1"/>
    <col min="259" max="260" width="37.5" style="629" customWidth="1"/>
    <col min="261" max="262" width="45.1640625" style="629" customWidth="1"/>
    <col min="263" max="263" width="144.1640625" style="629" customWidth="1"/>
    <col min="264" max="264" width="49" style="629" customWidth="1"/>
    <col min="265" max="265" width="48.83203125" style="629" customWidth="1"/>
    <col min="266" max="266" width="49" style="629" customWidth="1"/>
    <col min="267" max="268" width="48.83203125" style="629" customWidth="1"/>
    <col min="269" max="269" width="6.6640625" style="629" customWidth="1"/>
    <col min="270" max="270" width="31.83203125" style="629" customWidth="1"/>
    <col min="271" max="511" width="9.33203125" style="629"/>
    <col min="512" max="512" width="144.1640625" style="629" customWidth="1"/>
    <col min="513" max="513" width="41" style="629" customWidth="1"/>
    <col min="514" max="514" width="42.83203125" style="629" customWidth="1"/>
    <col min="515" max="516" width="37.5" style="629" customWidth="1"/>
    <col min="517" max="518" width="45.1640625" style="629" customWidth="1"/>
    <col min="519" max="519" width="144.1640625" style="629" customWidth="1"/>
    <col min="520" max="520" width="49" style="629" customWidth="1"/>
    <col min="521" max="521" width="48.83203125" style="629" customWidth="1"/>
    <col min="522" max="522" width="49" style="629" customWidth="1"/>
    <col min="523" max="524" width="48.83203125" style="629" customWidth="1"/>
    <col min="525" max="525" width="6.6640625" style="629" customWidth="1"/>
    <col min="526" max="526" width="31.83203125" style="629" customWidth="1"/>
    <col min="527" max="767" width="9.33203125" style="629"/>
    <col min="768" max="768" width="144.1640625" style="629" customWidth="1"/>
    <col min="769" max="769" width="41" style="629" customWidth="1"/>
    <col min="770" max="770" width="42.83203125" style="629" customWidth="1"/>
    <col min="771" max="772" width="37.5" style="629" customWidth="1"/>
    <col min="773" max="774" width="45.1640625" style="629" customWidth="1"/>
    <col min="775" max="775" width="144.1640625" style="629" customWidth="1"/>
    <col min="776" max="776" width="49" style="629" customWidth="1"/>
    <col min="777" max="777" width="48.83203125" style="629" customWidth="1"/>
    <col min="778" max="778" width="49" style="629" customWidth="1"/>
    <col min="779" max="780" width="48.83203125" style="629" customWidth="1"/>
    <col min="781" max="781" width="6.6640625" style="629" customWidth="1"/>
    <col min="782" max="782" width="31.83203125" style="629" customWidth="1"/>
    <col min="783" max="1023" width="9.33203125" style="629"/>
    <col min="1024" max="1024" width="144.1640625" style="629" customWidth="1"/>
    <col min="1025" max="1025" width="41" style="629" customWidth="1"/>
    <col min="1026" max="1026" width="42.83203125" style="629" customWidth="1"/>
    <col min="1027" max="1028" width="37.5" style="629" customWidth="1"/>
    <col min="1029" max="1030" width="45.1640625" style="629" customWidth="1"/>
    <col min="1031" max="1031" width="144.1640625" style="629" customWidth="1"/>
    <col min="1032" max="1032" width="49" style="629" customWidth="1"/>
    <col min="1033" max="1033" width="48.83203125" style="629" customWidth="1"/>
    <col min="1034" max="1034" width="49" style="629" customWidth="1"/>
    <col min="1035" max="1036" width="48.83203125" style="629" customWidth="1"/>
    <col min="1037" max="1037" width="6.6640625" style="629" customWidth="1"/>
    <col min="1038" max="1038" width="31.83203125" style="629" customWidth="1"/>
    <col min="1039" max="1279" width="9.33203125" style="629"/>
    <col min="1280" max="1280" width="144.1640625" style="629" customWidth="1"/>
    <col min="1281" max="1281" width="41" style="629" customWidth="1"/>
    <col min="1282" max="1282" width="42.83203125" style="629" customWidth="1"/>
    <col min="1283" max="1284" width="37.5" style="629" customWidth="1"/>
    <col min="1285" max="1286" width="45.1640625" style="629" customWidth="1"/>
    <col min="1287" max="1287" width="144.1640625" style="629" customWidth="1"/>
    <col min="1288" max="1288" width="49" style="629" customWidth="1"/>
    <col min="1289" max="1289" width="48.83203125" style="629" customWidth="1"/>
    <col min="1290" max="1290" width="49" style="629" customWidth="1"/>
    <col min="1291" max="1292" width="48.83203125" style="629" customWidth="1"/>
    <col min="1293" max="1293" width="6.6640625" style="629" customWidth="1"/>
    <col min="1294" max="1294" width="31.83203125" style="629" customWidth="1"/>
    <col min="1295" max="1535" width="9.33203125" style="629"/>
    <col min="1536" max="1536" width="144.1640625" style="629" customWidth="1"/>
    <col min="1537" max="1537" width="41" style="629" customWidth="1"/>
    <col min="1538" max="1538" width="42.83203125" style="629" customWidth="1"/>
    <col min="1539" max="1540" width="37.5" style="629" customWidth="1"/>
    <col min="1541" max="1542" width="45.1640625" style="629" customWidth="1"/>
    <col min="1543" max="1543" width="144.1640625" style="629" customWidth="1"/>
    <col min="1544" max="1544" width="49" style="629" customWidth="1"/>
    <col min="1545" max="1545" width="48.83203125" style="629" customWidth="1"/>
    <col min="1546" max="1546" width="49" style="629" customWidth="1"/>
    <col min="1547" max="1548" width="48.83203125" style="629" customWidth="1"/>
    <col min="1549" max="1549" width="6.6640625" style="629" customWidth="1"/>
    <col min="1550" max="1550" width="31.83203125" style="629" customWidth="1"/>
    <col min="1551" max="1791" width="9.33203125" style="629"/>
    <col min="1792" max="1792" width="144.1640625" style="629" customWidth="1"/>
    <col min="1793" max="1793" width="41" style="629" customWidth="1"/>
    <col min="1794" max="1794" width="42.83203125" style="629" customWidth="1"/>
    <col min="1795" max="1796" width="37.5" style="629" customWidth="1"/>
    <col min="1797" max="1798" width="45.1640625" style="629" customWidth="1"/>
    <col min="1799" max="1799" width="144.1640625" style="629" customWidth="1"/>
    <col min="1800" max="1800" width="49" style="629" customWidth="1"/>
    <col min="1801" max="1801" width="48.83203125" style="629" customWidth="1"/>
    <col min="1802" max="1802" width="49" style="629" customWidth="1"/>
    <col min="1803" max="1804" width="48.83203125" style="629" customWidth="1"/>
    <col min="1805" max="1805" width="6.6640625" style="629" customWidth="1"/>
    <col min="1806" max="1806" width="31.83203125" style="629" customWidth="1"/>
    <col min="1807" max="2047" width="9.33203125" style="629"/>
    <col min="2048" max="2048" width="144.1640625" style="629" customWidth="1"/>
    <col min="2049" max="2049" width="41" style="629" customWidth="1"/>
    <col min="2050" max="2050" width="42.83203125" style="629" customWidth="1"/>
    <col min="2051" max="2052" width="37.5" style="629" customWidth="1"/>
    <col min="2053" max="2054" width="45.1640625" style="629" customWidth="1"/>
    <col min="2055" max="2055" width="144.1640625" style="629" customWidth="1"/>
    <col min="2056" max="2056" width="49" style="629" customWidth="1"/>
    <col min="2057" max="2057" width="48.83203125" style="629" customWidth="1"/>
    <col min="2058" max="2058" width="49" style="629" customWidth="1"/>
    <col min="2059" max="2060" width="48.83203125" style="629" customWidth="1"/>
    <col min="2061" max="2061" width="6.6640625" style="629" customWidth="1"/>
    <col min="2062" max="2062" width="31.83203125" style="629" customWidth="1"/>
    <col min="2063" max="2303" width="9.33203125" style="629"/>
    <col min="2304" max="2304" width="144.1640625" style="629" customWidth="1"/>
    <col min="2305" max="2305" width="41" style="629" customWidth="1"/>
    <col min="2306" max="2306" width="42.83203125" style="629" customWidth="1"/>
    <col min="2307" max="2308" width="37.5" style="629" customWidth="1"/>
    <col min="2309" max="2310" width="45.1640625" style="629" customWidth="1"/>
    <col min="2311" max="2311" width="144.1640625" style="629" customWidth="1"/>
    <col min="2312" max="2312" width="49" style="629" customWidth="1"/>
    <col min="2313" max="2313" width="48.83203125" style="629" customWidth="1"/>
    <col min="2314" max="2314" width="49" style="629" customWidth="1"/>
    <col min="2315" max="2316" width="48.83203125" style="629" customWidth="1"/>
    <col min="2317" max="2317" width="6.6640625" style="629" customWidth="1"/>
    <col min="2318" max="2318" width="31.83203125" style="629" customWidth="1"/>
    <col min="2319" max="2559" width="9.33203125" style="629"/>
    <col min="2560" max="2560" width="144.1640625" style="629" customWidth="1"/>
    <col min="2561" max="2561" width="41" style="629" customWidth="1"/>
    <col min="2562" max="2562" width="42.83203125" style="629" customWidth="1"/>
    <col min="2563" max="2564" width="37.5" style="629" customWidth="1"/>
    <col min="2565" max="2566" width="45.1640625" style="629" customWidth="1"/>
    <col min="2567" max="2567" width="144.1640625" style="629" customWidth="1"/>
    <col min="2568" max="2568" width="49" style="629" customWidth="1"/>
    <col min="2569" max="2569" width="48.83203125" style="629" customWidth="1"/>
    <col min="2570" max="2570" width="49" style="629" customWidth="1"/>
    <col min="2571" max="2572" width="48.83203125" style="629" customWidth="1"/>
    <col min="2573" max="2573" width="6.6640625" style="629" customWidth="1"/>
    <col min="2574" max="2574" width="31.83203125" style="629" customWidth="1"/>
    <col min="2575" max="2815" width="9.33203125" style="629"/>
    <col min="2816" max="2816" width="144.1640625" style="629" customWidth="1"/>
    <col min="2817" max="2817" width="41" style="629" customWidth="1"/>
    <col min="2818" max="2818" width="42.83203125" style="629" customWidth="1"/>
    <col min="2819" max="2820" width="37.5" style="629" customWidth="1"/>
    <col min="2821" max="2822" width="45.1640625" style="629" customWidth="1"/>
    <col min="2823" max="2823" width="144.1640625" style="629" customWidth="1"/>
    <col min="2824" max="2824" width="49" style="629" customWidth="1"/>
    <col min="2825" max="2825" width="48.83203125" style="629" customWidth="1"/>
    <col min="2826" max="2826" width="49" style="629" customWidth="1"/>
    <col min="2827" max="2828" width="48.83203125" style="629" customWidth="1"/>
    <col min="2829" max="2829" width="6.6640625" style="629" customWidth="1"/>
    <col min="2830" max="2830" width="31.83203125" style="629" customWidth="1"/>
    <col min="2831" max="3071" width="9.33203125" style="629"/>
    <col min="3072" max="3072" width="144.1640625" style="629" customWidth="1"/>
    <col min="3073" max="3073" width="41" style="629" customWidth="1"/>
    <col min="3074" max="3074" width="42.83203125" style="629" customWidth="1"/>
    <col min="3075" max="3076" width="37.5" style="629" customWidth="1"/>
    <col min="3077" max="3078" width="45.1640625" style="629" customWidth="1"/>
    <col min="3079" max="3079" width="144.1640625" style="629" customWidth="1"/>
    <col min="3080" max="3080" width="49" style="629" customWidth="1"/>
    <col min="3081" max="3081" width="48.83203125" style="629" customWidth="1"/>
    <col min="3082" max="3082" width="49" style="629" customWidth="1"/>
    <col min="3083" max="3084" width="48.83203125" style="629" customWidth="1"/>
    <col min="3085" max="3085" width="6.6640625" style="629" customWidth="1"/>
    <col min="3086" max="3086" width="31.83203125" style="629" customWidth="1"/>
    <col min="3087" max="3327" width="9.33203125" style="629"/>
    <col min="3328" max="3328" width="144.1640625" style="629" customWidth="1"/>
    <col min="3329" max="3329" width="41" style="629" customWidth="1"/>
    <col min="3330" max="3330" width="42.83203125" style="629" customWidth="1"/>
    <col min="3331" max="3332" width="37.5" style="629" customWidth="1"/>
    <col min="3333" max="3334" width="45.1640625" style="629" customWidth="1"/>
    <col min="3335" max="3335" width="144.1640625" style="629" customWidth="1"/>
    <col min="3336" max="3336" width="49" style="629" customWidth="1"/>
    <col min="3337" max="3337" width="48.83203125" style="629" customWidth="1"/>
    <col min="3338" max="3338" width="49" style="629" customWidth="1"/>
    <col min="3339" max="3340" width="48.83203125" style="629" customWidth="1"/>
    <col min="3341" max="3341" width="6.6640625" style="629" customWidth="1"/>
    <col min="3342" max="3342" width="31.83203125" style="629" customWidth="1"/>
    <col min="3343" max="3583" width="9.33203125" style="629"/>
    <col min="3584" max="3584" width="144.1640625" style="629" customWidth="1"/>
    <col min="3585" max="3585" width="41" style="629" customWidth="1"/>
    <col min="3586" max="3586" width="42.83203125" style="629" customWidth="1"/>
    <col min="3587" max="3588" width="37.5" style="629" customWidth="1"/>
    <col min="3589" max="3590" width="45.1640625" style="629" customWidth="1"/>
    <col min="3591" max="3591" width="144.1640625" style="629" customWidth="1"/>
    <col min="3592" max="3592" width="49" style="629" customWidth="1"/>
    <col min="3593" max="3593" width="48.83203125" style="629" customWidth="1"/>
    <col min="3594" max="3594" width="49" style="629" customWidth="1"/>
    <col min="3595" max="3596" width="48.83203125" style="629" customWidth="1"/>
    <col min="3597" max="3597" width="6.6640625" style="629" customWidth="1"/>
    <col min="3598" max="3598" width="31.83203125" style="629" customWidth="1"/>
    <col min="3599" max="3839" width="9.33203125" style="629"/>
    <col min="3840" max="3840" width="144.1640625" style="629" customWidth="1"/>
    <col min="3841" max="3841" width="41" style="629" customWidth="1"/>
    <col min="3842" max="3842" width="42.83203125" style="629" customWidth="1"/>
    <col min="3843" max="3844" width="37.5" style="629" customWidth="1"/>
    <col min="3845" max="3846" width="45.1640625" style="629" customWidth="1"/>
    <col min="3847" max="3847" width="144.1640625" style="629" customWidth="1"/>
    <col min="3848" max="3848" width="49" style="629" customWidth="1"/>
    <col min="3849" max="3849" width="48.83203125" style="629" customWidth="1"/>
    <col min="3850" max="3850" width="49" style="629" customWidth="1"/>
    <col min="3851" max="3852" width="48.83203125" style="629" customWidth="1"/>
    <col min="3853" max="3853" width="6.6640625" style="629" customWidth="1"/>
    <col min="3854" max="3854" width="31.83203125" style="629" customWidth="1"/>
    <col min="3855" max="4095" width="9.33203125" style="629"/>
    <col min="4096" max="4096" width="144.1640625" style="629" customWidth="1"/>
    <col min="4097" max="4097" width="41" style="629" customWidth="1"/>
    <col min="4098" max="4098" width="42.83203125" style="629" customWidth="1"/>
    <col min="4099" max="4100" width="37.5" style="629" customWidth="1"/>
    <col min="4101" max="4102" width="45.1640625" style="629" customWidth="1"/>
    <col min="4103" max="4103" width="144.1640625" style="629" customWidth="1"/>
    <col min="4104" max="4104" width="49" style="629" customWidth="1"/>
    <col min="4105" max="4105" width="48.83203125" style="629" customWidth="1"/>
    <col min="4106" max="4106" width="49" style="629" customWidth="1"/>
    <col min="4107" max="4108" width="48.83203125" style="629" customWidth="1"/>
    <col min="4109" max="4109" width="6.6640625" style="629" customWidth="1"/>
    <col min="4110" max="4110" width="31.83203125" style="629" customWidth="1"/>
    <col min="4111" max="4351" width="9.33203125" style="629"/>
    <col min="4352" max="4352" width="144.1640625" style="629" customWidth="1"/>
    <col min="4353" max="4353" width="41" style="629" customWidth="1"/>
    <col min="4354" max="4354" width="42.83203125" style="629" customWidth="1"/>
    <col min="4355" max="4356" width="37.5" style="629" customWidth="1"/>
    <col min="4357" max="4358" width="45.1640625" style="629" customWidth="1"/>
    <col min="4359" max="4359" width="144.1640625" style="629" customWidth="1"/>
    <col min="4360" max="4360" width="49" style="629" customWidth="1"/>
    <col min="4361" max="4361" width="48.83203125" style="629" customWidth="1"/>
    <col min="4362" max="4362" width="49" style="629" customWidth="1"/>
    <col min="4363" max="4364" width="48.83203125" style="629" customWidth="1"/>
    <col min="4365" max="4365" width="6.6640625" style="629" customWidth="1"/>
    <col min="4366" max="4366" width="31.83203125" style="629" customWidth="1"/>
    <col min="4367" max="4607" width="9.33203125" style="629"/>
    <col min="4608" max="4608" width="144.1640625" style="629" customWidth="1"/>
    <col min="4609" max="4609" width="41" style="629" customWidth="1"/>
    <col min="4610" max="4610" width="42.83203125" style="629" customWidth="1"/>
    <col min="4611" max="4612" width="37.5" style="629" customWidth="1"/>
    <col min="4613" max="4614" width="45.1640625" style="629" customWidth="1"/>
    <col min="4615" max="4615" width="144.1640625" style="629" customWidth="1"/>
    <col min="4616" max="4616" width="49" style="629" customWidth="1"/>
    <col min="4617" max="4617" width="48.83203125" style="629" customWidth="1"/>
    <col min="4618" max="4618" width="49" style="629" customWidth="1"/>
    <col min="4619" max="4620" width="48.83203125" style="629" customWidth="1"/>
    <col min="4621" max="4621" width="6.6640625" style="629" customWidth="1"/>
    <col min="4622" max="4622" width="31.83203125" style="629" customWidth="1"/>
    <col min="4623" max="4863" width="9.33203125" style="629"/>
    <col min="4864" max="4864" width="144.1640625" style="629" customWidth="1"/>
    <col min="4865" max="4865" width="41" style="629" customWidth="1"/>
    <col min="4866" max="4866" width="42.83203125" style="629" customWidth="1"/>
    <col min="4867" max="4868" width="37.5" style="629" customWidth="1"/>
    <col min="4869" max="4870" width="45.1640625" style="629" customWidth="1"/>
    <col min="4871" max="4871" width="144.1640625" style="629" customWidth="1"/>
    <col min="4872" max="4872" width="49" style="629" customWidth="1"/>
    <col min="4873" max="4873" width="48.83203125" style="629" customWidth="1"/>
    <col min="4874" max="4874" width="49" style="629" customWidth="1"/>
    <col min="4875" max="4876" width="48.83203125" style="629" customWidth="1"/>
    <col min="4877" max="4877" width="6.6640625" style="629" customWidth="1"/>
    <col min="4878" max="4878" width="31.83203125" style="629" customWidth="1"/>
    <col min="4879" max="5119" width="9.33203125" style="629"/>
    <col min="5120" max="5120" width="144.1640625" style="629" customWidth="1"/>
    <col min="5121" max="5121" width="41" style="629" customWidth="1"/>
    <col min="5122" max="5122" width="42.83203125" style="629" customWidth="1"/>
    <col min="5123" max="5124" width="37.5" style="629" customWidth="1"/>
    <col min="5125" max="5126" width="45.1640625" style="629" customWidth="1"/>
    <col min="5127" max="5127" width="144.1640625" style="629" customWidth="1"/>
    <col min="5128" max="5128" width="49" style="629" customWidth="1"/>
    <col min="5129" max="5129" width="48.83203125" style="629" customWidth="1"/>
    <col min="5130" max="5130" width="49" style="629" customWidth="1"/>
    <col min="5131" max="5132" width="48.83203125" style="629" customWidth="1"/>
    <col min="5133" max="5133" width="6.6640625" style="629" customWidth="1"/>
    <col min="5134" max="5134" width="31.83203125" style="629" customWidth="1"/>
    <col min="5135" max="5375" width="9.33203125" style="629"/>
    <col min="5376" max="5376" width="144.1640625" style="629" customWidth="1"/>
    <col min="5377" max="5377" width="41" style="629" customWidth="1"/>
    <col min="5378" max="5378" width="42.83203125" style="629" customWidth="1"/>
    <col min="5379" max="5380" width="37.5" style="629" customWidth="1"/>
    <col min="5381" max="5382" width="45.1640625" style="629" customWidth="1"/>
    <col min="5383" max="5383" width="144.1640625" style="629" customWidth="1"/>
    <col min="5384" max="5384" width="49" style="629" customWidth="1"/>
    <col min="5385" max="5385" width="48.83203125" style="629" customWidth="1"/>
    <col min="5386" max="5386" width="49" style="629" customWidth="1"/>
    <col min="5387" max="5388" width="48.83203125" style="629" customWidth="1"/>
    <col min="5389" max="5389" width="6.6640625" style="629" customWidth="1"/>
    <col min="5390" max="5390" width="31.83203125" style="629" customWidth="1"/>
    <col min="5391" max="5631" width="9.33203125" style="629"/>
    <col min="5632" max="5632" width="144.1640625" style="629" customWidth="1"/>
    <col min="5633" max="5633" width="41" style="629" customWidth="1"/>
    <col min="5634" max="5634" width="42.83203125" style="629" customWidth="1"/>
    <col min="5635" max="5636" width="37.5" style="629" customWidth="1"/>
    <col min="5637" max="5638" width="45.1640625" style="629" customWidth="1"/>
    <col min="5639" max="5639" width="144.1640625" style="629" customWidth="1"/>
    <col min="5640" max="5640" width="49" style="629" customWidth="1"/>
    <col min="5641" max="5641" width="48.83203125" style="629" customWidth="1"/>
    <col min="5642" max="5642" width="49" style="629" customWidth="1"/>
    <col min="5643" max="5644" width="48.83203125" style="629" customWidth="1"/>
    <col min="5645" max="5645" width="6.6640625" style="629" customWidth="1"/>
    <col min="5646" max="5646" width="31.83203125" style="629" customWidth="1"/>
    <col min="5647" max="5887" width="9.33203125" style="629"/>
    <col min="5888" max="5888" width="144.1640625" style="629" customWidth="1"/>
    <col min="5889" max="5889" width="41" style="629" customWidth="1"/>
    <col min="5890" max="5890" width="42.83203125" style="629" customWidth="1"/>
    <col min="5891" max="5892" width="37.5" style="629" customWidth="1"/>
    <col min="5893" max="5894" width="45.1640625" style="629" customWidth="1"/>
    <col min="5895" max="5895" width="144.1640625" style="629" customWidth="1"/>
    <col min="5896" max="5896" width="49" style="629" customWidth="1"/>
    <col min="5897" max="5897" width="48.83203125" style="629" customWidth="1"/>
    <col min="5898" max="5898" width="49" style="629" customWidth="1"/>
    <col min="5899" max="5900" width="48.83203125" style="629" customWidth="1"/>
    <col min="5901" max="5901" width="6.6640625" style="629" customWidth="1"/>
    <col min="5902" max="5902" width="31.83203125" style="629" customWidth="1"/>
    <col min="5903" max="6143" width="9.33203125" style="629"/>
    <col min="6144" max="6144" width="144.1640625" style="629" customWidth="1"/>
    <col min="6145" max="6145" width="41" style="629" customWidth="1"/>
    <col min="6146" max="6146" width="42.83203125" style="629" customWidth="1"/>
    <col min="6147" max="6148" width="37.5" style="629" customWidth="1"/>
    <col min="6149" max="6150" width="45.1640625" style="629" customWidth="1"/>
    <col min="6151" max="6151" width="144.1640625" style="629" customWidth="1"/>
    <col min="6152" max="6152" width="49" style="629" customWidth="1"/>
    <col min="6153" max="6153" width="48.83203125" style="629" customWidth="1"/>
    <col min="6154" max="6154" width="49" style="629" customWidth="1"/>
    <col min="6155" max="6156" width="48.83203125" style="629" customWidth="1"/>
    <col min="6157" max="6157" width="6.6640625" style="629" customWidth="1"/>
    <col min="6158" max="6158" width="31.83203125" style="629" customWidth="1"/>
    <col min="6159" max="6399" width="9.33203125" style="629"/>
    <col min="6400" max="6400" width="144.1640625" style="629" customWidth="1"/>
    <col min="6401" max="6401" width="41" style="629" customWidth="1"/>
    <col min="6402" max="6402" width="42.83203125" style="629" customWidth="1"/>
    <col min="6403" max="6404" width="37.5" style="629" customWidth="1"/>
    <col min="6405" max="6406" width="45.1640625" style="629" customWidth="1"/>
    <col min="6407" max="6407" width="144.1640625" style="629" customWidth="1"/>
    <col min="6408" max="6408" width="49" style="629" customWidth="1"/>
    <col min="6409" max="6409" width="48.83203125" style="629" customWidth="1"/>
    <col min="6410" max="6410" width="49" style="629" customWidth="1"/>
    <col min="6411" max="6412" width="48.83203125" style="629" customWidth="1"/>
    <col min="6413" max="6413" width="6.6640625" style="629" customWidth="1"/>
    <col min="6414" max="6414" width="31.83203125" style="629" customWidth="1"/>
    <col min="6415" max="6655" width="9.33203125" style="629"/>
    <col min="6656" max="6656" width="144.1640625" style="629" customWidth="1"/>
    <col min="6657" max="6657" width="41" style="629" customWidth="1"/>
    <col min="6658" max="6658" width="42.83203125" style="629" customWidth="1"/>
    <col min="6659" max="6660" width="37.5" style="629" customWidth="1"/>
    <col min="6661" max="6662" width="45.1640625" style="629" customWidth="1"/>
    <col min="6663" max="6663" width="144.1640625" style="629" customWidth="1"/>
    <col min="6664" max="6664" width="49" style="629" customWidth="1"/>
    <col min="6665" max="6665" width="48.83203125" style="629" customWidth="1"/>
    <col min="6666" max="6666" width="49" style="629" customWidth="1"/>
    <col min="6667" max="6668" width="48.83203125" style="629" customWidth="1"/>
    <col min="6669" max="6669" width="6.6640625" style="629" customWidth="1"/>
    <col min="6670" max="6670" width="31.83203125" style="629" customWidth="1"/>
    <col min="6671" max="6911" width="9.33203125" style="629"/>
    <col min="6912" max="6912" width="144.1640625" style="629" customWidth="1"/>
    <col min="6913" max="6913" width="41" style="629" customWidth="1"/>
    <col min="6914" max="6914" width="42.83203125" style="629" customWidth="1"/>
    <col min="6915" max="6916" width="37.5" style="629" customWidth="1"/>
    <col min="6917" max="6918" width="45.1640625" style="629" customWidth="1"/>
    <col min="6919" max="6919" width="144.1640625" style="629" customWidth="1"/>
    <col min="6920" max="6920" width="49" style="629" customWidth="1"/>
    <col min="6921" max="6921" width="48.83203125" style="629" customWidth="1"/>
    <col min="6922" max="6922" width="49" style="629" customWidth="1"/>
    <col min="6923" max="6924" width="48.83203125" style="629" customWidth="1"/>
    <col min="6925" max="6925" width="6.6640625" style="629" customWidth="1"/>
    <col min="6926" max="6926" width="31.83203125" style="629" customWidth="1"/>
    <col min="6927" max="7167" width="9.33203125" style="629"/>
    <col min="7168" max="7168" width="144.1640625" style="629" customWidth="1"/>
    <col min="7169" max="7169" width="41" style="629" customWidth="1"/>
    <col min="7170" max="7170" width="42.83203125" style="629" customWidth="1"/>
    <col min="7171" max="7172" width="37.5" style="629" customWidth="1"/>
    <col min="7173" max="7174" width="45.1640625" style="629" customWidth="1"/>
    <col min="7175" max="7175" width="144.1640625" style="629" customWidth="1"/>
    <col min="7176" max="7176" width="49" style="629" customWidth="1"/>
    <col min="7177" max="7177" width="48.83203125" style="629" customWidth="1"/>
    <col min="7178" max="7178" width="49" style="629" customWidth="1"/>
    <col min="7179" max="7180" width="48.83203125" style="629" customWidth="1"/>
    <col min="7181" max="7181" width="6.6640625" style="629" customWidth="1"/>
    <col min="7182" max="7182" width="31.83203125" style="629" customWidth="1"/>
    <col min="7183" max="7423" width="9.33203125" style="629"/>
    <col min="7424" max="7424" width="144.1640625" style="629" customWidth="1"/>
    <col min="7425" max="7425" width="41" style="629" customWidth="1"/>
    <col min="7426" max="7426" width="42.83203125" style="629" customWidth="1"/>
    <col min="7427" max="7428" width="37.5" style="629" customWidth="1"/>
    <col min="7429" max="7430" width="45.1640625" style="629" customWidth="1"/>
    <col min="7431" max="7431" width="144.1640625" style="629" customWidth="1"/>
    <col min="7432" max="7432" width="49" style="629" customWidth="1"/>
    <col min="7433" max="7433" width="48.83203125" style="629" customWidth="1"/>
    <col min="7434" max="7434" width="49" style="629" customWidth="1"/>
    <col min="7435" max="7436" width="48.83203125" style="629" customWidth="1"/>
    <col min="7437" max="7437" width="6.6640625" style="629" customWidth="1"/>
    <col min="7438" max="7438" width="31.83203125" style="629" customWidth="1"/>
    <col min="7439" max="7679" width="9.33203125" style="629"/>
    <col min="7680" max="7680" width="144.1640625" style="629" customWidth="1"/>
    <col min="7681" max="7681" width="41" style="629" customWidth="1"/>
    <col min="7682" max="7682" width="42.83203125" style="629" customWidth="1"/>
    <col min="7683" max="7684" width="37.5" style="629" customWidth="1"/>
    <col min="7685" max="7686" width="45.1640625" style="629" customWidth="1"/>
    <col min="7687" max="7687" width="144.1640625" style="629" customWidth="1"/>
    <col min="7688" max="7688" width="49" style="629" customWidth="1"/>
    <col min="7689" max="7689" width="48.83203125" style="629" customWidth="1"/>
    <col min="7690" max="7690" width="49" style="629" customWidth="1"/>
    <col min="7691" max="7692" width="48.83203125" style="629" customWidth="1"/>
    <col min="7693" max="7693" width="6.6640625" style="629" customWidth="1"/>
    <col min="7694" max="7694" width="31.83203125" style="629" customWidth="1"/>
    <col min="7695" max="7935" width="9.33203125" style="629"/>
    <col min="7936" max="7936" width="144.1640625" style="629" customWidth="1"/>
    <col min="7937" max="7937" width="41" style="629" customWidth="1"/>
    <col min="7938" max="7938" width="42.83203125" style="629" customWidth="1"/>
    <col min="7939" max="7940" width="37.5" style="629" customWidth="1"/>
    <col min="7941" max="7942" width="45.1640625" style="629" customWidth="1"/>
    <col min="7943" max="7943" width="144.1640625" style="629" customWidth="1"/>
    <col min="7944" max="7944" width="49" style="629" customWidth="1"/>
    <col min="7945" max="7945" width="48.83203125" style="629" customWidth="1"/>
    <col min="7946" max="7946" width="49" style="629" customWidth="1"/>
    <col min="7947" max="7948" width="48.83203125" style="629" customWidth="1"/>
    <col min="7949" max="7949" width="6.6640625" style="629" customWidth="1"/>
    <col min="7950" max="7950" width="31.83203125" style="629" customWidth="1"/>
    <col min="7951" max="8191" width="9.33203125" style="629"/>
    <col min="8192" max="8192" width="144.1640625" style="629" customWidth="1"/>
    <col min="8193" max="8193" width="41" style="629" customWidth="1"/>
    <col min="8194" max="8194" width="42.83203125" style="629" customWidth="1"/>
    <col min="8195" max="8196" width="37.5" style="629" customWidth="1"/>
    <col min="8197" max="8198" width="45.1640625" style="629" customWidth="1"/>
    <col min="8199" max="8199" width="144.1640625" style="629" customWidth="1"/>
    <col min="8200" max="8200" width="49" style="629" customWidth="1"/>
    <col min="8201" max="8201" width="48.83203125" style="629" customWidth="1"/>
    <col min="8202" max="8202" width="49" style="629" customWidth="1"/>
    <col min="8203" max="8204" width="48.83203125" style="629" customWidth="1"/>
    <col min="8205" max="8205" width="6.6640625" style="629" customWidth="1"/>
    <col min="8206" max="8206" width="31.83203125" style="629" customWidth="1"/>
    <col min="8207" max="8447" width="9.33203125" style="629"/>
    <col min="8448" max="8448" width="144.1640625" style="629" customWidth="1"/>
    <col min="8449" max="8449" width="41" style="629" customWidth="1"/>
    <col min="8450" max="8450" width="42.83203125" style="629" customWidth="1"/>
    <col min="8451" max="8452" width="37.5" style="629" customWidth="1"/>
    <col min="8453" max="8454" width="45.1640625" style="629" customWidth="1"/>
    <col min="8455" max="8455" width="144.1640625" style="629" customWidth="1"/>
    <col min="8456" max="8456" width="49" style="629" customWidth="1"/>
    <col min="8457" max="8457" width="48.83203125" style="629" customWidth="1"/>
    <col min="8458" max="8458" width="49" style="629" customWidth="1"/>
    <col min="8459" max="8460" width="48.83203125" style="629" customWidth="1"/>
    <col min="8461" max="8461" width="6.6640625" style="629" customWidth="1"/>
    <col min="8462" max="8462" width="31.83203125" style="629" customWidth="1"/>
    <col min="8463" max="8703" width="9.33203125" style="629"/>
    <col min="8704" max="8704" width="144.1640625" style="629" customWidth="1"/>
    <col min="8705" max="8705" width="41" style="629" customWidth="1"/>
    <col min="8706" max="8706" width="42.83203125" style="629" customWidth="1"/>
    <col min="8707" max="8708" width="37.5" style="629" customWidth="1"/>
    <col min="8709" max="8710" width="45.1640625" style="629" customWidth="1"/>
    <col min="8711" max="8711" width="144.1640625" style="629" customWidth="1"/>
    <col min="8712" max="8712" width="49" style="629" customWidth="1"/>
    <col min="8713" max="8713" width="48.83203125" style="629" customWidth="1"/>
    <col min="8714" max="8714" width="49" style="629" customWidth="1"/>
    <col min="8715" max="8716" width="48.83203125" style="629" customWidth="1"/>
    <col min="8717" max="8717" width="6.6640625" style="629" customWidth="1"/>
    <col min="8718" max="8718" width="31.83203125" style="629" customWidth="1"/>
    <col min="8719" max="8959" width="9.33203125" style="629"/>
    <col min="8960" max="8960" width="144.1640625" style="629" customWidth="1"/>
    <col min="8961" max="8961" width="41" style="629" customWidth="1"/>
    <col min="8962" max="8962" width="42.83203125" style="629" customWidth="1"/>
    <col min="8963" max="8964" width="37.5" style="629" customWidth="1"/>
    <col min="8965" max="8966" width="45.1640625" style="629" customWidth="1"/>
    <col min="8967" max="8967" width="144.1640625" style="629" customWidth="1"/>
    <col min="8968" max="8968" width="49" style="629" customWidth="1"/>
    <col min="8969" max="8969" width="48.83203125" style="629" customWidth="1"/>
    <col min="8970" max="8970" width="49" style="629" customWidth="1"/>
    <col min="8971" max="8972" width="48.83203125" style="629" customWidth="1"/>
    <col min="8973" max="8973" width="6.6640625" style="629" customWidth="1"/>
    <col min="8974" max="8974" width="31.83203125" style="629" customWidth="1"/>
    <col min="8975" max="9215" width="9.33203125" style="629"/>
    <col min="9216" max="9216" width="144.1640625" style="629" customWidth="1"/>
    <col min="9217" max="9217" width="41" style="629" customWidth="1"/>
    <col min="9218" max="9218" width="42.83203125" style="629" customWidth="1"/>
    <col min="9219" max="9220" width="37.5" style="629" customWidth="1"/>
    <col min="9221" max="9222" width="45.1640625" style="629" customWidth="1"/>
    <col min="9223" max="9223" width="144.1640625" style="629" customWidth="1"/>
    <col min="9224" max="9224" width="49" style="629" customWidth="1"/>
    <col min="9225" max="9225" width="48.83203125" style="629" customWidth="1"/>
    <col min="9226" max="9226" width="49" style="629" customWidth="1"/>
    <col min="9227" max="9228" width="48.83203125" style="629" customWidth="1"/>
    <col min="9229" max="9229" width="6.6640625" style="629" customWidth="1"/>
    <col min="9230" max="9230" width="31.83203125" style="629" customWidth="1"/>
    <col min="9231" max="9471" width="9.33203125" style="629"/>
    <col min="9472" max="9472" width="144.1640625" style="629" customWidth="1"/>
    <col min="9473" max="9473" width="41" style="629" customWidth="1"/>
    <col min="9474" max="9474" width="42.83203125" style="629" customWidth="1"/>
    <col min="9475" max="9476" width="37.5" style="629" customWidth="1"/>
    <col min="9477" max="9478" width="45.1640625" style="629" customWidth="1"/>
    <col min="9479" max="9479" width="144.1640625" style="629" customWidth="1"/>
    <col min="9480" max="9480" width="49" style="629" customWidth="1"/>
    <col min="9481" max="9481" width="48.83203125" style="629" customWidth="1"/>
    <col min="9482" max="9482" width="49" style="629" customWidth="1"/>
    <col min="9483" max="9484" width="48.83203125" style="629" customWidth="1"/>
    <col min="9485" max="9485" width="6.6640625" style="629" customWidth="1"/>
    <col min="9486" max="9486" width="31.83203125" style="629" customWidth="1"/>
    <col min="9487" max="9727" width="9.33203125" style="629"/>
    <col min="9728" max="9728" width="144.1640625" style="629" customWidth="1"/>
    <col min="9729" max="9729" width="41" style="629" customWidth="1"/>
    <col min="9730" max="9730" width="42.83203125" style="629" customWidth="1"/>
    <col min="9731" max="9732" width="37.5" style="629" customWidth="1"/>
    <col min="9733" max="9734" width="45.1640625" style="629" customWidth="1"/>
    <col min="9735" max="9735" width="144.1640625" style="629" customWidth="1"/>
    <col min="9736" max="9736" width="49" style="629" customWidth="1"/>
    <col min="9737" max="9737" width="48.83203125" style="629" customWidth="1"/>
    <col min="9738" max="9738" width="49" style="629" customWidth="1"/>
    <col min="9739" max="9740" width="48.83203125" style="629" customWidth="1"/>
    <col min="9741" max="9741" width="6.6640625" style="629" customWidth="1"/>
    <col min="9742" max="9742" width="31.83203125" style="629" customWidth="1"/>
    <col min="9743" max="9983" width="9.33203125" style="629"/>
    <col min="9984" max="9984" width="144.1640625" style="629" customWidth="1"/>
    <col min="9985" max="9985" width="41" style="629" customWidth="1"/>
    <col min="9986" max="9986" width="42.83203125" style="629" customWidth="1"/>
    <col min="9987" max="9988" width="37.5" style="629" customWidth="1"/>
    <col min="9989" max="9990" width="45.1640625" style="629" customWidth="1"/>
    <col min="9991" max="9991" width="144.1640625" style="629" customWidth="1"/>
    <col min="9992" max="9992" width="49" style="629" customWidth="1"/>
    <col min="9993" max="9993" width="48.83203125" style="629" customWidth="1"/>
    <col min="9994" max="9994" width="49" style="629" customWidth="1"/>
    <col min="9995" max="9996" width="48.83203125" style="629" customWidth="1"/>
    <col min="9997" max="9997" width="6.6640625" style="629" customWidth="1"/>
    <col min="9998" max="9998" width="31.83203125" style="629" customWidth="1"/>
    <col min="9999" max="10239" width="9.33203125" style="629"/>
    <col min="10240" max="10240" width="144.1640625" style="629" customWidth="1"/>
    <col min="10241" max="10241" width="41" style="629" customWidth="1"/>
    <col min="10242" max="10242" width="42.83203125" style="629" customWidth="1"/>
    <col min="10243" max="10244" width="37.5" style="629" customWidth="1"/>
    <col min="10245" max="10246" width="45.1640625" style="629" customWidth="1"/>
    <col min="10247" max="10247" width="144.1640625" style="629" customWidth="1"/>
    <col min="10248" max="10248" width="49" style="629" customWidth="1"/>
    <col min="10249" max="10249" width="48.83203125" style="629" customWidth="1"/>
    <col min="10250" max="10250" width="49" style="629" customWidth="1"/>
    <col min="10251" max="10252" width="48.83203125" style="629" customWidth="1"/>
    <col min="10253" max="10253" width="6.6640625" style="629" customWidth="1"/>
    <col min="10254" max="10254" width="31.83203125" style="629" customWidth="1"/>
    <col min="10255" max="10495" width="9.33203125" style="629"/>
    <col min="10496" max="10496" width="144.1640625" style="629" customWidth="1"/>
    <col min="10497" max="10497" width="41" style="629" customWidth="1"/>
    <col min="10498" max="10498" width="42.83203125" style="629" customWidth="1"/>
    <col min="10499" max="10500" width="37.5" style="629" customWidth="1"/>
    <col min="10501" max="10502" width="45.1640625" style="629" customWidth="1"/>
    <col min="10503" max="10503" width="144.1640625" style="629" customWidth="1"/>
    <col min="10504" max="10504" width="49" style="629" customWidth="1"/>
    <col min="10505" max="10505" width="48.83203125" style="629" customWidth="1"/>
    <col min="10506" max="10506" width="49" style="629" customWidth="1"/>
    <col min="10507" max="10508" width="48.83203125" style="629" customWidth="1"/>
    <col min="10509" max="10509" width="6.6640625" style="629" customWidth="1"/>
    <col min="10510" max="10510" width="31.83203125" style="629" customWidth="1"/>
    <col min="10511" max="10751" width="9.33203125" style="629"/>
    <col min="10752" max="10752" width="144.1640625" style="629" customWidth="1"/>
    <col min="10753" max="10753" width="41" style="629" customWidth="1"/>
    <col min="10754" max="10754" width="42.83203125" style="629" customWidth="1"/>
    <col min="10755" max="10756" width="37.5" style="629" customWidth="1"/>
    <col min="10757" max="10758" width="45.1640625" style="629" customWidth="1"/>
    <col min="10759" max="10759" width="144.1640625" style="629" customWidth="1"/>
    <col min="10760" max="10760" width="49" style="629" customWidth="1"/>
    <col min="10761" max="10761" width="48.83203125" style="629" customWidth="1"/>
    <col min="10762" max="10762" width="49" style="629" customWidth="1"/>
    <col min="10763" max="10764" width="48.83203125" style="629" customWidth="1"/>
    <col min="10765" max="10765" width="6.6640625" style="629" customWidth="1"/>
    <col min="10766" max="10766" width="31.83203125" style="629" customWidth="1"/>
    <col min="10767" max="11007" width="9.33203125" style="629"/>
    <col min="11008" max="11008" width="144.1640625" style="629" customWidth="1"/>
    <col min="11009" max="11009" width="41" style="629" customWidth="1"/>
    <col min="11010" max="11010" width="42.83203125" style="629" customWidth="1"/>
    <col min="11011" max="11012" width="37.5" style="629" customWidth="1"/>
    <col min="11013" max="11014" width="45.1640625" style="629" customWidth="1"/>
    <col min="11015" max="11015" width="144.1640625" style="629" customWidth="1"/>
    <col min="11016" max="11016" width="49" style="629" customWidth="1"/>
    <col min="11017" max="11017" width="48.83203125" style="629" customWidth="1"/>
    <col min="11018" max="11018" width="49" style="629" customWidth="1"/>
    <col min="11019" max="11020" width="48.83203125" style="629" customWidth="1"/>
    <col min="11021" max="11021" width="6.6640625" style="629" customWidth="1"/>
    <col min="11022" max="11022" width="31.83203125" style="629" customWidth="1"/>
    <col min="11023" max="11263" width="9.33203125" style="629"/>
    <col min="11264" max="11264" width="144.1640625" style="629" customWidth="1"/>
    <col min="11265" max="11265" width="41" style="629" customWidth="1"/>
    <col min="11266" max="11266" width="42.83203125" style="629" customWidth="1"/>
    <col min="11267" max="11268" width="37.5" style="629" customWidth="1"/>
    <col min="11269" max="11270" width="45.1640625" style="629" customWidth="1"/>
    <col min="11271" max="11271" width="144.1640625" style="629" customWidth="1"/>
    <col min="11272" max="11272" width="49" style="629" customWidth="1"/>
    <col min="11273" max="11273" width="48.83203125" style="629" customWidth="1"/>
    <col min="11274" max="11274" width="49" style="629" customWidth="1"/>
    <col min="11275" max="11276" width="48.83203125" style="629" customWidth="1"/>
    <col min="11277" max="11277" width="6.6640625" style="629" customWidth="1"/>
    <col min="11278" max="11278" width="31.83203125" style="629" customWidth="1"/>
    <col min="11279" max="11519" width="9.33203125" style="629"/>
    <col min="11520" max="11520" width="144.1640625" style="629" customWidth="1"/>
    <col min="11521" max="11521" width="41" style="629" customWidth="1"/>
    <col min="11522" max="11522" width="42.83203125" style="629" customWidth="1"/>
    <col min="11523" max="11524" width="37.5" style="629" customWidth="1"/>
    <col min="11525" max="11526" width="45.1640625" style="629" customWidth="1"/>
    <col min="11527" max="11527" width="144.1640625" style="629" customWidth="1"/>
    <col min="11528" max="11528" width="49" style="629" customWidth="1"/>
    <col min="11529" max="11529" width="48.83203125" style="629" customWidth="1"/>
    <col min="11530" max="11530" width="49" style="629" customWidth="1"/>
    <col min="11531" max="11532" width="48.83203125" style="629" customWidth="1"/>
    <col min="11533" max="11533" width="6.6640625" style="629" customWidth="1"/>
    <col min="11534" max="11534" width="31.83203125" style="629" customWidth="1"/>
    <col min="11535" max="11775" width="9.33203125" style="629"/>
    <col min="11776" max="11776" width="144.1640625" style="629" customWidth="1"/>
    <col min="11777" max="11777" width="41" style="629" customWidth="1"/>
    <col min="11778" max="11778" width="42.83203125" style="629" customWidth="1"/>
    <col min="11779" max="11780" width="37.5" style="629" customWidth="1"/>
    <col min="11781" max="11782" width="45.1640625" style="629" customWidth="1"/>
    <col min="11783" max="11783" width="144.1640625" style="629" customWidth="1"/>
    <col min="11784" max="11784" width="49" style="629" customWidth="1"/>
    <col min="11785" max="11785" width="48.83203125" style="629" customWidth="1"/>
    <col min="11786" max="11786" width="49" style="629" customWidth="1"/>
    <col min="11787" max="11788" width="48.83203125" style="629" customWidth="1"/>
    <col min="11789" max="11789" width="6.6640625" style="629" customWidth="1"/>
    <col min="11790" max="11790" width="31.83203125" style="629" customWidth="1"/>
    <col min="11791" max="12031" width="9.33203125" style="629"/>
    <col min="12032" max="12032" width="144.1640625" style="629" customWidth="1"/>
    <col min="12033" max="12033" width="41" style="629" customWidth="1"/>
    <col min="12034" max="12034" width="42.83203125" style="629" customWidth="1"/>
    <col min="12035" max="12036" width="37.5" style="629" customWidth="1"/>
    <col min="12037" max="12038" width="45.1640625" style="629" customWidth="1"/>
    <col min="12039" max="12039" width="144.1640625" style="629" customWidth="1"/>
    <col min="12040" max="12040" width="49" style="629" customWidth="1"/>
    <col min="12041" max="12041" width="48.83203125" style="629" customWidth="1"/>
    <col min="12042" max="12042" width="49" style="629" customWidth="1"/>
    <col min="12043" max="12044" width="48.83203125" style="629" customWidth="1"/>
    <col min="12045" max="12045" width="6.6640625" style="629" customWidth="1"/>
    <col min="12046" max="12046" width="31.83203125" style="629" customWidth="1"/>
    <col min="12047" max="12287" width="9.33203125" style="629"/>
    <col min="12288" max="12288" width="144.1640625" style="629" customWidth="1"/>
    <col min="12289" max="12289" width="41" style="629" customWidth="1"/>
    <col min="12290" max="12290" width="42.83203125" style="629" customWidth="1"/>
    <col min="12291" max="12292" width="37.5" style="629" customWidth="1"/>
    <col min="12293" max="12294" width="45.1640625" style="629" customWidth="1"/>
    <col min="12295" max="12295" width="144.1640625" style="629" customWidth="1"/>
    <col min="12296" max="12296" width="49" style="629" customWidth="1"/>
    <col min="12297" max="12297" width="48.83203125" style="629" customWidth="1"/>
    <col min="12298" max="12298" width="49" style="629" customWidth="1"/>
    <col min="12299" max="12300" width="48.83203125" style="629" customWidth="1"/>
    <col min="12301" max="12301" width="6.6640625" style="629" customWidth="1"/>
    <col min="12302" max="12302" width="31.83203125" style="629" customWidth="1"/>
    <col min="12303" max="12543" width="9.33203125" style="629"/>
    <col min="12544" max="12544" width="144.1640625" style="629" customWidth="1"/>
    <col min="12545" max="12545" width="41" style="629" customWidth="1"/>
    <col min="12546" max="12546" width="42.83203125" style="629" customWidth="1"/>
    <col min="12547" max="12548" width="37.5" style="629" customWidth="1"/>
    <col min="12549" max="12550" width="45.1640625" style="629" customWidth="1"/>
    <col min="12551" max="12551" width="144.1640625" style="629" customWidth="1"/>
    <col min="12552" max="12552" width="49" style="629" customWidth="1"/>
    <col min="12553" max="12553" width="48.83203125" style="629" customWidth="1"/>
    <col min="12554" max="12554" width="49" style="629" customWidth="1"/>
    <col min="12555" max="12556" width="48.83203125" style="629" customWidth="1"/>
    <col min="12557" max="12557" width="6.6640625" style="629" customWidth="1"/>
    <col min="12558" max="12558" width="31.83203125" style="629" customWidth="1"/>
    <col min="12559" max="12799" width="9.33203125" style="629"/>
    <col min="12800" max="12800" width="144.1640625" style="629" customWidth="1"/>
    <col min="12801" max="12801" width="41" style="629" customWidth="1"/>
    <col min="12802" max="12802" width="42.83203125" style="629" customWidth="1"/>
    <col min="12803" max="12804" width="37.5" style="629" customWidth="1"/>
    <col min="12805" max="12806" width="45.1640625" style="629" customWidth="1"/>
    <col min="12807" max="12807" width="144.1640625" style="629" customWidth="1"/>
    <col min="12808" max="12808" width="49" style="629" customWidth="1"/>
    <col min="12809" max="12809" width="48.83203125" style="629" customWidth="1"/>
    <col min="12810" max="12810" width="49" style="629" customWidth="1"/>
    <col min="12811" max="12812" width="48.83203125" style="629" customWidth="1"/>
    <col min="12813" max="12813" width="6.6640625" style="629" customWidth="1"/>
    <col min="12814" max="12814" width="31.83203125" style="629" customWidth="1"/>
    <col min="12815" max="13055" width="9.33203125" style="629"/>
    <col min="13056" max="13056" width="144.1640625" style="629" customWidth="1"/>
    <col min="13057" max="13057" width="41" style="629" customWidth="1"/>
    <col min="13058" max="13058" width="42.83203125" style="629" customWidth="1"/>
    <col min="13059" max="13060" width="37.5" style="629" customWidth="1"/>
    <col min="13061" max="13062" width="45.1640625" style="629" customWidth="1"/>
    <col min="13063" max="13063" width="144.1640625" style="629" customWidth="1"/>
    <col min="13064" max="13064" width="49" style="629" customWidth="1"/>
    <col min="13065" max="13065" width="48.83203125" style="629" customWidth="1"/>
    <col min="13066" max="13066" width="49" style="629" customWidth="1"/>
    <col min="13067" max="13068" width="48.83203125" style="629" customWidth="1"/>
    <col min="13069" max="13069" width="6.6640625" style="629" customWidth="1"/>
    <col min="13070" max="13070" width="31.83203125" style="629" customWidth="1"/>
    <col min="13071" max="13311" width="9.33203125" style="629"/>
    <col min="13312" max="13312" width="144.1640625" style="629" customWidth="1"/>
    <col min="13313" max="13313" width="41" style="629" customWidth="1"/>
    <col min="13314" max="13314" width="42.83203125" style="629" customWidth="1"/>
    <col min="13315" max="13316" width="37.5" style="629" customWidth="1"/>
    <col min="13317" max="13318" width="45.1640625" style="629" customWidth="1"/>
    <col min="13319" max="13319" width="144.1640625" style="629" customWidth="1"/>
    <col min="13320" max="13320" width="49" style="629" customWidth="1"/>
    <col min="13321" max="13321" width="48.83203125" style="629" customWidth="1"/>
    <col min="13322" max="13322" width="49" style="629" customWidth="1"/>
    <col min="13323" max="13324" width="48.83203125" style="629" customWidth="1"/>
    <col min="13325" max="13325" width="6.6640625" style="629" customWidth="1"/>
    <col min="13326" max="13326" width="31.83203125" style="629" customWidth="1"/>
    <col min="13327" max="13567" width="9.33203125" style="629"/>
    <col min="13568" max="13568" width="144.1640625" style="629" customWidth="1"/>
    <col min="13569" max="13569" width="41" style="629" customWidth="1"/>
    <col min="13570" max="13570" width="42.83203125" style="629" customWidth="1"/>
    <col min="13571" max="13572" width="37.5" style="629" customWidth="1"/>
    <col min="13573" max="13574" width="45.1640625" style="629" customWidth="1"/>
    <col min="13575" max="13575" width="144.1640625" style="629" customWidth="1"/>
    <col min="13576" max="13576" width="49" style="629" customWidth="1"/>
    <col min="13577" max="13577" width="48.83203125" style="629" customWidth="1"/>
    <col min="13578" max="13578" width="49" style="629" customWidth="1"/>
    <col min="13579" max="13580" width="48.83203125" style="629" customWidth="1"/>
    <col min="13581" max="13581" width="6.6640625" style="629" customWidth="1"/>
    <col min="13582" max="13582" width="31.83203125" style="629" customWidth="1"/>
    <col min="13583" max="13823" width="9.33203125" style="629"/>
    <col min="13824" max="13824" width="144.1640625" style="629" customWidth="1"/>
    <col min="13825" max="13825" width="41" style="629" customWidth="1"/>
    <col min="13826" max="13826" width="42.83203125" style="629" customWidth="1"/>
    <col min="13827" max="13828" width="37.5" style="629" customWidth="1"/>
    <col min="13829" max="13830" width="45.1640625" style="629" customWidth="1"/>
    <col min="13831" max="13831" width="144.1640625" style="629" customWidth="1"/>
    <col min="13832" max="13832" width="49" style="629" customWidth="1"/>
    <col min="13833" max="13833" width="48.83203125" style="629" customWidth="1"/>
    <col min="13834" max="13834" width="49" style="629" customWidth="1"/>
    <col min="13835" max="13836" width="48.83203125" style="629" customWidth="1"/>
    <col min="13837" max="13837" width="6.6640625" style="629" customWidth="1"/>
    <col min="13838" max="13838" width="31.83203125" style="629" customWidth="1"/>
    <col min="13839" max="14079" width="9.33203125" style="629"/>
    <col min="14080" max="14080" width="144.1640625" style="629" customWidth="1"/>
    <col min="14081" max="14081" width="41" style="629" customWidth="1"/>
    <col min="14082" max="14082" width="42.83203125" style="629" customWidth="1"/>
    <col min="14083" max="14084" width="37.5" style="629" customWidth="1"/>
    <col min="14085" max="14086" width="45.1640625" style="629" customWidth="1"/>
    <col min="14087" max="14087" width="144.1640625" style="629" customWidth="1"/>
    <col min="14088" max="14088" width="49" style="629" customWidth="1"/>
    <col min="14089" max="14089" width="48.83203125" style="629" customWidth="1"/>
    <col min="14090" max="14090" width="49" style="629" customWidth="1"/>
    <col min="14091" max="14092" width="48.83203125" style="629" customWidth="1"/>
    <col min="14093" max="14093" width="6.6640625" style="629" customWidth="1"/>
    <col min="14094" max="14094" width="31.83203125" style="629" customWidth="1"/>
    <col min="14095" max="14335" width="9.33203125" style="629"/>
    <col min="14336" max="14336" width="144.1640625" style="629" customWidth="1"/>
    <col min="14337" max="14337" width="41" style="629" customWidth="1"/>
    <col min="14338" max="14338" width="42.83203125" style="629" customWidth="1"/>
    <col min="14339" max="14340" width="37.5" style="629" customWidth="1"/>
    <col min="14341" max="14342" width="45.1640625" style="629" customWidth="1"/>
    <col min="14343" max="14343" width="144.1640625" style="629" customWidth="1"/>
    <col min="14344" max="14344" width="49" style="629" customWidth="1"/>
    <col min="14345" max="14345" width="48.83203125" style="629" customWidth="1"/>
    <col min="14346" max="14346" width="49" style="629" customWidth="1"/>
    <col min="14347" max="14348" width="48.83203125" style="629" customWidth="1"/>
    <col min="14349" max="14349" width="6.6640625" style="629" customWidth="1"/>
    <col min="14350" max="14350" width="31.83203125" style="629" customWidth="1"/>
    <col min="14351" max="14591" width="9.33203125" style="629"/>
    <col min="14592" max="14592" width="144.1640625" style="629" customWidth="1"/>
    <col min="14593" max="14593" width="41" style="629" customWidth="1"/>
    <col min="14594" max="14594" width="42.83203125" style="629" customWidth="1"/>
    <col min="14595" max="14596" width="37.5" style="629" customWidth="1"/>
    <col min="14597" max="14598" width="45.1640625" style="629" customWidth="1"/>
    <col min="14599" max="14599" width="144.1640625" style="629" customWidth="1"/>
    <col min="14600" max="14600" width="49" style="629" customWidth="1"/>
    <col min="14601" max="14601" width="48.83203125" style="629" customWidth="1"/>
    <col min="14602" max="14602" width="49" style="629" customWidth="1"/>
    <col min="14603" max="14604" width="48.83203125" style="629" customWidth="1"/>
    <col min="14605" max="14605" width="6.6640625" style="629" customWidth="1"/>
    <col min="14606" max="14606" width="31.83203125" style="629" customWidth="1"/>
    <col min="14607" max="14847" width="9.33203125" style="629"/>
    <col min="14848" max="14848" width="144.1640625" style="629" customWidth="1"/>
    <col min="14849" max="14849" width="41" style="629" customWidth="1"/>
    <col min="14850" max="14850" width="42.83203125" style="629" customWidth="1"/>
    <col min="14851" max="14852" width="37.5" style="629" customWidth="1"/>
    <col min="14853" max="14854" width="45.1640625" style="629" customWidth="1"/>
    <col min="14855" max="14855" width="144.1640625" style="629" customWidth="1"/>
    <col min="14856" max="14856" width="49" style="629" customWidth="1"/>
    <col min="14857" max="14857" width="48.83203125" style="629" customWidth="1"/>
    <col min="14858" max="14858" width="49" style="629" customWidth="1"/>
    <col min="14859" max="14860" width="48.83203125" style="629" customWidth="1"/>
    <col min="14861" max="14861" width="6.6640625" style="629" customWidth="1"/>
    <col min="14862" max="14862" width="31.83203125" style="629" customWidth="1"/>
    <col min="14863" max="15103" width="9.33203125" style="629"/>
    <col min="15104" max="15104" width="144.1640625" style="629" customWidth="1"/>
    <col min="15105" max="15105" width="41" style="629" customWidth="1"/>
    <col min="15106" max="15106" width="42.83203125" style="629" customWidth="1"/>
    <col min="15107" max="15108" width="37.5" style="629" customWidth="1"/>
    <col min="15109" max="15110" width="45.1640625" style="629" customWidth="1"/>
    <col min="15111" max="15111" width="144.1640625" style="629" customWidth="1"/>
    <col min="15112" max="15112" width="49" style="629" customWidth="1"/>
    <col min="15113" max="15113" width="48.83203125" style="629" customWidth="1"/>
    <col min="15114" max="15114" width="49" style="629" customWidth="1"/>
    <col min="15115" max="15116" width="48.83203125" style="629" customWidth="1"/>
    <col min="15117" max="15117" width="6.6640625" style="629" customWidth="1"/>
    <col min="15118" max="15118" width="31.83203125" style="629" customWidth="1"/>
    <col min="15119" max="15359" width="9.33203125" style="629"/>
    <col min="15360" max="15360" width="144.1640625" style="629" customWidth="1"/>
    <col min="15361" max="15361" width="41" style="629" customWidth="1"/>
    <col min="15362" max="15362" width="42.83203125" style="629" customWidth="1"/>
    <col min="15363" max="15364" width="37.5" style="629" customWidth="1"/>
    <col min="15365" max="15366" width="45.1640625" style="629" customWidth="1"/>
    <col min="15367" max="15367" width="144.1640625" style="629" customWidth="1"/>
    <col min="15368" max="15368" width="49" style="629" customWidth="1"/>
    <col min="15369" max="15369" width="48.83203125" style="629" customWidth="1"/>
    <col min="15370" max="15370" width="49" style="629" customWidth="1"/>
    <col min="15371" max="15372" width="48.83203125" style="629" customWidth="1"/>
    <col min="15373" max="15373" width="6.6640625" style="629" customWidth="1"/>
    <col min="15374" max="15374" width="31.83203125" style="629" customWidth="1"/>
    <col min="15375" max="15615" width="9.33203125" style="629"/>
    <col min="15616" max="15616" width="144.1640625" style="629" customWidth="1"/>
    <col min="15617" max="15617" width="41" style="629" customWidth="1"/>
    <col min="15618" max="15618" width="42.83203125" style="629" customWidth="1"/>
    <col min="15619" max="15620" width="37.5" style="629" customWidth="1"/>
    <col min="15621" max="15622" width="45.1640625" style="629" customWidth="1"/>
    <col min="15623" max="15623" width="144.1640625" style="629" customWidth="1"/>
    <col min="15624" max="15624" width="49" style="629" customWidth="1"/>
    <col min="15625" max="15625" width="48.83203125" style="629" customWidth="1"/>
    <col min="15626" max="15626" width="49" style="629" customWidth="1"/>
    <col min="15627" max="15628" width="48.83203125" style="629" customWidth="1"/>
    <col min="15629" max="15629" width="6.6640625" style="629" customWidth="1"/>
    <col min="15630" max="15630" width="31.83203125" style="629" customWidth="1"/>
    <col min="15631" max="15871" width="9.33203125" style="629"/>
    <col min="15872" max="15872" width="144.1640625" style="629" customWidth="1"/>
    <col min="15873" max="15873" width="41" style="629" customWidth="1"/>
    <col min="15874" max="15874" width="42.83203125" style="629" customWidth="1"/>
    <col min="15875" max="15876" width="37.5" style="629" customWidth="1"/>
    <col min="15877" max="15878" width="45.1640625" style="629" customWidth="1"/>
    <col min="15879" max="15879" width="144.1640625" style="629" customWidth="1"/>
    <col min="15880" max="15880" width="49" style="629" customWidth="1"/>
    <col min="15881" max="15881" width="48.83203125" style="629" customWidth="1"/>
    <col min="15882" max="15882" width="49" style="629" customWidth="1"/>
    <col min="15883" max="15884" width="48.83203125" style="629" customWidth="1"/>
    <col min="15885" max="15885" width="6.6640625" style="629" customWidth="1"/>
    <col min="15886" max="15886" width="31.83203125" style="629" customWidth="1"/>
    <col min="15887" max="16127" width="9.33203125" style="629"/>
    <col min="16128" max="16128" width="144.1640625" style="629" customWidth="1"/>
    <col min="16129" max="16129" width="41" style="629" customWidth="1"/>
    <col min="16130" max="16130" width="42.83203125" style="629" customWidth="1"/>
    <col min="16131" max="16132" width="37.5" style="629" customWidth="1"/>
    <col min="16133" max="16134" width="45.1640625" style="629" customWidth="1"/>
    <col min="16135" max="16135" width="144.1640625" style="629" customWidth="1"/>
    <col min="16136" max="16136" width="49" style="629" customWidth="1"/>
    <col min="16137" max="16137" width="48.83203125" style="629" customWidth="1"/>
    <col min="16138" max="16138" width="49" style="629" customWidth="1"/>
    <col min="16139" max="16140" width="48.83203125" style="629" customWidth="1"/>
    <col min="16141" max="16141" width="6.6640625" style="629" customWidth="1"/>
    <col min="16142" max="16142" width="31.83203125" style="629" customWidth="1"/>
    <col min="16143" max="16384" width="9.33203125" style="629"/>
  </cols>
  <sheetData>
    <row r="2" spans="1:14" ht="54" customHeight="1" x14ac:dyDescent="0.45">
      <c r="A2" s="955" t="s">
        <v>224</v>
      </c>
      <c r="B2" s="955"/>
      <c r="C2" s="955"/>
      <c r="D2" s="955"/>
      <c r="E2" s="955"/>
      <c r="F2" s="955"/>
      <c r="G2" s="955"/>
      <c r="H2" s="955" t="s">
        <v>224</v>
      </c>
      <c r="I2" s="955"/>
      <c r="J2" s="955"/>
      <c r="K2" s="955"/>
      <c r="L2" s="955"/>
      <c r="M2" s="955"/>
      <c r="N2" s="646"/>
    </row>
    <row r="3" spans="1:14" ht="54" customHeight="1" x14ac:dyDescent="0.45">
      <c r="A3" s="955" t="s">
        <v>765</v>
      </c>
      <c r="B3" s="955"/>
      <c r="C3" s="955"/>
      <c r="D3" s="955"/>
      <c r="E3" s="955"/>
      <c r="F3" s="955"/>
      <c r="G3" s="955"/>
      <c r="H3" s="955" t="s">
        <v>765</v>
      </c>
      <c r="I3" s="955"/>
      <c r="J3" s="955"/>
      <c r="K3" s="955"/>
      <c r="L3" s="955"/>
      <c r="M3" s="955"/>
      <c r="N3" s="646"/>
    </row>
    <row r="4" spans="1:14" ht="42.75" customHeight="1" thickBot="1" x14ac:dyDescent="0.4">
      <c r="A4" s="647"/>
      <c r="B4" s="648"/>
      <c r="C4" s="648"/>
      <c r="D4" s="648"/>
      <c r="E4" s="648"/>
      <c r="F4" s="600"/>
      <c r="G4" s="600"/>
      <c r="H4" s="647"/>
      <c r="I4" s="600"/>
      <c r="J4" s="600"/>
      <c r="K4" s="600"/>
      <c r="L4" s="600"/>
      <c r="M4" s="600"/>
      <c r="N4" s="600"/>
    </row>
    <row r="5" spans="1:14" s="605" customFormat="1" ht="41.25" customHeight="1" x14ac:dyDescent="0.4">
      <c r="A5" s="604"/>
      <c r="B5" s="604"/>
      <c r="C5" s="603"/>
      <c r="D5" s="603"/>
      <c r="E5" s="603"/>
      <c r="F5" s="602"/>
      <c r="G5" s="602"/>
      <c r="H5" s="604"/>
      <c r="I5" s="649"/>
      <c r="J5" s="649"/>
      <c r="K5" s="649"/>
      <c r="L5" s="650"/>
      <c r="M5" s="602"/>
      <c r="N5" s="651"/>
    </row>
    <row r="6" spans="1:14" s="657" customFormat="1" ht="141" customHeight="1" x14ac:dyDescent="0.25">
      <c r="A6" s="652" t="s">
        <v>725</v>
      </c>
      <c r="B6" s="653" t="s">
        <v>258</v>
      </c>
      <c r="C6" s="607" t="s">
        <v>259</v>
      </c>
      <c r="D6" s="608" t="s">
        <v>260</v>
      </c>
      <c r="E6" s="608" t="s">
        <v>261</v>
      </c>
      <c r="F6" s="607" t="s">
        <v>766</v>
      </c>
      <c r="G6" s="608" t="s">
        <v>241</v>
      </c>
      <c r="H6" s="652" t="s">
        <v>725</v>
      </c>
      <c r="I6" s="654" t="s">
        <v>149</v>
      </c>
      <c r="J6" s="654" t="s">
        <v>262</v>
      </c>
      <c r="K6" s="607" t="s">
        <v>264</v>
      </c>
      <c r="L6" s="655" t="s">
        <v>767</v>
      </c>
      <c r="M6" s="654" t="s">
        <v>243</v>
      </c>
      <c r="N6" s="656"/>
    </row>
    <row r="7" spans="1:14" s="663" customFormat="1" ht="89.25" customHeight="1" thickBot="1" x14ac:dyDescent="0.4">
      <c r="A7" s="658" t="s">
        <v>681</v>
      </c>
      <c r="B7" s="659"/>
      <c r="C7" s="611"/>
      <c r="D7" s="611"/>
      <c r="E7" s="611"/>
      <c r="F7" s="611"/>
      <c r="G7" s="660"/>
      <c r="H7" s="658" t="s">
        <v>681</v>
      </c>
      <c r="I7" s="611"/>
      <c r="J7" s="611"/>
      <c r="K7" s="611"/>
      <c r="L7" s="661"/>
      <c r="M7" s="611"/>
      <c r="N7" s="662"/>
    </row>
    <row r="8" spans="1:14" ht="26.45" customHeight="1" x14ac:dyDescent="0.35">
      <c r="A8" s="603" t="s">
        <v>729</v>
      </c>
      <c r="B8" s="664"/>
      <c r="C8" s="664"/>
      <c r="D8" s="664"/>
      <c r="E8" s="664"/>
      <c r="F8" s="665"/>
      <c r="G8" s="665"/>
      <c r="H8" s="603" t="s">
        <v>729</v>
      </c>
      <c r="I8" s="665"/>
      <c r="J8" s="665"/>
      <c r="K8" s="666"/>
      <c r="L8" s="667"/>
      <c r="M8" s="667"/>
      <c r="N8" s="668"/>
    </row>
    <row r="9" spans="1:14" ht="26.45" customHeight="1" x14ac:dyDescent="0.4">
      <c r="A9" s="614" t="s">
        <v>730</v>
      </c>
      <c r="B9" s="615">
        <v>234624</v>
      </c>
      <c r="C9" s="615">
        <v>34776</v>
      </c>
      <c r="D9" s="615">
        <v>6598</v>
      </c>
      <c r="E9" s="621"/>
      <c r="F9" s="669"/>
      <c r="G9" s="670">
        <f>SUM(B9:F9)</f>
        <v>275998</v>
      </c>
      <c r="H9" s="614" t="s">
        <v>730</v>
      </c>
      <c r="I9" s="669"/>
      <c r="J9" s="669"/>
      <c r="K9" s="669"/>
      <c r="L9" s="670">
        <f>SUM(I9:K9)</f>
        <v>0</v>
      </c>
      <c r="M9" s="670">
        <f t="shared" ref="M9:M26" si="0">G9+L9</f>
        <v>275998</v>
      </c>
      <c r="N9" s="671"/>
    </row>
    <row r="10" spans="1:14" ht="26.45" customHeight="1" x14ac:dyDescent="0.4">
      <c r="A10" s="618" t="s">
        <v>731</v>
      </c>
      <c r="B10" s="619">
        <v>164413</v>
      </c>
      <c r="C10" s="619">
        <v>21263</v>
      </c>
      <c r="D10" s="619">
        <v>3058</v>
      </c>
      <c r="E10" s="619"/>
      <c r="F10" s="672"/>
      <c r="G10" s="673">
        <f t="shared" ref="G10:G28" si="1">SUM(B10:F10)</f>
        <v>188734</v>
      </c>
      <c r="H10" s="618" t="s">
        <v>731</v>
      </c>
      <c r="I10" s="672"/>
      <c r="J10" s="672"/>
      <c r="K10" s="672"/>
      <c r="L10" s="673">
        <f t="shared" ref="L10:L28" si="2">SUM(I10:K10)</f>
        <v>0</v>
      </c>
      <c r="M10" s="673">
        <f t="shared" si="0"/>
        <v>188734</v>
      </c>
      <c r="N10" s="671"/>
    </row>
    <row r="11" spans="1:14" ht="26.45" customHeight="1" x14ac:dyDescent="0.4">
      <c r="A11" s="618" t="s">
        <v>732</v>
      </c>
      <c r="B11" s="619">
        <v>173152</v>
      </c>
      <c r="C11" s="619">
        <v>22668</v>
      </c>
      <c r="D11" s="619">
        <v>3904</v>
      </c>
      <c r="E11" s="619"/>
      <c r="F11" s="672"/>
      <c r="G11" s="673">
        <f t="shared" si="1"/>
        <v>199724</v>
      </c>
      <c r="H11" s="618" t="s">
        <v>732</v>
      </c>
      <c r="I11" s="672"/>
      <c r="J11" s="672"/>
      <c r="K11" s="672"/>
      <c r="L11" s="673">
        <f t="shared" si="2"/>
        <v>0</v>
      </c>
      <c r="M11" s="673">
        <f t="shared" si="0"/>
        <v>199724</v>
      </c>
      <c r="N11" s="671"/>
    </row>
    <row r="12" spans="1:14" ht="27.75" customHeight="1" x14ac:dyDescent="0.4">
      <c r="A12" s="618" t="s">
        <v>733</v>
      </c>
      <c r="B12" s="619">
        <v>206365</v>
      </c>
      <c r="C12" s="619">
        <v>30643</v>
      </c>
      <c r="D12" s="619">
        <v>4113</v>
      </c>
      <c r="E12" s="619"/>
      <c r="F12" s="672"/>
      <c r="G12" s="673">
        <f t="shared" si="1"/>
        <v>241121</v>
      </c>
      <c r="H12" s="618" t="s">
        <v>733</v>
      </c>
      <c r="I12" s="672"/>
      <c r="J12" s="672"/>
      <c r="K12" s="672"/>
      <c r="L12" s="673">
        <f t="shared" si="2"/>
        <v>0</v>
      </c>
      <c r="M12" s="673">
        <f t="shared" si="0"/>
        <v>241121</v>
      </c>
      <c r="N12" s="671"/>
    </row>
    <row r="13" spans="1:14" ht="26.45" customHeight="1" x14ac:dyDescent="0.4">
      <c r="A13" s="618" t="s">
        <v>734</v>
      </c>
      <c r="B13" s="619">
        <v>195929</v>
      </c>
      <c r="C13" s="619">
        <v>28860</v>
      </c>
      <c r="D13" s="619">
        <v>3491</v>
      </c>
      <c r="E13" s="619"/>
      <c r="F13" s="672"/>
      <c r="G13" s="673">
        <f t="shared" si="1"/>
        <v>228280</v>
      </c>
      <c r="H13" s="618" t="s">
        <v>734</v>
      </c>
      <c r="I13" s="672"/>
      <c r="J13" s="672"/>
      <c r="K13" s="672"/>
      <c r="L13" s="673">
        <f t="shared" si="2"/>
        <v>0</v>
      </c>
      <c r="M13" s="673">
        <f t="shared" si="0"/>
        <v>228280</v>
      </c>
      <c r="N13" s="671"/>
    </row>
    <row r="14" spans="1:14" ht="26.45" customHeight="1" x14ac:dyDescent="0.4">
      <c r="A14" s="618" t="s">
        <v>735</v>
      </c>
      <c r="B14" s="619">
        <v>180466</v>
      </c>
      <c r="C14" s="619">
        <v>23773</v>
      </c>
      <c r="D14" s="619">
        <v>3040</v>
      </c>
      <c r="E14" s="619"/>
      <c r="F14" s="672"/>
      <c r="G14" s="673">
        <f t="shared" si="1"/>
        <v>207279</v>
      </c>
      <c r="H14" s="618" t="s">
        <v>735</v>
      </c>
      <c r="I14" s="672"/>
      <c r="J14" s="672"/>
      <c r="K14" s="672"/>
      <c r="L14" s="673">
        <f t="shared" si="2"/>
        <v>0</v>
      </c>
      <c r="M14" s="673">
        <f t="shared" si="0"/>
        <v>207279</v>
      </c>
      <c r="N14" s="671"/>
    </row>
    <row r="15" spans="1:14" ht="26.45" customHeight="1" x14ac:dyDescent="0.4">
      <c r="A15" s="618" t="s">
        <v>736</v>
      </c>
      <c r="B15" s="619">
        <v>137202</v>
      </c>
      <c r="C15" s="619">
        <v>17761</v>
      </c>
      <c r="D15" s="619">
        <v>3063</v>
      </c>
      <c r="E15" s="619"/>
      <c r="F15" s="672"/>
      <c r="G15" s="673">
        <f t="shared" si="1"/>
        <v>158026</v>
      </c>
      <c r="H15" s="618" t="s">
        <v>736</v>
      </c>
      <c r="I15" s="672"/>
      <c r="J15" s="672"/>
      <c r="K15" s="672"/>
      <c r="L15" s="673">
        <f t="shared" si="2"/>
        <v>0</v>
      </c>
      <c r="M15" s="673">
        <f t="shared" si="0"/>
        <v>158026</v>
      </c>
      <c r="N15" s="671"/>
    </row>
    <row r="16" spans="1:14" ht="26.45" customHeight="1" x14ac:dyDescent="0.4">
      <c r="A16" s="618" t="s">
        <v>737</v>
      </c>
      <c r="B16" s="619">
        <v>146204</v>
      </c>
      <c r="C16" s="619">
        <v>19051</v>
      </c>
      <c r="D16" s="619">
        <v>3688</v>
      </c>
      <c r="E16" s="619"/>
      <c r="F16" s="672"/>
      <c r="G16" s="673">
        <f t="shared" si="1"/>
        <v>168943</v>
      </c>
      <c r="H16" s="618" t="s">
        <v>737</v>
      </c>
      <c r="I16" s="672"/>
      <c r="J16" s="672"/>
      <c r="K16" s="672"/>
      <c r="L16" s="673">
        <f t="shared" si="2"/>
        <v>0</v>
      </c>
      <c r="M16" s="673">
        <f t="shared" si="0"/>
        <v>168943</v>
      </c>
      <c r="N16" s="671"/>
    </row>
    <row r="17" spans="1:14" ht="26.45" customHeight="1" x14ac:dyDescent="0.4">
      <c r="A17" s="618" t="s">
        <v>738</v>
      </c>
      <c r="B17" s="619">
        <v>198162</v>
      </c>
      <c r="C17" s="619">
        <v>29368</v>
      </c>
      <c r="D17" s="619">
        <v>3330</v>
      </c>
      <c r="E17" s="619"/>
      <c r="F17" s="672"/>
      <c r="G17" s="673">
        <f t="shared" si="1"/>
        <v>230860</v>
      </c>
      <c r="H17" s="618" t="s">
        <v>738</v>
      </c>
      <c r="I17" s="672"/>
      <c r="J17" s="672"/>
      <c r="K17" s="672"/>
      <c r="L17" s="673">
        <f t="shared" si="2"/>
        <v>0</v>
      </c>
      <c r="M17" s="673">
        <f t="shared" si="0"/>
        <v>230860</v>
      </c>
      <c r="N17" s="671"/>
    </row>
    <row r="18" spans="1:14" ht="26.45" customHeight="1" x14ac:dyDescent="0.4">
      <c r="A18" s="618" t="s">
        <v>739</v>
      </c>
      <c r="B18" s="619">
        <v>247648</v>
      </c>
      <c r="C18" s="619">
        <v>36060</v>
      </c>
      <c r="D18" s="619">
        <v>4944</v>
      </c>
      <c r="E18" s="619"/>
      <c r="F18" s="672"/>
      <c r="G18" s="673">
        <f t="shared" si="1"/>
        <v>288652</v>
      </c>
      <c r="H18" s="618" t="s">
        <v>739</v>
      </c>
      <c r="I18" s="672"/>
      <c r="J18" s="672"/>
      <c r="K18" s="672"/>
      <c r="L18" s="673">
        <f t="shared" si="2"/>
        <v>0</v>
      </c>
      <c r="M18" s="673">
        <f t="shared" si="0"/>
        <v>288652</v>
      </c>
      <c r="N18" s="671"/>
    </row>
    <row r="19" spans="1:14" ht="25.5" customHeight="1" x14ac:dyDescent="0.4">
      <c r="A19" s="618" t="s">
        <v>740</v>
      </c>
      <c r="B19" s="619">
        <v>118095</v>
      </c>
      <c r="C19" s="619">
        <v>15294</v>
      </c>
      <c r="D19" s="619">
        <v>2635</v>
      </c>
      <c r="E19" s="619"/>
      <c r="F19" s="672"/>
      <c r="G19" s="673">
        <f t="shared" si="1"/>
        <v>136024</v>
      </c>
      <c r="H19" s="618" t="s">
        <v>740</v>
      </c>
      <c r="I19" s="672"/>
      <c r="J19" s="672"/>
      <c r="K19" s="672"/>
      <c r="L19" s="673">
        <f t="shared" si="2"/>
        <v>0</v>
      </c>
      <c r="M19" s="673">
        <f t="shared" si="0"/>
        <v>136024</v>
      </c>
      <c r="N19" s="671"/>
    </row>
    <row r="20" spans="1:14" ht="25.5" customHeight="1" x14ac:dyDescent="0.4">
      <c r="A20" s="618" t="s">
        <v>741</v>
      </c>
      <c r="B20" s="619">
        <v>113549</v>
      </c>
      <c r="C20" s="619">
        <v>14785</v>
      </c>
      <c r="D20" s="619">
        <v>2508</v>
      </c>
      <c r="E20" s="619"/>
      <c r="F20" s="672"/>
      <c r="G20" s="673">
        <f t="shared" si="1"/>
        <v>130842</v>
      </c>
      <c r="H20" s="618" t="s">
        <v>741</v>
      </c>
      <c r="I20" s="672"/>
      <c r="J20" s="672"/>
      <c r="K20" s="672"/>
      <c r="L20" s="673">
        <f t="shared" si="2"/>
        <v>0</v>
      </c>
      <c r="M20" s="673">
        <f t="shared" si="0"/>
        <v>130842</v>
      </c>
      <c r="N20" s="671"/>
    </row>
    <row r="21" spans="1:14" ht="26.45" customHeight="1" x14ac:dyDescent="0.4">
      <c r="A21" s="618" t="s">
        <v>742</v>
      </c>
      <c r="B21" s="619">
        <v>140189</v>
      </c>
      <c r="C21" s="619">
        <v>18182</v>
      </c>
      <c r="D21" s="619">
        <v>3741</v>
      </c>
      <c r="E21" s="619"/>
      <c r="F21" s="672"/>
      <c r="G21" s="673">
        <f t="shared" si="1"/>
        <v>162112</v>
      </c>
      <c r="H21" s="618" t="s">
        <v>742</v>
      </c>
      <c r="I21" s="672"/>
      <c r="J21" s="672"/>
      <c r="K21" s="672"/>
      <c r="L21" s="673">
        <f t="shared" si="2"/>
        <v>0</v>
      </c>
      <c r="M21" s="673">
        <f t="shared" si="0"/>
        <v>162112</v>
      </c>
      <c r="N21" s="671"/>
    </row>
    <row r="22" spans="1:14" ht="26.45" customHeight="1" x14ac:dyDescent="0.4">
      <c r="A22" s="618" t="s">
        <v>743</v>
      </c>
      <c r="B22" s="619">
        <v>167298</v>
      </c>
      <c r="C22" s="619">
        <v>22064</v>
      </c>
      <c r="D22" s="619">
        <v>3041</v>
      </c>
      <c r="E22" s="619"/>
      <c r="F22" s="672"/>
      <c r="G22" s="673">
        <f t="shared" si="1"/>
        <v>192403</v>
      </c>
      <c r="H22" s="618" t="s">
        <v>743</v>
      </c>
      <c r="I22" s="672"/>
      <c r="J22" s="672"/>
      <c r="K22" s="672"/>
      <c r="L22" s="673">
        <f t="shared" si="2"/>
        <v>0</v>
      </c>
      <c r="M22" s="673">
        <f t="shared" si="0"/>
        <v>192403</v>
      </c>
      <c r="N22" s="671"/>
    </row>
    <row r="23" spans="1:14" ht="26.45" customHeight="1" x14ac:dyDescent="0.4">
      <c r="A23" s="618" t="s">
        <v>744</v>
      </c>
      <c r="B23" s="619">
        <v>229871</v>
      </c>
      <c r="C23" s="619">
        <v>34142</v>
      </c>
      <c r="D23" s="619">
        <v>3715</v>
      </c>
      <c r="E23" s="619"/>
      <c r="F23" s="672"/>
      <c r="G23" s="673">
        <f t="shared" si="1"/>
        <v>267728</v>
      </c>
      <c r="H23" s="618" t="s">
        <v>744</v>
      </c>
      <c r="I23" s="672"/>
      <c r="J23" s="672"/>
      <c r="K23" s="672"/>
      <c r="L23" s="673">
        <f t="shared" si="2"/>
        <v>0</v>
      </c>
      <c r="M23" s="673">
        <f t="shared" si="0"/>
        <v>267728</v>
      </c>
      <c r="N23" s="671"/>
    </row>
    <row r="24" spans="1:14" ht="26.45" customHeight="1" x14ac:dyDescent="0.4">
      <c r="A24" s="618" t="s">
        <v>745</v>
      </c>
      <c r="B24" s="619">
        <v>169874</v>
      </c>
      <c r="C24" s="619">
        <v>22130</v>
      </c>
      <c r="D24" s="619">
        <v>2983</v>
      </c>
      <c r="E24" s="619"/>
      <c r="F24" s="672"/>
      <c r="G24" s="673">
        <f t="shared" si="1"/>
        <v>194987</v>
      </c>
      <c r="H24" s="618" t="s">
        <v>745</v>
      </c>
      <c r="I24" s="672"/>
      <c r="J24" s="672"/>
      <c r="K24" s="674"/>
      <c r="L24" s="675">
        <f t="shared" si="2"/>
        <v>0</v>
      </c>
      <c r="M24" s="675">
        <f t="shared" si="0"/>
        <v>194987</v>
      </c>
      <c r="N24" s="671"/>
    </row>
    <row r="25" spans="1:14" ht="26.45" customHeight="1" x14ac:dyDescent="0.4">
      <c r="A25" s="614" t="s">
        <v>746</v>
      </c>
      <c r="B25" s="615">
        <v>128751</v>
      </c>
      <c r="C25" s="615">
        <v>16642</v>
      </c>
      <c r="D25" s="615">
        <v>3340</v>
      </c>
      <c r="E25" s="615"/>
      <c r="F25" s="674"/>
      <c r="G25" s="675">
        <f t="shared" si="1"/>
        <v>148733</v>
      </c>
      <c r="H25" s="614" t="s">
        <v>746</v>
      </c>
      <c r="I25" s="674"/>
      <c r="J25" s="674"/>
      <c r="K25" s="674"/>
      <c r="L25" s="675">
        <f t="shared" si="2"/>
        <v>0</v>
      </c>
      <c r="M25" s="675">
        <f t="shared" si="0"/>
        <v>148733</v>
      </c>
      <c r="N25" s="671"/>
    </row>
    <row r="26" spans="1:14" ht="26.45" customHeight="1" thickBot="1" x14ac:dyDescent="0.45">
      <c r="A26" s="620" t="s">
        <v>747</v>
      </c>
      <c r="B26" s="621">
        <v>103707</v>
      </c>
      <c r="C26" s="621">
        <v>13530</v>
      </c>
      <c r="D26" s="621">
        <v>3217</v>
      </c>
      <c r="E26" s="621"/>
      <c r="F26" s="676"/>
      <c r="G26" s="670">
        <f t="shared" si="1"/>
        <v>120454</v>
      </c>
      <c r="H26" s="620" t="s">
        <v>747</v>
      </c>
      <c r="I26" s="676"/>
      <c r="J26" s="621"/>
      <c r="K26" s="621"/>
      <c r="L26" s="630">
        <f t="shared" si="2"/>
        <v>0</v>
      </c>
      <c r="M26" s="630">
        <f t="shared" si="0"/>
        <v>120454</v>
      </c>
      <c r="N26" s="677"/>
    </row>
    <row r="27" spans="1:14" ht="26.45" customHeight="1" thickBot="1" x14ac:dyDescent="0.45">
      <c r="A27" s="622" t="s">
        <v>748</v>
      </c>
      <c r="B27" s="623">
        <f t="shared" ref="B27:G27" si="3">SUM(B9:B26)</f>
        <v>3055499</v>
      </c>
      <c r="C27" s="623">
        <f t="shared" si="3"/>
        <v>420992</v>
      </c>
      <c r="D27" s="623">
        <f t="shared" si="3"/>
        <v>64409</v>
      </c>
      <c r="E27" s="623">
        <f t="shared" si="3"/>
        <v>0</v>
      </c>
      <c r="F27" s="623">
        <f t="shared" si="3"/>
        <v>0</v>
      </c>
      <c r="G27" s="623">
        <f t="shared" si="3"/>
        <v>3540900</v>
      </c>
      <c r="H27" s="622" t="s">
        <v>748</v>
      </c>
      <c r="I27" s="623">
        <f>SUM(I9:I26)</f>
        <v>0</v>
      </c>
      <c r="J27" s="623">
        <f>SUM(J9:J26)</f>
        <v>0</v>
      </c>
      <c r="K27" s="623">
        <f>SUM(K9:K26)</f>
        <v>0</v>
      </c>
      <c r="L27" s="623">
        <f>SUM(L9:L26)</f>
        <v>0</v>
      </c>
      <c r="M27" s="623">
        <f>SUM(M9:M26)</f>
        <v>3540900</v>
      </c>
      <c r="N27" s="677"/>
    </row>
    <row r="28" spans="1:14" ht="26.45" customHeight="1" thickBot="1" x14ac:dyDescent="0.45">
      <c r="A28" s="625" t="s">
        <v>749</v>
      </c>
      <c r="B28" s="626">
        <v>321864</v>
      </c>
      <c r="C28" s="626">
        <v>47963</v>
      </c>
      <c r="D28" s="626">
        <v>2125442</v>
      </c>
      <c r="E28" s="626"/>
      <c r="F28" s="678"/>
      <c r="G28" s="679">
        <f t="shared" si="1"/>
        <v>2495269</v>
      </c>
      <c r="H28" s="625" t="s">
        <v>749</v>
      </c>
      <c r="I28" s="678"/>
      <c r="J28" s="678"/>
      <c r="K28" s="678"/>
      <c r="L28" s="679">
        <f t="shared" si="2"/>
        <v>0</v>
      </c>
      <c r="M28" s="679">
        <f>G28+L28</f>
        <v>2495269</v>
      </c>
      <c r="N28" s="671"/>
    </row>
    <row r="29" spans="1:14" ht="26.45" customHeight="1" thickBot="1" x14ac:dyDescent="0.45">
      <c r="A29" s="680" t="s">
        <v>750</v>
      </c>
      <c r="B29" s="623">
        <f t="shared" ref="B29:G29" si="4">SUM(B27:B28)</f>
        <v>3377363</v>
      </c>
      <c r="C29" s="628">
        <f t="shared" si="4"/>
        <v>468955</v>
      </c>
      <c r="D29" s="628">
        <f t="shared" si="4"/>
        <v>2189851</v>
      </c>
      <c r="E29" s="628">
        <f t="shared" si="4"/>
        <v>0</v>
      </c>
      <c r="F29" s="628">
        <f t="shared" si="4"/>
        <v>0</v>
      </c>
      <c r="G29" s="628">
        <f t="shared" si="4"/>
        <v>6036169</v>
      </c>
      <c r="H29" s="627" t="s">
        <v>750</v>
      </c>
      <c r="I29" s="628">
        <f>SUM(I27:I28)</f>
        <v>0</v>
      </c>
      <c r="J29" s="628">
        <f>SUM(J27:J28)</f>
        <v>0</v>
      </c>
      <c r="K29" s="628">
        <f>SUM(K27:K28)</f>
        <v>0</v>
      </c>
      <c r="L29" s="628">
        <f>SUM(L27:L28)</f>
        <v>0</v>
      </c>
      <c r="M29" s="628">
        <f>SUM(M27:M28)</f>
        <v>6036169</v>
      </c>
      <c r="N29" s="677"/>
    </row>
    <row r="30" spans="1:14" ht="26.45" customHeight="1" x14ac:dyDescent="0.4">
      <c r="A30" s="604" t="s">
        <v>751</v>
      </c>
      <c r="B30" s="664"/>
      <c r="C30" s="681"/>
      <c r="D30" s="630"/>
      <c r="E30" s="630"/>
      <c r="F30" s="682"/>
      <c r="G30" s="682"/>
      <c r="H30" s="612" t="s">
        <v>751</v>
      </c>
      <c r="I30" s="682"/>
      <c r="J30" s="682"/>
      <c r="K30" s="682"/>
      <c r="L30" s="682"/>
      <c r="M30" s="682"/>
      <c r="N30" s="683"/>
    </row>
    <row r="31" spans="1:14" ht="26.45" customHeight="1" x14ac:dyDescent="0.4">
      <c r="A31" s="684" t="s">
        <v>752</v>
      </c>
      <c r="B31" s="685"/>
      <c r="C31" s="686"/>
      <c r="D31" s="687"/>
      <c r="E31" s="687"/>
      <c r="F31" s="687"/>
      <c r="G31" s="687"/>
      <c r="H31" s="612" t="s">
        <v>752</v>
      </c>
      <c r="I31" s="687"/>
      <c r="J31" s="687"/>
      <c r="K31" s="687"/>
      <c r="L31" s="687"/>
      <c r="M31" s="687"/>
      <c r="N31" s="688"/>
    </row>
    <row r="32" spans="1:14" ht="26.45" customHeight="1" x14ac:dyDescent="0.4">
      <c r="A32" s="689" t="s">
        <v>102</v>
      </c>
      <c r="B32" s="615">
        <v>122455</v>
      </c>
      <c r="C32" s="690">
        <v>15375</v>
      </c>
      <c r="D32" s="615">
        <v>24696</v>
      </c>
      <c r="E32" s="615"/>
      <c r="F32" s="615"/>
      <c r="G32" s="616">
        <f>SUM(B32:F32)</f>
        <v>162526</v>
      </c>
      <c r="H32" s="631" t="s">
        <v>102</v>
      </c>
      <c r="I32" s="615"/>
      <c r="J32" s="615"/>
      <c r="K32" s="615"/>
      <c r="L32" s="616">
        <f>SUM(I32:K32)</f>
        <v>0</v>
      </c>
      <c r="M32" s="616">
        <f>G32+L32</f>
        <v>162526</v>
      </c>
      <c r="N32" s="671"/>
    </row>
    <row r="33" spans="1:14" ht="26.45" customHeight="1" x14ac:dyDescent="0.4">
      <c r="A33" s="691" t="s">
        <v>551</v>
      </c>
      <c r="B33" s="619">
        <v>460669</v>
      </c>
      <c r="C33" s="692">
        <v>59222</v>
      </c>
      <c r="D33" s="619">
        <v>61469</v>
      </c>
      <c r="E33" s="619"/>
      <c r="F33" s="672"/>
      <c r="G33" s="673">
        <f>SUM(B33:F33)</f>
        <v>581360</v>
      </c>
      <c r="H33" s="618" t="s">
        <v>551</v>
      </c>
      <c r="I33" s="672"/>
      <c r="J33" s="615"/>
      <c r="K33" s="615"/>
      <c r="L33" s="616">
        <f>SUM(I33:K33)</f>
        <v>0</v>
      </c>
      <c r="M33" s="616">
        <f>G33+L33</f>
        <v>581360</v>
      </c>
      <c r="N33" s="693"/>
    </row>
    <row r="34" spans="1:14" ht="26.45" customHeight="1" x14ac:dyDescent="0.4">
      <c r="A34" s="691" t="s">
        <v>753</v>
      </c>
      <c r="B34" s="619">
        <v>238213</v>
      </c>
      <c r="C34" s="692">
        <v>30795</v>
      </c>
      <c r="D34" s="619">
        <v>55887</v>
      </c>
      <c r="E34" s="619"/>
      <c r="F34" s="672"/>
      <c r="G34" s="673">
        <f>SUM(B34:F34)</f>
        <v>324895</v>
      </c>
      <c r="H34" s="618" t="s">
        <v>753</v>
      </c>
      <c r="I34" s="672"/>
      <c r="J34" s="615"/>
      <c r="K34" s="615"/>
      <c r="L34" s="616">
        <f>SUM(I34:K34)</f>
        <v>0</v>
      </c>
      <c r="M34" s="616">
        <f>G34+L34</f>
        <v>324895</v>
      </c>
      <c r="N34" s="693"/>
    </row>
    <row r="35" spans="1:14" ht="26.45" customHeight="1" thickBot="1" x14ac:dyDescent="0.45">
      <c r="A35" s="694" t="s">
        <v>552</v>
      </c>
      <c r="B35" s="633">
        <v>509497</v>
      </c>
      <c r="C35" s="695">
        <v>65554</v>
      </c>
      <c r="D35" s="633">
        <v>181376</v>
      </c>
      <c r="E35" s="633"/>
      <c r="F35" s="696"/>
      <c r="G35" s="697">
        <f>SUM(B35:F35)</f>
        <v>756427</v>
      </c>
      <c r="H35" s="632" t="s">
        <v>552</v>
      </c>
      <c r="I35" s="696"/>
      <c r="J35" s="633"/>
      <c r="K35" s="633"/>
      <c r="L35" s="634">
        <f>SUM(I35:K35)</f>
        <v>0</v>
      </c>
      <c r="M35" s="634">
        <f>G35+L35</f>
        <v>756427</v>
      </c>
      <c r="N35" s="693"/>
    </row>
    <row r="36" spans="1:14" ht="26.45" customHeight="1" thickBot="1" x14ac:dyDescent="0.45">
      <c r="A36" s="627" t="s">
        <v>754</v>
      </c>
      <c r="B36" s="628">
        <f t="shared" ref="B36:G36" si="5">SUM(B32:B35)</f>
        <v>1330834</v>
      </c>
      <c r="C36" s="628">
        <f t="shared" si="5"/>
        <v>170946</v>
      </c>
      <c r="D36" s="628">
        <f t="shared" si="5"/>
        <v>323428</v>
      </c>
      <c r="E36" s="628">
        <f t="shared" si="5"/>
        <v>0</v>
      </c>
      <c r="F36" s="628">
        <f t="shared" si="5"/>
        <v>0</v>
      </c>
      <c r="G36" s="628">
        <f t="shared" si="5"/>
        <v>1825208</v>
      </c>
      <c r="H36" s="627" t="s">
        <v>754</v>
      </c>
      <c r="I36" s="628">
        <f>SUM(I32:I35)</f>
        <v>0</v>
      </c>
      <c r="J36" s="628">
        <f>SUM(J32:J35)</f>
        <v>0</v>
      </c>
      <c r="K36" s="628">
        <f>SUM(K32:K35)</f>
        <v>0</v>
      </c>
      <c r="L36" s="628">
        <f>SUM(L32:L35)</f>
        <v>0</v>
      </c>
      <c r="M36" s="628">
        <f>SUM(M32:M35)</f>
        <v>1825208</v>
      </c>
      <c r="N36" s="693"/>
    </row>
    <row r="37" spans="1:14" ht="26.45" customHeight="1" x14ac:dyDescent="0.4">
      <c r="A37" s="603" t="s">
        <v>755</v>
      </c>
      <c r="B37" s="635"/>
      <c r="C37" s="635"/>
      <c r="D37" s="635"/>
      <c r="E37" s="635"/>
      <c r="F37" s="698"/>
      <c r="G37" s="698"/>
      <c r="H37" s="603" t="s">
        <v>755</v>
      </c>
      <c r="I37" s="635"/>
      <c r="J37" s="635"/>
      <c r="K37" s="635"/>
      <c r="L37" s="698"/>
      <c r="M37" s="698"/>
      <c r="N37" s="699"/>
    </row>
    <row r="38" spans="1:14" ht="26.45" customHeight="1" thickBot="1" x14ac:dyDescent="0.45">
      <c r="A38" s="631" t="s">
        <v>581</v>
      </c>
      <c r="B38" s="636">
        <v>914448</v>
      </c>
      <c r="C38" s="636">
        <v>146384</v>
      </c>
      <c r="D38" s="636">
        <v>656832</v>
      </c>
      <c r="E38" s="636"/>
      <c r="F38" s="700"/>
      <c r="G38" s="701">
        <f>SUM(B38:F38)</f>
        <v>1717664</v>
      </c>
      <c r="H38" s="631" t="s">
        <v>581</v>
      </c>
      <c r="I38" s="636"/>
      <c r="J38" s="636"/>
      <c r="K38" s="636"/>
      <c r="L38" s="701">
        <f>SUM(I38:K38)</f>
        <v>0</v>
      </c>
      <c r="M38" s="701">
        <f>G38+L38</f>
        <v>1717664</v>
      </c>
      <c r="N38" s="693"/>
    </row>
    <row r="39" spans="1:14" ht="26.45" customHeight="1" x14ac:dyDescent="0.4">
      <c r="A39" s="603" t="s">
        <v>757</v>
      </c>
      <c r="B39" s="637"/>
      <c r="C39" s="637"/>
      <c r="D39" s="637"/>
      <c r="E39" s="637"/>
      <c r="F39" s="702"/>
      <c r="G39" s="698"/>
      <c r="H39" s="603" t="s">
        <v>757</v>
      </c>
      <c r="I39" s="637"/>
      <c r="J39" s="637"/>
      <c r="K39" s="637"/>
      <c r="L39" s="698"/>
      <c r="M39" s="698"/>
      <c r="N39" s="693"/>
    </row>
    <row r="40" spans="1:14" ht="26.45" customHeight="1" thickBot="1" x14ac:dyDescent="0.45">
      <c r="A40" s="631" t="s">
        <v>758</v>
      </c>
      <c r="B40" s="636">
        <v>586331</v>
      </c>
      <c r="C40" s="636">
        <v>82110</v>
      </c>
      <c r="D40" s="636">
        <v>176381</v>
      </c>
      <c r="E40" s="636"/>
      <c r="F40" s="700"/>
      <c r="G40" s="701">
        <f>SUM(B40:F40)</f>
        <v>844822</v>
      </c>
      <c r="H40" s="631" t="s">
        <v>758</v>
      </c>
      <c r="I40" s="636"/>
      <c r="J40" s="636"/>
      <c r="K40" s="636"/>
      <c r="L40" s="701">
        <f>SUM(I40:K40)</f>
        <v>0</v>
      </c>
      <c r="M40" s="701">
        <f>G40+L40</f>
        <v>844822</v>
      </c>
      <c r="N40" s="699"/>
    </row>
    <row r="41" spans="1:14" ht="26.45" customHeight="1" x14ac:dyDescent="0.4">
      <c r="A41" s="603" t="s">
        <v>759</v>
      </c>
      <c r="B41" s="637"/>
      <c r="C41" s="637"/>
      <c r="D41" s="637"/>
      <c r="E41" s="637"/>
      <c r="F41" s="702"/>
      <c r="G41" s="698"/>
      <c r="H41" s="603" t="s">
        <v>759</v>
      </c>
      <c r="I41" s="637"/>
      <c r="J41" s="637"/>
      <c r="K41" s="637"/>
      <c r="L41" s="698"/>
      <c r="M41" s="698"/>
      <c r="N41" s="693"/>
    </row>
    <row r="42" spans="1:14" ht="26.45" customHeight="1" thickBot="1" x14ac:dyDescent="0.45">
      <c r="A42" s="639" t="s">
        <v>649</v>
      </c>
      <c r="B42" s="636">
        <v>1517086</v>
      </c>
      <c r="C42" s="636">
        <v>228956</v>
      </c>
      <c r="D42" s="636">
        <v>233823</v>
      </c>
      <c r="E42" s="636"/>
      <c r="F42" s="700"/>
      <c r="G42" s="701">
        <f>SUM(B42:F42)</f>
        <v>1979865</v>
      </c>
      <c r="H42" s="639" t="s">
        <v>649</v>
      </c>
      <c r="I42" s="636">
        <v>700</v>
      </c>
      <c r="J42" s="636"/>
      <c r="K42" s="636"/>
      <c r="L42" s="701">
        <f>SUM(I42:K42)</f>
        <v>700</v>
      </c>
      <c r="M42" s="701">
        <f>G42+L42</f>
        <v>1980565</v>
      </c>
      <c r="N42" s="693"/>
    </row>
    <row r="43" spans="1:14" ht="26.45" customHeight="1" x14ac:dyDescent="0.4">
      <c r="A43" s="603" t="s">
        <v>760</v>
      </c>
      <c r="B43" s="637"/>
      <c r="C43" s="637"/>
      <c r="D43" s="637"/>
      <c r="E43" s="637"/>
      <c r="F43" s="702"/>
      <c r="G43" s="698"/>
      <c r="H43" s="603" t="s">
        <v>760</v>
      </c>
      <c r="I43" s="637"/>
      <c r="J43" s="637"/>
      <c r="K43" s="637"/>
      <c r="L43" s="698"/>
      <c r="M43" s="698"/>
      <c r="N43" s="699"/>
    </row>
    <row r="44" spans="1:14" ht="26.25" customHeight="1" x14ac:dyDescent="0.4">
      <c r="A44" s="631" t="s">
        <v>761</v>
      </c>
      <c r="B44" s="621">
        <v>85008</v>
      </c>
      <c r="C44" s="621">
        <v>11032</v>
      </c>
      <c r="D44" s="621">
        <v>112978</v>
      </c>
      <c r="E44" s="621"/>
      <c r="F44" s="669"/>
      <c r="G44" s="670">
        <f>SUM(B44:F44)</f>
        <v>209018</v>
      </c>
      <c r="H44" s="631" t="s">
        <v>761</v>
      </c>
      <c r="I44" s="621"/>
      <c r="J44" s="621"/>
      <c r="K44" s="621"/>
      <c r="L44" s="675">
        <f>SUM(I44:K44)</f>
        <v>0</v>
      </c>
      <c r="M44" s="670">
        <f>G44+L44</f>
        <v>209018</v>
      </c>
      <c r="N44" s="693"/>
    </row>
    <row r="45" spans="1:14" ht="26.45" customHeight="1" x14ac:dyDescent="0.4">
      <c r="A45" s="618" t="s">
        <v>4</v>
      </c>
      <c r="B45" s="619">
        <v>2328206</v>
      </c>
      <c r="C45" s="619">
        <v>342245</v>
      </c>
      <c r="D45" s="619">
        <v>459603</v>
      </c>
      <c r="E45" s="619"/>
      <c r="F45" s="619">
        <v>4000</v>
      </c>
      <c r="G45" s="673">
        <f>SUM(B45:F45)</f>
        <v>3134054</v>
      </c>
      <c r="H45" s="618" t="s">
        <v>4</v>
      </c>
      <c r="I45" s="619">
        <v>72163</v>
      </c>
      <c r="J45" s="619"/>
      <c r="K45" s="619"/>
      <c r="L45" s="673">
        <f>SUM(I45:K45)</f>
        <v>72163</v>
      </c>
      <c r="M45" s="673">
        <f>G45+L45</f>
        <v>3206217</v>
      </c>
      <c r="N45" s="693"/>
    </row>
    <row r="46" spans="1:14" ht="26.45" customHeight="1" thickBot="1" x14ac:dyDescent="0.45">
      <c r="A46" s="627" t="s">
        <v>762</v>
      </c>
      <c r="B46" s="628">
        <f t="shared" ref="B46:G46" si="6">SUM(B44:B45)</f>
        <v>2413214</v>
      </c>
      <c r="C46" s="628">
        <f t="shared" si="6"/>
        <v>353277</v>
      </c>
      <c r="D46" s="628">
        <f t="shared" si="6"/>
        <v>572581</v>
      </c>
      <c r="E46" s="628">
        <f t="shared" si="6"/>
        <v>0</v>
      </c>
      <c r="F46" s="628">
        <f t="shared" si="6"/>
        <v>4000</v>
      </c>
      <c r="G46" s="634">
        <f t="shared" si="6"/>
        <v>3343072</v>
      </c>
      <c r="H46" s="627" t="s">
        <v>762</v>
      </c>
      <c r="I46" s="628">
        <f>SUM(I44:I45)</f>
        <v>72163</v>
      </c>
      <c r="J46" s="628">
        <f>SUM(J44:J45)</f>
        <v>0</v>
      </c>
      <c r="K46" s="628">
        <f>SUM(K44:K45)</f>
        <v>0</v>
      </c>
      <c r="L46" s="628">
        <f>SUM(L44:L45)</f>
        <v>72163</v>
      </c>
      <c r="M46" s="634">
        <f>SUM(M44:M45)</f>
        <v>3415235</v>
      </c>
      <c r="N46" s="677"/>
    </row>
    <row r="47" spans="1:14" ht="26.45" customHeight="1" thickBot="1" x14ac:dyDescent="0.45">
      <c r="A47" s="627" t="s">
        <v>763</v>
      </c>
      <c r="B47" s="634">
        <f t="shared" ref="B47:G47" si="7">B36+B38+B40+B42+B46</f>
        <v>6761913</v>
      </c>
      <c r="C47" s="634">
        <f t="shared" si="7"/>
        <v>981673</v>
      </c>
      <c r="D47" s="634">
        <f t="shared" si="7"/>
        <v>1963045</v>
      </c>
      <c r="E47" s="634">
        <f t="shared" si="7"/>
        <v>0</v>
      </c>
      <c r="F47" s="634">
        <f t="shared" si="7"/>
        <v>4000</v>
      </c>
      <c r="G47" s="634">
        <f t="shared" si="7"/>
        <v>9710631</v>
      </c>
      <c r="H47" s="627" t="s">
        <v>763</v>
      </c>
      <c r="I47" s="634">
        <f>I36+I38+I40+I42+I46</f>
        <v>72863</v>
      </c>
      <c r="J47" s="634">
        <f>J36+J38+J40+J42+J46</f>
        <v>0</v>
      </c>
      <c r="K47" s="634">
        <f>K36+K38+K40+K42+K46</f>
        <v>0</v>
      </c>
      <c r="L47" s="634">
        <f>L36+L38+L40+L42+L46</f>
        <v>72863</v>
      </c>
      <c r="M47" s="634">
        <f>M36+M38+M40+M42+M46</f>
        <v>9783494</v>
      </c>
      <c r="N47" s="677"/>
    </row>
    <row r="48" spans="1:14" ht="39.75" customHeight="1" thickBot="1" x14ac:dyDescent="0.45">
      <c r="A48" s="703" t="s">
        <v>764</v>
      </c>
      <c r="B48" s="623">
        <f t="shared" ref="B48:G48" si="8">B29+B47</f>
        <v>10139276</v>
      </c>
      <c r="C48" s="623">
        <f t="shared" si="8"/>
        <v>1450628</v>
      </c>
      <c r="D48" s="623">
        <f t="shared" si="8"/>
        <v>4152896</v>
      </c>
      <c r="E48" s="623">
        <f t="shared" si="8"/>
        <v>0</v>
      </c>
      <c r="F48" s="623">
        <f t="shared" si="8"/>
        <v>4000</v>
      </c>
      <c r="G48" s="623">
        <f t="shared" si="8"/>
        <v>15746800</v>
      </c>
      <c r="H48" s="703" t="s">
        <v>764</v>
      </c>
      <c r="I48" s="623">
        <f>I29+I47</f>
        <v>72863</v>
      </c>
      <c r="J48" s="623">
        <f>J29+J47</f>
        <v>0</v>
      </c>
      <c r="K48" s="623">
        <f>K29+K47</f>
        <v>0</v>
      </c>
      <c r="L48" s="623">
        <f>L29+L47</f>
        <v>72863</v>
      </c>
      <c r="M48" s="623">
        <f>M29+M47</f>
        <v>15819663</v>
      </c>
      <c r="N48" s="677"/>
    </row>
    <row r="49" spans="1:14" ht="26.45" customHeight="1" x14ac:dyDescent="0.35">
      <c r="A49" s="647"/>
      <c r="B49" s="648"/>
      <c r="C49" s="648"/>
      <c r="D49" s="648"/>
      <c r="E49" s="648"/>
      <c r="F49" s="600"/>
      <c r="G49" s="600"/>
      <c r="H49" s="647"/>
      <c r="I49" s="704"/>
      <c r="J49" s="600"/>
      <c r="K49" s="704"/>
      <c r="L49" s="704"/>
      <c r="M49" s="600"/>
      <c r="N49" s="600"/>
    </row>
    <row r="50" spans="1:14" ht="21" customHeight="1" x14ac:dyDescent="0.35"/>
    <row r="51" spans="1:14" ht="21" customHeight="1" x14ac:dyDescent="0.35"/>
    <row r="52" spans="1:14" ht="21" customHeight="1" x14ac:dyDescent="0.35"/>
    <row r="53" spans="1:14" ht="21" customHeight="1" x14ac:dyDescent="0.35"/>
  </sheetData>
  <mergeCells count="4">
    <mergeCell ref="A2:G2"/>
    <mergeCell ref="H2:M2"/>
    <mergeCell ref="A3:G3"/>
    <mergeCell ref="H3:M3"/>
  </mergeCells>
  <printOptions horizontalCentered="1" verticalCentered="1"/>
  <pageMargins left="0" right="0" top="0" bottom="0" header="0" footer="0"/>
  <pageSetup paperSize="9" scale="37" orientation="landscape" r:id="rId1"/>
  <headerFooter alignWithMargins="0">
    <oddHeader>&amp;R&amp;"-,Félkövér"&amp;20
6. melléklet a 4/2025.(II.28.) önkormányzati rendelethez</oddHeader>
    <oddFooter xml:space="preserve">&amp;C &amp;R
&amp;36 &amp;10
</oddFooter>
  </headerFooter>
  <rowBreaks count="1" manualBreakCount="1">
    <brk id="49" max="13" man="1"/>
  </rowBreaks>
  <colBreaks count="1" manualBreakCount="1">
    <brk id="7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2"/>
  <sheetViews>
    <sheetView zoomScale="50" zoomScaleNormal="50" zoomScaleSheetLayoutView="40" workbookViewId="0">
      <selection activeCell="B9" sqref="B9"/>
    </sheetView>
  </sheetViews>
  <sheetFormatPr defaultColWidth="12" defaultRowHeight="33.75" x14ac:dyDescent="0.5"/>
  <cols>
    <col min="1" max="1" width="159.6640625" style="705" customWidth="1"/>
    <col min="2" max="2" width="60.83203125" style="709" customWidth="1"/>
    <col min="3" max="3" width="50.5" style="709" customWidth="1"/>
    <col min="4" max="5" width="60.83203125" style="709" customWidth="1"/>
    <col min="6" max="6" width="60.6640625" style="709" customWidth="1"/>
    <col min="7" max="7" width="60.83203125" style="709" customWidth="1"/>
    <col min="8" max="8" width="12" style="709" customWidth="1"/>
    <col min="9" max="9" width="22.5" style="710" customWidth="1"/>
    <col min="10" max="256" width="12" style="709"/>
    <col min="257" max="257" width="159.6640625" style="709" customWidth="1"/>
    <col min="258" max="258" width="60.83203125" style="709" customWidth="1"/>
    <col min="259" max="259" width="50.5" style="709" customWidth="1"/>
    <col min="260" max="261" width="60.83203125" style="709" customWidth="1"/>
    <col min="262" max="262" width="60.6640625" style="709" customWidth="1"/>
    <col min="263" max="263" width="60.83203125" style="709" customWidth="1"/>
    <col min="264" max="264" width="12" style="709" customWidth="1"/>
    <col min="265" max="265" width="22.5" style="709" customWidth="1"/>
    <col min="266" max="512" width="12" style="709"/>
    <col min="513" max="513" width="159.6640625" style="709" customWidth="1"/>
    <col min="514" max="514" width="60.83203125" style="709" customWidth="1"/>
    <col min="515" max="515" width="50.5" style="709" customWidth="1"/>
    <col min="516" max="517" width="60.83203125" style="709" customWidth="1"/>
    <col min="518" max="518" width="60.6640625" style="709" customWidth="1"/>
    <col min="519" max="519" width="60.83203125" style="709" customWidth="1"/>
    <col min="520" max="520" width="12" style="709" customWidth="1"/>
    <col min="521" max="521" width="22.5" style="709" customWidth="1"/>
    <col min="522" max="768" width="12" style="709"/>
    <col min="769" max="769" width="159.6640625" style="709" customWidth="1"/>
    <col min="770" max="770" width="60.83203125" style="709" customWidth="1"/>
    <col min="771" max="771" width="50.5" style="709" customWidth="1"/>
    <col min="772" max="773" width="60.83203125" style="709" customWidth="1"/>
    <col min="774" max="774" width="60.6640625" style="709" customWidth="1"/>
    <col min="775" max="775" width="60.83203125" style="709" customWidth="1"/>
    <col min="776" max="776" width="12" style="709" customWidth="1"/>
    <col min="777" max="777" width="22.5" style="709" customWidth="1"/>
    <col min="778" max="1024" width="12" style="709"/>
    <col min="1025" max="1025" width="159.6640625" style="709" customWidth="1"/>
    <col min="1026" max="1026" width="60.83203125" style="709" customWidth="1"/>
    <col min="1027" max="1027" width="50.5" style="709" customWidth="1"/>
    <col min="1028" max="1029" width="60.83203125" style="709" customWidth="1"/>
    <col min="1030" max="1030" width="60.6640625" style="709" customWidth="1"/>
    <col min="1031" max="1031" width="60.83203125" style="709" customWidth="1"/>
    <col min="1032" max="1032" width="12" style="709" customWidth="1"/>
    <col min="1033" max="1033" width="22.5" style="709" customWidth="1"/>
    <col min="1034" max="1280" width="12" style="709"/>
    <col min="1281" max="1281" width="159.6640625" style="709" customWidth="1"/>
    <col min="1282" max="1282" width="60.83203125" style="709" customWidth="1"/>
    <col min="1283" max="1283" width="50.5" style="709" customWidth="1"/>
    <col min="1284" max="1285" width="60.83203125" style="709" customWidth="1"/>
    <col min="1286" max="1286" width="60.6640625" style="709" customWidth="1"/>
    <col min="1287" max="1287" width="60.83203125" style="709" customWidth="1"/>
    <col min="1288" max="1288" width="12" style="709" customWidth="1"/>
    <col min="1289" max="1289" width="22.5" style="709" customWidth="1"/>
    <col min="1290" max="1536" width="12" style="709"/>
    <col min="1537" max="1537" width="159.6640625" style="709" customWidth="1"/>
    <col min="1538" max="1538" width="60.83203125" style="709" customWidth="1"/>
    <col min="1539" max="1539" width="50.5" style="709" customWidth="1"/>
    <col min="1540" max="1541" width="60.83203125" style="709" customWidth="1"/>
    <col min="1542" max="1542" width="60.6640625" style="709" customWidth="1"/>
    <col min="1543" max="1543" width="60.83203125" style="709" customWidth="1"/>
    <col min="1544" max="1544" width="12" style="709" customWidth="1"/>
    <col min="1545" max="1545" width="22.5" style="709" customWidth="1"/>
    <col min="1546" max="1792" width="12" style="709"/>
    <col min="1793" max="1793" width="159.6640625" style="709" customWidth="1"/>
    <col min="1794" max="1794" width="60.83203125" style="709" customWidth="1"/>
    <col min="1795" max="1795" width="50.5" style="709" customWidth="1"/>
    <col min="1796" max="1797" width="60.83203125" style="709" customWidth="1"/>
    <col min="1798" max="1798" width="60.6640625" style="709" customWidth="1"/>
    <col min="1799" max="1799" width="60.83203125" style="709" customWidth="1"/>
    <col min="1800" max="1800" width="12" style="709" customWidth="1"/>
    <col min="1801" max="1801" width="22.5" style="709" customWidth="1"/>
    <col min="1802" max="2048" width="12" style="709"/>
    <col min="2049" max="2049" width="159.6640625" style="709" customWidth="1"/>
    <col min="2050" max="2050" width="60.83203125" style="709" customWidth="1"/>
    <col min="2051" max="2051" width="50.5" style="709" customWidth="1"/>
    <col min="2052" max="2053" width="60.83203125" style="709" customWidth="1"/>
    <col min="2054" max="2054" width="60.6640625" style="709" customWidth="1"/>
    <col min="2055" max="2055" width="60.83203125" style="709" customWidth="1"/>
    <col min="2056" max="2056" width="12" style="709" customWidth="1"/>
    <col min="2057" max="2057" width="22.5" style="709" customWidth="1"/>
    <col min="2058" max="2304" width="12" style="709"/>
    <col min="2305" max="2305" width="159.6640625" style="709" customWidth="1"/>
    <col min="2306" max="2306" width="60.83203125" style="709" customWidth="1"/>
    <col min="2307" max="2307" width="50.5" style="709" customWidth="1"/>
    <col min="2308" max="2309" width="60.83203125" style="709" customWidth="1"/>
    <col min="2310" max="2310" width="60.6640625" style="709" customWidth="1"/>
    <col min="2311" max="2311" width="60.83203125" style="709" customWidth="1"/>
    <col min="2312" max="2312" width="12" style="709" customWidth="1"/>
    <col min="2313" max="2313" width="22.5" style="709" customWidth="1"/>
    <col min="2314" max="2560" width="12" style="709"/>
    <col min="2561" max="2561" width="159.6640625" style="709" customWidth="1"/>
    <col min="2562" max="2562" width="60.83203125" style="709" customWidth="1"/>
    <col min="2563" max="2563" width="50.5" style="709" customWidth="1"/>
    <col min="2564" max="2565" width="60.83203125" style="709" customWidth="1"/>
    <col min="2566" max="2566" width="60.6640625" style="709" customWidth="1"/>
    <col min="2567" max="2567" width="60.83203125" style="709" customWidth="1"/>
    <col min="2568" max="2568" width="12" style="709" customWidth="1"/>
    <col min="2569" max="2569" width="22.5" style="709" customWidth="1"/>
    <col min="2570" max="2816" width="12" style="709"/>
    <col min="2817" max="2817" width="159.6640625" style="709" customWidth="1"/>
    <col min="2818" max="2818" width="60.83203125" style="709" customWidth="1"/>
    <col min="2819" max="2819" width="50.5" style="709" customWidth="1"/>
    <col min="2820" max="2821" width="60.83203125" style="709" customWidth="1"/>
    <col min="2822" max="2822" width="60.6640625" style="709" customWidth="1"/>
    <col min="2823" max="2823" width="60.83203125" style="709" customWidth="1"/>
    <col min="2824" max="2824" width="12" style="709" customWidth="1"/>
    <col min="2825" max="2825" width="22.5" style="709" customWidth="1"/>
    <col min="2826" max="3072" width="12" style="709"/>
    <col min="3073" max="3073" width="159.6640625" style="709" customWidth="1"/>
    <col min="3074" max="3074" width="60.83203125" style="709" customWidth="1"/>
    <col min="3075" max="3075" width="50.5" style="709" customWidth="1"/>
    <col min="3076" max="3077" width="60.83203125" style="709" customWidth="1"/>
    <col min="3078" max="3078" width="60.6640625" style="709" customWidth="1"/>
    <col min="3079" max="3079" width="60.83203125" style="709" customWidth="1"/>
    <col min="3080" max="3080" width="12" style="709" customWidth="1"/>
    <col min="3081" max="3081" width="22.5" style="709" customWidth="1"/>
    <col min="3082" max="3328" width="12" style="709"/>
    <col min="3329" max="3329" width="159.6640625" style="709" customWidth="1"/>
    <col min="3330" max="3330" width="60.83203125" style="709" customWidth="1"/>
    <col min="3331" max="3331" width="50.5" style="709" customWidth="1"/>
    <col min="3332" max="3333" width="60.83203125" style="709" customWidth="1"/>
    <col min="3334" max="3334" width="60.6640625" style="709" customWidth="1"/>
    <col min="3335" max="3335" width="60.83203125" style="709" customWidth="1"/>
    <col min="3336" max="3336" width="12" style="709" customWidth="1"/>
    <col min="3337" max="3337" width="22.5" style="709" customWidth="1"/>
    <col min="3338" max="3584" width="12" style="709"/>
    <col min="3585" max="3585" width="159.6640625" style="709" customWidth="1"/>
    <col min="3586" max="3586" width="60.83203125" style="709" customWidth="1"/>
    <col min="3587" max="3587" width="50.5" style="709" customWidth="1"/>
    <col min="3588" max="3589" width="60.83203125" style="709" customWidth="1"/>
    <col min="3590" max="3590" width="60.6640625" style="709" customWidth="1"/>
    <col min="3591" max="3591" width="60.83203125" style="709" customWidth="1"/>
    <col min="3592" max="3592" width="12" style="709" customWidth="1"/>
    <col min="3593" max="3593" width="22.5" style="709" customWidth="1"/>
    <col min="3594" max="3840" width="12" style="709"/>
    <col min="3841" max="3841" width="159.6640625" style="709" customWidth="1"/>
    <col min="3842" max="3842" width="60.83203125" style="709" customWidth="1"/>
    <col min="3843" max="3843" width="50.5" style="709" customWidth="1"/>
    <col min="3844" max="3845" width="60.83203125" style="709" customWidth="1"/>
    <col min="3846" max="3846" width="60.6640625" style="709" customWidth="1"/>
    <col min="3847" max="3847" width="60.83203125" style="709" customWidth="1"/>
    <col min="3848" max="3848" width="12" style="709" customWidth="1"/>
    <col min="3849" max="3849" width="22.5" style="709" customWidth="1"/>
    <col min="3850" max="4096" width="12" style="709"/>
    <col min="4097" max="4097" width="159.6640625" style="709" customWidth="1"/>
    <col min="4098" max="4098" width="60.83203125" style="709" customWidth="1"/>
    <col min="4099" max="4099" width="50.5" style="709" customWidth="1"/>
    <col min="4100" max="4101" width="60.83203125" style="709" customWidth="1"/>
    <col min="4102" max="4102" width="60.6640625" style="709" customWidth="1"/>
    <col min="4103" max="4103" width="60.83203125" style="709" customWidth="1"/>
    <col min="4104" max="4104" width="12" style="709" customWidth="1"/>
    <col min="4105" max="4105" width="22.5" style="709" customWidth="1"/>
    <col min="4106" max="4352" width="12" style="709"/>
    <col min="4353" max="4353" width="159.6640625" style="709" customWidth="1"/>
    <col min="4354" max="4354" width="60.83203125" style="709" customWidth="1"/>
    <col min="4355" max="4355" width="50.5" style="709" customWidth="1"/>
    <col min="4356" max="4357" width="60.83203125" style="709" customWidth="1"/>
    <col min="4358" max="4358" width="60.6640625" style="709" customWidth="1"/>
    <col min="4359" max="4359" width="60.83203125" style="709" customWidth="1"/>
    <col min="4360" max="4360" width="12" style="709" customWidth="1"/>
    <col min="4361" max="4361" width="22.5" style="709" customWidth="1"/>
    <col min="4362" max="4608" width="12" style="709"/>
    <col min="4609" max="4609" width="159.6640625" style="709" customWidth="1"/>
    <col min="4610" max="4610" width="60.83203125" style="709" customWidth="1"/>
    <col min="4611" max="4611" width="50.5" style="709" customWidth="1"/>
    <col min="4612" max="4613" width="60.83203125" style="709" customWidth="1"/>
    <col min="4614" max="4614" width="60.6640625" style="709" customWidth="1"/>
    <col min="4615" max="4615" width="60.83203125" style="709" customWidth="1"/>
    <col min="4616" max="4616" width="12" style="709" customWidth="1"/>
    <col min="4617" max="4617" width="22.5" style="709" customWidth="1"/>
    <col min="4618" max="4864" width="12" style="709"/>
    <col min="4865" max="4865" width="159.6640625" style="709" customWidth="1"/>
    <col min="4866" max="4866" width="60.83203125" style="709" customWidth="1"/>
    <col min="4867" max="4867" width="50.5" style="709" customWidth="1"/>
    <col min="4868" max="4869" width="60.83203125" style="709" customWidth="1"/>
    <col min="4870" max="4870" width="60.6640625" style="709" customWidth="1"/>
    <col min="4871" max="4871" width="60.83203125" style="709" customWidth="1"/>
    <col min="4872" max="4872" width="12" style="709" customWidth="1"/>
    <col min="4873" max="4873" width="22.5" style="709" customWidth="1"/>
    <col min="4874" max="5120" width="12" style="709"/>
    <col min="5121" max="5121" width="159.6640625" style="709" customWidth="1"/>
    <col min="5122" max="5122" width="60.83203125" style="709" customWidth="1"/>
    <col min="5123" max="5123" width="50.5" style="709" customWidth="1"/>
    <col min="5124" max="5125" width="60.83203125" style="709" customWidth="1"/>
    <col min="5126" max="5126" width="60.6640625" style="709" customWidth="1"/>
    <col min="5127" max="5127" width="60.83203125" style="709" customWidth="1"/>
    <col min="5128" max="5128" width="12" style="709" customWidth="1"/>
    <col min="5129" max="5129" width="22.5" style="709" customWidth="1"/>
    <col min="5130" max="5376" width="12" style="709"/>
    <col min="5377" max="5377" width="159.6640625" style="709" customWidth="1"/>
    <col min="5378" max="5378" width="60.83203125" style="709" customWidth="1"/>
    <col min="5379" max="5379" width="50.5" style="709" customWidth="1"/>
    <col min="5380" max="5381" width="60.83203125" style="709" customWidth="1"/>
    <col min="5382" max="5382" width="60.6640625" style="709" customWidth="1"/>
    <col min="5383" max="5383" width="60.83203125" style="709" customWidth="1"/>
    <col min="5384" max="5384" width="12" style="709" customWidth="1"/>
    <col min="5385" max="5385" width="22.5" style="709" customWidth="1"/>
    <col min="5386" max="5632" width="12" style="709"/>
    <col min="5633" max="5633" width="159.6640625" style="709" customWidth="1"/>
    <col min="5634" max="5634" width="60.83203125" style="709" customWidth="1"/>
    <col min="5635" max="5635" width="50.5" style="709" customWidth="1"/>
    <col min="5636" max="5637" width="60.83203125" style="709" customWidth="1"/>
    <col min="5638" max="5638" width="60.6640625" style="709" customWidth="1"/>
    <col min="5639" max="5639" width="60.83203125" style="709" customWidth="1"/>
    <col min="5640" max="5640" width="12" style="709" customWidth="1"/>
    <col min="5641" max="5641" width="22.5" style="709" customWidth="1"/>
    <col min="5642" max="5888" width="12" style="709"/>
    <col min="5889" max="5889" width="159.6640625" style="709" customWidth="1"/>
    <col min="5890" max="5890" width="60.83203125" style="709" customWidth="1"/>
    <col min="5891" max="5891" width="50.5" style="709" customWidth="1"/>
    <col min="5892" max="5893" width="60.83203125" style="709" customWidth="1"/>
    <col min="5894" max="5894" width="60.6640625" style="709" customWidth="1"/>
    <col min="5895" max="5895" width="60.83203125" style="709" customWidth="1"/>
    <col min="5896" max="5896" width="12" style="709" customWidth="1"/>
    <col min="5897" max="5897" width="22.5" style="709" customWidth="1"/>
    <col min="5898" max="6144" width="12" style="709"/>
    <col min="6145" max="6145" width="159.6640625" style="709" customWidth="1"/>
    <col min="6146" max="6146" width="60.83203125" style="709" customWidth="1"/>
    <col min="6147" max="6147" width="50.5" style="709" customWidth="1"/>
    <col min="6148" max="6149" width="60.83203125" style="709" customWidth="1"/>
    <col min="6150" max="6150" width="60.6640625" style="709" customWidth="1"/>
    <col min="6151" max="6151" width="60.83203125" style="709" customWidth="1"/>
    <col min="6152" max="6152" width="12" style="709" customWidth="1"/>
    <col min="6153" max="6153" width="22.5" style="709" customWidth="1"/>
    <col min="6154" max="6400" width="12" style="709"/>
    <col min="6401" max="6401" width="159.6640625" style="709" customWidth="1"/>
    <col min="6402" max="6402" width="60.83203125" style="709" customWidth="1"/>
    <col min="6403" max="6403" width="50.5" style="709" customWidth="1"/>
    <col min="6404" max="6405" width="60.83203125" style="709" customWidth="1"/>
    <col min="6406" max="6406" width="60.6640625" style="709" customWidth="1"/>
    <col min="6407" max="6407" width="60.83203125" style="709" customWidth="1"/>
    <col min="6408" max="6408" width="12" style="709" customWidth="1"/>
    <col min="6409" max="6409" width="22.5" style="709" customWidth="1"/>
    <col min="6410" max="6656" width="12" style="709"/>
    <col min="6657" max="6657" width="159.6640625" style="709" customWidth="1"/>
    <col min="6658" max="6658" width="60.83203125" style="709" customWidth="1"/>
    <col min="6659" max="6659" width="50.5" style="709" customWidth="1"/>
    <col min="6660" max="6661" width="60.83203125" style="709" customWidth="1"/>
    <col min="6662" max="6662" width="60.6640625" style="709" customWidth="1"/>
    <col min="6663" max="6663" width="60.83203125" style="709" customWidth="1"/>
    <col min="6664" max="6664" width="12" style="709" customWidth="1"/>
    <col min="6665" max="6665" width="22.5" style="709" customWidth="1"/>
    <col min="6666" max="6912" width="12" style="709"/>
    <col min="6913" max="6913" width="159.6640625" style="709" customWidth="1"/>
    <col min="6914" max="6914" width="60.83203125" style="709" customWidth="1"/>
    <col min="6915" max="6915" width="50.5" style="709" customWidth="1"/>
    <col min="6916" max="6917" width="60.83203125" style="709" customWidth="1"/>
    <col min="6918" max="6918" width="60.6640625" style="709" customWidth="1"/>
    <col min="6919" max="6919" width="60.83203125" style="709" customWidth="1"/>
    <col min="6920" max="6920" width="12" style="709" customWidth="1"/>
    <col min="6921" max="6921" width="22.5" style="709" customWidth="1"/>
    <col min="6922" max="7168" width="12" style="709"/>
    <col min="7169" max="7169" width="159.6640625" style="709" customWidth="1"/>
    <col min="7170" max="7170" width="60.83203125" style="709" customWidth="1"/>
    <col min="7171" max="7171" width="50.5" style="709" customWidth="1"/>
    <col min="7172" max="7173" width="60.83203125" style="709" customWidth="1"/>
    <col min="7174" max="7174" width="60.6640625" style="709" customWidth="1"/>
    <col min="7175" max="7175" width="60.83203125" style="709" customWidth="1"/>
    <col min="7176" max="7176" width="12" style="709" customWidth="1"/>
    <col min="7177" max="7177" width="22.5" style="709" customWidth="1"/>
    <col min="7178" max="7424" width="12" style="709"/>
    <col min="7425" max="7425" width="159.6640625" style="709" customWidth="1"/>
    <col min="7426" max="7426" width="60.83203125" style="709" customWidth="1"/>
    <col min="7427" max="7427" width="50.5" style="709" customWidth="1"/>
    <col min="7428" max="7429" width="60.83203125" style="709" customWidth="1"/>
    <col min="7430" max="7430" width="60.6640625" style="709" customWidth="1"/>
    <col min="7431" max="7431" width="60.83203125" style="709" customWidth="1"/>
    <col min="7432" max="7432" width="12" style="709" customWidth="1"/>
    <col min="7433" max="7433" width="22.5" style="709" customWidth="1"/>
    <col min="7434" max="7680" width="12" style="709"/>
    <col min="7681" max="7681" width="159.6640625" style="709" customWidth="1"/>
    <col min="7682" max="7682" width="60.83203125" style="709" customWidth="1"/>
    <col min="7683" max="7683" width="50.5" style="709" customWidth="1"/>
    <col min="7684" max="7685" width="60.83203125" style="709" customWidth="1"/>
    <col min="7686" max="7686" width="60.6640625" style="709" customWidth="1"/>
    <col min="7687" max="7687" width="60.83203125" style="709" customWidth="1"/>
    <col min="7688" max="7688" width="12" style="709" customWidth="1"/>
    <col min="7689" max="7689" width="22.5" style="709" customWidth="1"/>
    <col min="7690" max="7936" width="12" style="709"/>
    <col min="7937" max="7937" width="159.6640625" style="709" customWidth="1"/>
    <col min="7938" max="7938" width="60.83203125" style="709" customWidth="1"/>
    <col min="7939" max="7939" width="50.5" style="709" customWidth="1"/>
    <col min="7940" max="7941" width="60.83203125" style="709" customWidth="1"/>
    <col min="7942" max="7942" width="60.6640625" style="709" customWidth="1"/>
    <col min="7943" max="7943" width="60.83203125" style="709" customWidth="1"/>
    <col min="7944" max="7944" width="12" style="709" customWidth="1"/>
    <col min="7945" max="7945" width="22.5" style="709" customWidth="1"/>
    <col min="7946" max="8192" width="12" style="709"/>
    <col min="8193" max="8193" width="159.6640625" style="709" customWidth="1"/>
    <col min="8194" max="8194" width="60.83203125" style="709" customWidth="1"/>
    <col min="8195" max="8195" width="50.5" style="709" customWidth="1"/>
    <col min="8196" max="8197" width="60.83203125" style="709" customWidth="1"/>
    <col min="8198" max="8198" width="60.6640625" style="709" customWidth="1"/>
    <col min="8199" max="8199" width="60.83203125" style="709" customWidth="1"/>
    <col min="8200" max="8200" width="12" style="709" customWidth="1"/>
    <col min="8201" max="8201" width="22.5" style="709" customWidth="1"/>
    <col min="8202" max="8448" width="12" style="709"/>
    <col min="8449" max="8449" width="159.6640625" style="709" customWidth="1"/>
    <col min="8450" max="8450" width="60.83203125" style="709" customWidth="1"/>
    <col min="8451" max="8451" width="50.5" style="709" customWidth="1"/>
    <col min="8452" max="8453" width="60.83203125" style="709" customWidth="1"/>
    <col min="8454" max="8454" width="60.6640625" style="709" customWidth="1"/>
    <col min="8455" max="8455" width="60.83203125" style="709" customWidth="1"/>
    <col min="8456" max="8456" width="12" style="709" customWidth="1"/>
    <col min="8457" max="8457" width="22.5" style="709" customWidth="1"/>
    <col min="8458" max="8704" width="12" style="709"/>
    <col min="8705" max="8705" width="159.6640625" style="709" customWidth="1"/>
    <col min="8706" max="8706" width="60.83203125" style="709" customWidth="1"/>
    <col min="8707" max="8707" width="50.5" style="709" customWidth="1"/>
    <col min="8708" max="8709" width="60.83203125" style="709" customWidth="1"/>
    <col min="8710" max="8710" width="60.6640625" style="709" customWidth="1"/>
    <col min="8711" max="8711" width="60.83203125" style="709" customWidth="1"/>
    <col min="8712" max="8712" width="12" style="709" customWidth="1"/>
    <col min="8713" max="8713" width="22.5" style="709" customWidth="1"/>
    <col min="8714" max="8960" width="12" style="709"/>
    <col min="8961" max="8961" width="159.6640625" style="709" customWidth="1"/>
    <col min="8962" max="8962" width="60.83203125" style="709" customWidth="1"/>
    <col min="8963" max="8963" width="50.5" style="709" customWidth="1"/>
    <col min="8964" max="8965" width="60.83203125" style="709" customWidth="1"/>
    <col min="8966" max="8966" width="60.6640625" style="709" customWidth="1"/>
    <col min="8967" max="8967" width="60.83203125" style="709" customWidth="1"/>
    <col min="8968" max="8968" width="12" style="709" customWidth="1"/>
    <col min="8969" max="8969" width="22.5" style="709" customWidth="1"/>
    <col min="8970" max="9216" width="12" style="709"/>
    <col min="9217" max="9217" width="159.6640625" style="709" customWidth="1"/>
    <col min="9218" max="9218" width="60.83203125" style="709" customWidth="1"/>
    <col min="9219" max="9219" width="50.5" style="709" customWidth="1"/>
    <col min="9220" max="9221" width="60.83203125" style="709" customWidth="1"/>
    <col min="9222" max="9222" width="60.6640625" style="709" customWidth="1"/>
    <col min="9223" max="9223" width="60.83203125" style="709" customWidth="1"/>
    <col min="9224" max="9224" width="12" style="709" customWidth="1"/>
    <col min="9225" max="9225" width="22.5" style="709" customWidth="1"/>
    <col min="9226" max="9472" width="12" style="709"/>
    <col min="9473" max="9473" width="159.6640625" style="709" customWidth="1"/>
    <col min="9474" max="9474" width="60.83203125" style="709" customWidth="1"/>
    <col min="9475" max="9475" width="50.5" style="709" customWidth="1"/>
    <col min="9476" max="9477" width="60.83203125" style="709" customWidth="1"/>
    <col min="9478" max="9478" width="60.6640625" style="709" customWidth="1"/>
    <col min="9479" max="9479" width="60.83203125" style="709" customWidth="1"/>
    <col min="9480" max="9480" width="12" style="709" customWidth="1"/>
    <col min="9481" max="9481" width="22.5" style="709" customWidth="1"/>
    <col min="9482" max="9728" width="12" style="709"/>
    <col min="9729" max="9729" width="159.6640625" style="709" customWidth="1"/>
    <col min="9730" max="9730" width="60.83203125" style="709" customWidth="1"/>
    <col min="9731" max="9731" width="50.5" style="709" customWidth="1"/>
    <col min="9732" max="9733" width="60.83203125" style="709" customWidth="1"/>
    <col min="9734" max="9734" width="60.6640625" style="709" customWidth="1"/>
    <col min="9735" max="9735" width="60.83203125" style="709" customWidth="1"/>
    <col min="9736" max="9736" width="12" style="709" customWidth="1"/>
    <col min="9737" max="9737" width="22.5" style="709" customWidth="1"/>
    <col min="9738" max="9984" width="12" style="709"/>
    <col min="9985" max="9985" width="159.6640625" style="709" customWidth="1"/>
    <col min="9986" max="9986" width="60.83203125" style="709" customWidth="1"/>
    <col min="9987" max="9987" width="50.5" style="709" customWidth="1"/>
    <col min="9988" max="9989" width="60.83203125" style="709" customWidth="1"/>
    <col min="9990" max="9990" width="60.6640625" style="709" customWidth="1"/>
    <col min="9991" max="9991" width="60.83203125" style="709" customWidth="1"/>
    <col min="9992" max="9992" width="12" style="709" customWidth="1"/>
    <col min="9993" max="9993" width="22.5" style="709" customWidth="1"/>
    <col min="9994" max="10240" width="12" style="709"/>
    <col min="10241" max="10241" width="159.6640625" style="709" customWidth="1"/>
    <col min="10242" max="10242" width="60.83203125" style="709" customWidth="1"/>
    <col min="10243" max="10243" width="50.5" style="709" customWidth="1"/>
    <col min="10244" max="10245" width="60.83203125" style="709" customWidth="1"/>
    <col min="10246" max="10246" width="60.6640625" style="709" customWidth="1"/>
    <col min="10247" max="10247" width="60.83203125" style="709" customWidth="1"/>
    <col min="10248" max="10248" width="12" style="709" customWidth="1"/>
    <col min="10249" max="10249" width="22.5" style="709" customWidth="1"/>
    <col min="10250" max="10496" width="12" style="709"/>
    <col min="10497" max="10497" width="159.6640625" style="709" customWidth="1"/>
    <col min="10498" max="10498" width="60.83203125" style="709" customWidth="1"/>
    <col min="10499" max="10499" width="50.5" style="709" customWidth="1"/>
    <col min="10500" max="10501" width="60.83203125" style="709" customWidth="1"/>
    <col min="10502" max="10502" width="60.6640625" style="709" customWidth="1"/>
    <col min="10503" max="10503" width="60.83203125" style="709" customWidth="1"/>
    <col min="10504" max="10504" width="12" style="709" customWidth="1"/>
    <col min="10505" max="10505" width="22.5" style="709" customWidth="1"/>
    <col min="10506" max="10752" width="12" style="709"/>
    <col min="10753" max="10753" width="159.6640625" style="709" customWidth="1"/>
    <col min="10754" max="10754" width="60.83203125" style="709" customWidth="1"/>
    <col min="10755" max="10755" width="50.5" style="709" customWidth="1"/>
    <col min="10756" max="10757" width="60.83203125" style="709" customWidth="1"/>
    <col min="10758" max="10758" width="60.6640625" style="709" customWidth="1"/>
    <col min="10759" max="10759" width="60.83203125" style="709" customWidth="1"/>
    <col min="10760" max="10760" width="12" style="709" customWidth="1"/>
    <col min="10761" max="10761" width="22.5" style="709" customWidth="1"/>
    <col min="10762" max="11008" width="12" style="709"/>
    <col min="11009" max="11009" width="159.6640625" style="709" customWidth="1"/>
    <col min="11010" max="11010" width="60.83203125" style="709" customWidth="1"/>
    <col min="11011" max="11011" width="50.5" style="709" customWidth="1"/>
    <col min="11012" max="11013" width="60.83203125" style="709" customWidth="1"/>
    <col min="11014" max="11014" width="60.6640625" style="709" customWidth="1"/>
    <col min="11015" max="11015" width="60.83203125" style="709" customWidth="1"/>
    <col min="11016" max="11016" width="12" style="709" customWidth="1"/>
    <col min="11017" max="11017" width="22.5" style="709" customWidth="1"/>
    <col min="11018" max="11264" width="12" style="709"/>
    <col min="11265" max="11265" width="159.6640625" style="709" customWidth="1"/>
    <col min="11266" max="11266" width="60.83203125" style="709" customWidth="1"/>
    <col min="11267" max="11267" width="50.5" style="709" customWidth="1"/>
    <col min="11268" max="11269" width="60.83203125" style="709" customWidth="1"/>
    <col min="11270" max="11270" width="60.6640625" style="709" customWidth="1"/>
    <col min="11271" max="11271" width="60.83203125" style="709" customWidth="1"/>
    <col min="11272" max="11272" width="12" style="709" customWidth="1"/>
    <col min="11273" max="11273" width="22.5" style="709" customWidth="1"/>
    <col min="11274" max="11520" width="12" style="709"/>
    <col min="11521" max="11521" width="159.6640625" style="709" customWidth="1"/>
    <col min="11522" max="11522" width="60.83203125" style="709" customWidth="1"/>
    <col min="11523" max="11523" width="50.5" style="709" customWidth="1"/>
    <col min="11524" max="11525" width="60.83203125" style="709" customWidth="1"/>
    <col min="11526" max="11526" width="60.6640625" style="709" customWidth="1"/>
    <col min="11527" max="11527" width="60.83203125" style="709" customWidth="1"/>
    <col min="11528" max="11528" width="12" style="709" customWidth="1"/>
    <col min="11529" max="11529" width="22.5" style="709" customWidth="1"/>
    <col min="11530" max="11776" width="12" style="709"/>
    <col min="11777" max="11777" width="159.6640625" style="709" customWidth="1"/>
    <col min="11778" max="11778" width="60.83203125" style="709" customWidth="1"/>
    <col min="11779" max="11779" width="50.5" style="709" customWidth="1"/>
    <col min="11780" max="11781" width="60.83203125" style="709" customWidth="1"/>
    <col min="11782" max="11782" width="60.6640625" style="709" customWidth="1"/>
    <col min="11783" max="11783" width="60.83203125" style="709" customWidth="1"/>
    <col min="11784" max="11784" width="12" style="709" customWidth="1"/>
    <col min="11785" max="11785" width="22.5" style="709" customWidth="1"/>
    <col min="11786" max="12032" width="12" style="709"/>
    <col min="12033" max="12033" width="159.6640625" style="709" customWidth="1"/>
    <col min="12034" max="12034" width="60.83203125" style="709" customWidth="1"/>
    <col min="12035" max="12035" width="50.5" style="709" customWidth="1"/>
    <col min="12036" max="12037" width="60.83203125" style="709" customWidth="1"/>
    <col min="12038" max="12038" width="60.6640625" style="709" customWidth="1"/>
    <col min="12039" max="12039" width="60.83203125" style="709" customWidth="1"/>
    <col min="12040" max="12040" width="12" style="709" customWidth="1"/>
    <col min="12041" max="12041" width="22.5" style="709" customWidth="1"/>
    <col min="12042" max="12288" width="12" style="709"/>
    <col min="12289" max="12289" width="159.6640625" style="709" customWidth="1"/>
    <col min="12290" max="12290" width="60.83203125" style="709" customWidth="1"/>
    <col min="12291" max="12291" width="50.5" style="709" customWidth="1"/>
    <col min="12292" max="12293" width="60.83203125" style="709" customWidth="1"/>
    <col min="12294" max="12294" width="60.6640625" style="709" customWidth="1"/>
    <col min="12295" max="12295" width="60.83203125" style="709" customWidth="1"/>
    <col min="12296" max="12296" width="12" style="709" customWidth="1"/>
    <col min="12297" max="12297" width="22.5" style="709" customWidth="1"/>
    <col min="12298" max="12544" width="12" style="709"/>
    <col min="12545" max="12545" width="159.6640625" style="709" customWidth="1"/>
    <col min="12546" max="12546" width="60.83203125" style="709" customWidth="1"/>
    <col min="12547" max="12547" width="50.5" style="709" customWidth="1"/>
    <col min="12548" max="12549" width="60.83203125" style="709" customWidth="1"/>
    <col min="12550" max="12550" width="60.6640625" style="709" customWidth="1"/>
    <col min="12551" max="12551" width="60.83203125" style="709" customWidth="1"/>
    <col min="12552" max="12552" width="12" style="709" customWidth="1"/>
    <col min="12553" max="12553" width="22.5" style="709" customWidth="1"/>
    <col min="12554" max="12800" width="12" style="709"/>
    <col min="12801" max="12801" width="159.6640625" style="709" customWidth="1"/>
    <col min="12802" max="12802" width="60.83203125" style="709" customWidth="1"/>
    <col min="12803" max="12803" width="50.5" style="709" customWidth="1"/>
    <col min="12804" max="12805" width="60.83203125" style="709" customWidth="1"/>
    <col min="12806" max="12806" width="60.6640625" style="709" customWidth="1"/>
    <col min="12807" max="12807" width="60.83203125" style="709" customWidth="1"/>
    <col min="12808" max="12808" width="12" style="709" customWidth="1"/>
    <col min="12809" max="12809" width="22.5" style="709" customWidth="1"/>
    <col min="12810" max="13056" width="12" style="709"/>
    <col min="13057" max="13057" width="159.6640625" style="709" customWidth="1"/>
    <col min="13058" max="13058" width="60.83203125" style="709" customWidth="1"/>
    <col min="13059" max="13059" width="50.5" style="709" customWidth="1"/>
    <col min="13060" max="13061" width="60.83203125" style="709" customWidth="1"/>
    <col min="13062" max="13062" width="60.6640625" style="709" customWidth="1"/>
    <col min="13063" max="13063" width="60.83203125" style="709" customWidth="1"/>
    <col min="13064" max="13064" width="12" style="709" customWidth="1"/>
    <col min="13065" max="13065" width="22.5" style="709" customWidth="1"/>
    <col min="13066" max="13312" width="12" style="709"/>
    <col min="13313" max="13313" width="159.6640625" style="709" customWidth="1"/>
    <col min="13314" max="13314" width="60.83203125" style="709" customWidth="1"/>
    <col min="13315" max="13315" width="50.5" style="709" customWidth="1"/>
    <col min="13316" max="13317" width="60.83203125" style="709" customWidth="1"/>
    <col min="13318" max="13318" width="60.6640625" style="709" customWidth="1"/>
    <col min="13319" max="13319" width="60.83203125" style="709" customWidth="1"/>
    <col min="13320" max="13320" width="12" style="709" customWidth="1"/>
    <col min="13321" max="13321" width="22.5" style="709" customWidth="1"/>
    <col min="13322" max="13568" width="12" style="709"/>
    <col min="13569" max="13569" width="159.6640625" style="709" customWidth="1"/>
    <col min="13570" max="13570" width="60.83203125" style="709" customWidth="1"/>
    <col min="13571" max="13571" width="50.5" style="709" customWidth="1"/>
    <col min="13572" max="13573" width="60.83203125" style="709" customWidth="1"/>
    <col min="13574" max="13574" width="60.6640625" style="709" customWidth="1"/>
    <col min="13575" max="13575" width="60.83203125" style="709" customWidth="1"/>
    <col min="13576" max="13576" width="12" style="709" customWidth="1"/>
    <col min="13577" max="13577" width="22.5" style="709" customWidth="1"/>
    <col min="13578" max="13824" width="12" style="709"/>
    <col min="13825" max="13825" width="159.6640625" style="709" customWidth="1"/>
    <col min="13826" max="13826" width="60.83203125" style="709" customWidth="1"/>
    <col min="13827" max="13827" width="50.5" style="709" customWidth="1"/>
    <col min="13828" max="13829" width="60.83203125" style="709" customWidth="1"/>
    <col min="13830" max="13830" width="60.6640625" style="709" customWidth="1"/>
    <col min="13831" max="13831" width="60.83203125" style="709" customWidth="1"/>
    <col min="13832" max="13832" width="12" style="709" customWidth="1"/>
    <col min="13833" max="13833" width="22.5" style="709" customWidth="1"/>
    <col min="13834" max="14080" width="12" style="709"/>
    <col min="14081" max="14081" width="159.6640625" style="709" customWidth="1"/>
    <col min="14082" max="14082" width="60.83203125" style="709" customWidth="1"/>
    <col min="14083" max="14083" width="50.5" style="709" customWidth="1"/>
    <col min="14084" max="14085" width="60.83203125" style="709" customWidth="1"/>
    <col min="14086" max="14086" width="60.6640625" style="709" customWidth="1"/>
    <col min="14087" max="14087" width="60.83203125" style="709" customWidth="1"/>
    <col min="14088" max="14088" width="12" style="709" customWidth="1"/>
    <col min="14089" max="14089" width="22.5" style="709" customWidth="1"/>
    <col min="14090" max="14336" width="12" style="709"/>
    <col min="14337" max="14337" width="159.6640625" style="709" customWidth="1"/>
    <col min="14338" max="14338" width="60.83203125" style="709" customWidth="1"/>
    <col min="14339" max="14339" width="50.5" style="709" customWidth="1"/>
    <col min="14340" max="14341" width="60.83203125" style="709" customWidth="1"/>
    <col min="14342" max="14342" width="60.6640625" style="709" customWidth="1"/>
    <col min="14343" max="14343" width="60.83203125" style="709" customWidth="1"/>
    <col min="14344" max="14344" width="12" style="709" customWidth="1"/>
    <col min="14345" max="14345" width="22.5" style="709" customWidth="1"/>
    <col min="14346" max="14592" width="12" style="709"/>
    <col min="14593" max="14593" width="159.6640625" style="709" customWidth="1"/>
    <col min="14594" max="14594" width="60.83203125" style="709" customWidth="1"/>
    <col min="14595" max="14595" width="50.5" style="709" customWidth="1"/>
    <col min="14596" max="14597" width="60.83203125" style="709" customWidth="1"/>
    <col min="14598" max="14598" width="60.6640625" style="709" customWidth="1"/>
    <col min="14599" max="14599" width="60.83203125" style="709" customWidth="1"/>
    <col min="14600" max="14600" width="12" style="709" customWidth="1"/>
    <col min="14601" max="14601" width="22.5" style="709" customWidth="1"/>
    <col min="14602" max="14848" width="12" style="709"/>
    <col min="14849" max="14849" width="159.6640625" style="709" customWidth="1"/>
    <col min="14850" max="14850" width="60.83203125" style="709" customWidth="1"/>
    <col min="14851" max="14851" width="50.5" style="709" customWidth="1"/>
    <col min="14852" max="14853" width="60.83203125" style="709" customWidth="1"/>
    <col min="14854" max="14854" width="60.6640625" style="709" customWidth="1"/>
    <col min="14855" max="14855" width="60.83203125" style="709" customWidth="1"/>
    <col min="14856" max="14856" width="12" style="709" customWidth="1"/>
    <col min="14857" max="14857" width="22.5" style="709" customWidth="1"/>
    <col min="14858" max="15104" width="12" style="709"/>
    <col min="15105" max="15105" width="159.6640625" style="709" customWidth="1"/>
    <col min="15106" max="15106" width="60.83203125" style="709" customWidth="1"/>
    <col min="15107" max="15107" width="50.5" style="709" customWidth="1"/>
    <col min="15108" max="15109" width="60.83203125" style="709" customWidth="1"/>
    <col min="15110" max="15110" width="60.6640625" style="709" customWidth="1"/>
    <col min="15111" max="15111" width="60.83203125" style="709" customWidth="1"/>
    <col min="15112" max="15112" width="12" style="709" customWidth="1"/>
    <col min="15113" max="15113" width="22.5" style="709" customWidth="1"/>
    <col min="15114" max="15360" width="12" style="709"/>
    <col min="15361" max="15361" width="159.6640625" style="709" customWidth="1"/>
    <col min="15362" max="15362" width="60.83203125" style="709" customWidth="1"/>
    <col min="15363" max="15363" width="50.5" style="709" customWidth="1"/>
    <col min="15364" max="15365" width="60.83203125" style="709" customWidth="1"/>
    <col min="15366" max="15366" width="60.6640625" style="709" customWidth="1"/>
    <col min="15367" max="15367" width="60.83203125" style="709" customWidth="1"/>
    <col min="15368" max="15368" width="12" style="709" customWidth="1"/>
    <col min="15369" max="15369" width="22.5" style="709" customWidth="1"/>
    <col min="15370" max="15616" width="12" style="709"/>
    <col min="15617" max="15617" width="159.6640625" style="709" customWidth="1"/>
    <col min="15618" max="15618" width="60.83203125" style="709" customWidth="1"/>
    <col min="15619" max="15619" width="50.5" style="709" customWidth="1"/>
    <col min="15620" max="15621" width="60.83203125" style="709" customWidth="1"/>
    <col min="15622" max="15622" width="60.6640625" style="709" customWidth="1"/>
    <col min="15623" max="15623" width="60.83203125" style="709" customWidth="1"/>
    <col min="15624" max="15624" width="12" style="709" customWidth="1"/>
    <col min="15625" max="15625" width="22.5" style="709" customWidth="1"/>
    <col min="15626" max="15872" width="12" style="709"/>
    <col min="15873" max="15873" width="159.6640625" style="709" customWidth="1"/>
    <col min="15874" max="15874" width="60.83203125" style="709" customWidth="1"/>
    <col min="15875" max="15875" width="50.5" style="709" customWidth="1"/>
    <col min="15876" max="15877" width="60.83203125" style="709" customWidth="1"/>
    <col min="15878" max="15878" width="60.6640625" style="709" customWidth="1"/>
    <col min="15879" max="15879" width="60.83203125" style="709" customWidth="1"/>
    <col min="15880" max="15880" width="12" style="709" customWidth="1"/>
    <col min="15881" max="15881" width="22.5" style="709" customWidth="1"/>
    <col min="15882" max="16128" width="12" style="709"/>
    <col min="16129" max="16129" width="159.6640625" style="709" customWidth="1"/>
    <col min="16130" max="16130" width="60.83203125" style="709" customWidth="1"/>
    <col min="16131" max="16131" width="50.5" style="709" customWidth="1"/>
    <col min="16132" max="16133" width="60.83203125" style="709" customWidth="1"/>
    <col min="16134" max="16134" width="60.6640625" style="709" customWidth="1"/>
    <col min="16135" max="16135" width="60.83203125" style="709" customWidth="1"/>
    <col min="16136" max="16136" width="12" style="709" customWidth="1"/>
    <col min="16137" max="16137" width="22.5" style="709" customWidth="1"/>
    <col min="16138" max="16384" width="12" style="709"/>
  </cols>
  <sheetData>
    <row r="1" spans="1:9" s="705" customFormat="1" ht="45" customHeight="1" x14ac:dyDescent="0.5">
      <c r="A1" s="964" t="s">
        <v>768</v>
      </c>
      <c r="B1" s="964"/>
      <c r="C1" s="964"/>
      <c r="D1" s="964"/>
      <c r="E1" s="964"/>
      <c r="F1" s="964"/>
      <c r="G1" s="964"/>
      <c r="I1" s="706"/>
    </row>
    <row r="2" spans="1:9" s="705" customFormat="1" ht="44.25" customHeight="1" x14ac:dyDescent="0.5">
      <c r="A2" s="964" t="s">
        <v>769</v>
      </c>
      <c r="B2" s="964"/>
      <c r="C2" s="964"/>
      <c r="D2" s="964"/>
      <c r="E2" s="964"/>
      <c r="F2" s="964"/>
      <c r="G2" s="964"/>
      <c r="I2" s="706"/>
    </row>
    <row r="3" spans="1:9" ht="44.25" customHeight="1" thickBot="1" x14ac:dyDescent="0.55000000000000004">
      <c r="A3" s="707"/>
      <c r="B3" s="965"/>
      <c r="C3" s="965"/>
      <c r="D3" s="965"/>
      <c r="E3" s="965"/>
      <c r="F3" s="708"/>
      <c r="G3" s="708"/>
    </row>
    <row r="4" spans="1:9" s="705" customFormat="1" ht="108.75" customHeight="1" thickBot="1" x14ac:dyDescent="0.55000000000000004">
      <c r="A4" s="711"/>
      <c r="B4" s="966" t="s">
        <v>770</v>
      </c>
      <c r="C4" s="967"/>
      <c r="D4" s="967"/>
      <c r="E4" s="968"/>
      <c r="F4" s="969" t="s">
        <v>771</v>
      </c>
      <c r="G4" s="970"/>
      <c r="I4" s="712"/>
    </row>
    <row r="5" spans="1:9" s="705" customFormat="1" ht="45.75" customHeight="1" thickBot="1" x14ac:dyDescent="0.55000000000000004">
      <c r="A5" s="713" t="s">
        <v>772</v>
      </c>
      <c r="B5" s="958" t="s">
        <v>773</v>
      </c>
      <c r="C5" s="959"/>
      <c r="D5" s="960" t="s">
        <v>774</v>
      </c>
      <c r="E5" s="961"/>
      <c r="F5" s="962"/>
      <c r="G5" s="963"/>
      <c r="I5" s="712"/>
    </row>
    <row r="6" spans="1:9" s="705" customFormat="1" ht="44.25" customHeight="1" thickBot="1" x14ac:dyDescent="0.55000000000000004">
      <c r="A6" s="714"/>
      <c r="B6" s="715" t="s">
        <v>775</v>
      </c>
      <c r="C6" s="716" t="s">
        <v>776</v>
      </c>
      <c r="D6" s="715" t="s">
        <v>775</v>
      </c>
      <c r="E6" s="716" t="s">
        <v>776</v>
      </c>
      <c r="F6" s="717" t="s">
        <v>775</v>
      </c>
      <c r="G6" s="717" t="s">
        <v>777</v>
      </c>
      <c r="I6" s="712"/>
    </row>
    <row r="7" spans="1:9" s="721" customFormat="1" ht="90.75" customHeight="1" x14ac:dyDescent="0.5">
      <c r="A7" s="718" t="s">
        <v>778</v>
      </c>
      <c r="B7" s="719"/>
      <c r="C7" s="720"/>
      <c r="D7" s="720"/>
      <c r="E7" s="720"/>
      <c r="F7" s="720"/>
      <c r="G7" s="720"/>
      <c r="I7" s="722"/>
    </row>
    <row r="8" spans="1:9" s="729" customFormat="1" ht="45.75" customHeight="1" x14ac:dyDescent="0.55000000000000004">
      <c r="A8" s="723" t="s">
        <v>730</v>
      </c>
      <c r="B8" s="724">
        <f>'[3]létszám ei mód 2024-2025eltérés'!I9</f>
        <v>33</v>
      </c>
      <c r="C8" s="725">
        <f>'[3]létszám ei mód 2024-2025eltérés'!J9</f>
        <v>33</v>
      </c>
      <c r="D8" s="726">
        <f>'[3]létszám ei mód 2024-2025eltérés'!P9</f>
        <v>1</v>
      </c>
      <c r="E8" s="725">
        <f>'[3]létszám ei mód 2024-2025eltérés'!Q9</f>
        <v>1</v>
      </c>
      <c r="F8" s="727">
        <f t="shared" ref="F8:G25" si="0">B8+D8</f>
        <v>34</v>
      </c>
      <c r="G8" s="728">
        <f t="shared" si="0"/>
        <v>34</v>
      </c>
      <c r="I8" s="710"/>
    </row>
    <row r="9" spans="1:9" s="729" customFormat="1" ht="45.75" customHeight="1" x14ac:dyDescent="0.55000000000000004">
      <c r="A9" s="730" t="s">
        <v>731</v>
      </c>
      <c r="B9" s="731">
        <f>'[3]létszám ei mód 2024-2025eltérés'!I10</f>
        <v>23</v>
      </c>
      <c r="C9" s="732">
        <f>'[3]létszám ei mód 2024-2025eltérés'!J10</f>
        <v>23</v>
      </c>
      <c r="D9" s="731">
        <f>'[3]létszám ei mód 2024-2025eltérés'!P10</f>
        <v>1</v>
      </c>
      <c r="E9" s="732">
        <f>'[3]létszám ei mód 2024-2025eltérés'!Q10</f>
        <v>1</v>
      </c>
      <c r="F9" s="733">
        <f t="shared" si="0"/>
        <v>24</v>
      </c>
      <c r="G9" s="734">
        <f t="shared" si="0"/>
        <v>24</v>
      </c>
      <c r="I9" s="710"/>
    </row>
    <row r="10" spans="1:9" s="729" customFormat="1" ht="45.75" customHeight="1" x14ac:dyDescent="0.55000000000000004">
      <c r="A10" s="730" t="s">
        <v>732</v>
      </c>
      <c r="B10" s="724">
        <f>'[3]létszám ei mód 2024-2025eltérés'!I11</f>
        <v>23</v>
      </c>
      <c r="C10" s="725">
        <f>'[3]létszám ei mód 2024-2025eltérés'!J11</f>
        <v>23</v>
      </c>
      <c r="D10" s="726">
        <f>'[3]létszám ei mód 2024-2025eltérés'!P11</f>
        <v>1</v>
      </c>
      <c r="E10" s="725">
        <f>'[3]létszám ei mód 2024-2025eltérés'!Q11</f>
        <v>1</v>
      </c>
      <c r="F10" s="727">
        <f t="shared" si="0"/>
        <v>24</v>
      </c>
      <c r="G10" s="728">
        <f t="shared" si="0"/>
        <v>24</v>
      </c>
      <c r="I10" s="710"/>
    </row>
    <row r="11" spans="1:9" s="729" customFormat="1" ht="45.75" customHeight="1" x14ac:dyDescent="0.55000000000000004">
      <c r="A11" s="730" t="s">
        <v>733</v>
      </c>
      <c r="B11" s="731">
        <f>'[3]létszám ei mód 2024-2025eltérés'!I12</f>
        <v>28</v>
      </c>
      <c r="C11" s="732">
        <f>'[3]létszám ei mód 2024-2025eltérés'!J12</f>
        <v>28</v>
      </c>
      <c r="D11" s="731">
        <f>'[3]létszám ei mód 2024-2025eltérés'!P12</f>
        <v>1</v>
      </c>
      <c r="E11" s="732">
        <f>'[3]létszám ei mód 2024-2025eltérés'!Q12</f>
        <v>1</v>
      </c>
      <c r="F11" s="733">
        <f t="shared" si="0"/>
        <v>29</v>
      </c>
      <c r="G11" s="734">
        <f t="shared" si="0"/>
        <v>29</v>
      </c>
      <c r="I11" s="710"/>
    </row>
    <row r="12" spans="1:9" s="729" customFormat="1" ht="45.75" customHeight="1" x14ac:dyDescent="0.55000000000000004">
      <c r="A12" s="730" t="s">
        <v>734</v>
      </c>
      <c r="B12" s="731">
        <f>'[3]létszám ei mód 2024-2025eltérés'!I13</f>
        <v>26</v>
      </c>
      <c r="C12" s="732">
        <f>'[3]létszám ei mód 2024-2025eltérés'!J13</f>
        <v>26</v>
      </c>
      <c r="D12" s="731">
        <f>'[3]létszám ei mód 2024-2025eltérés'!P13</f>
        <v>1</v>
      </c>
      <c r="E12" s="732">
        <f>'[3]létszám ei mód 2024-2025eltérés'!Q13</f>
        <v>1</v>
      </c>
      <c r="F12" s="733">
        <f t="shared" si="0"/>
        <v>27</v>
      </c>
      <c r="G12" s="734">
        <f t="shared" si="0"/>
        <v>27</v>
      </c>
      <c r="I12" s="710"/>
    </row>
    <row r="13" spans="1:9" s="729" customFormat="1" ht="45.75" customHeight="1" x14ac:dyDescent="0.55000000000000004">
      <c r="A13" s="730" t="s">
        <v>735</v>
      </c>
      <c r="B13" s="731">
        <f>'[3]létszám ei mód 2024-2025eltérés'!I14</f>
        <v>23</v>
      </c>
      <c r="C13" s="732">
        <f>'[3]létszám ei mód 2024-2025eltérés'!J14</f>
        <v>23</v>
      </c>
      <c r="D13" s="731">
        <f>'[3]létszám ei mód 2024-2025eltérés'!P14</f>
        <v>1</v>
      </c>
      <c r="E13" s="732">
        <f>'[3]létszám ei mód 2024-2025eltérés'!Q14</f>
        <v>1</v>
      </c>
      <c r="F13" s="733">
        <f t="shared" si="0"/>
        <v>24</v>
      </c>
      <c r="G13" s="734">
        <f t="shared" si="0"/>
        <v>24</v>
      </c>
      <c r="I13" s="710"/>
    </row>
    <row r="14" spans="1:9" s="729" customFormat="1" ht="45.75" customHeight="1" x14ac:dyDescent="0.55000000000000004">
      <c r="A14" s="730" t="s">
        <v>736</v>
      </c>
      <c r="B14" s="731">
        <f>'[3]létszám ei mód 2024-2025eltérés'!I15</f>
        <v>18</v>
      </c>
      <c r="C14" s="732">
        <f>'[3]létszám ei mód 2024-2025eltérés'!J15</f>
        <v>18</v>
      </c>
      <c r="D14" s="731">
        <f>'[3]létszám ei mód 2024-2025eltérés'!P15</f>
        <v>1</v>
      </c>
      <c r="E14" s="732">
        <f>'[3]létszám ei mód 2024-2025eltérés'!Q15</f>
        <v>1</v>
      </c>
      <c r="F14" s="733">
        <f t="shared" si="0"/>
        <v>19</v>
      </c>
      <c r="G14" s="734">
        <f t="shared" si="0"/>
        <v>19</v>
      </c>
      <c r="I14" s="710"/>
    </row>
    <row r="15" spans="1:9" s="729" customFormat="1" ht="45.75" customHeight="1" x14ac:dyDescent="0.55000000000000004">
      <c r="A15" s="730" t="s">
        <v>737</v>
      </c>
      <c r="B15" s="731">
        <f>'[3]létszám ei mód 2024-2025eltérés'!I16</f>
        <v>18</v>
      </c>
      <c r="C15" s="732">
        <f>'[3]létszám ei mód 2024-2025eltérés'!J16</f>
        <v>18</v>
      </c>
      <c r="D15" s="731">
        <f>'[3]létszám ei mód 2024-2025eltérés'!P16</f>
        <v>1</v>
      </c>
      <c r="E15" s="732">
        <f>'[3]létszám ei mód 2024-2025eltérés'!Q16</f>
        <v>1</v>
      </c>
      <c r="F15" s="733">
        <f t="shared" si="0"/>
        <v>19</v>
      </c>
      <c r="G15" s="734">
        <f t="shared" si="0"/>
        <v>19</v>
      </c>
      <c r="I15" s="710"/>
    </row>
    <row r="16" spans="1:9" s="729" customFormat="1" ht="45.75" customHeight="1" x14ac:dyDescent="0.55000000000000004">
      <c r="A16" s="730" t="s">
        <v>738</v>
      </c>
      <c r="B16" s="731">
        <f>'[3]létszám ei mód 2024-2025eltérés'!I17</f>
        <v>27</v>
      </c>
      <c r="C16" s="732">
        <f>'[3]létszám ei mód 2024-2025eltérés'!J17</f>
        <v>27</v>
      </c>
      <c r="D16" s="731">
        <f>'[3]létszám ei mód 2024-2025eltérés'!P17</f>
        <v>1</v>
      </c>
      <c r="E16" s="732">
        <f>'[3]létszám ei mód 2024-2025eltérés'!Q17</f>
        <v>1</v>
      </c>
      <c r="F16" s="733">
        <f t="shared" si="0"/>
        <v>28</v>
      </c>
      <c r="G16" s="734">
        <f t="shared" si="0"/>
        <v>28</v>
      </c>
      <c r="I16" s="710"/>
    </row>
    <row r="17" spans="1:9" s="729" customFormat="1" ht="45.75" customHeight="1" x14ac:dyDescent="0.55000000000000004">
      <c r="A17" s="730" t="s">
        <v>739</v>
      </c>
      <c r="B17" s="731">
        <f>'[3]létszám ei mód 2024-2025eltérés'!I18</f>
        <v>30</v>
      </c>
      <c r="C17" s="732">
        <f>'[3]létszám ei mód 2024-2025eltérés'!J18</f>
        <v>30</v>
      </c>
      <c r="D17" s="731">
        <f>'[3]létszám ei mód 2024-2025eltérés'!P18</f>
        <v>1</v>
      </c>
      <c r="E17" s="732">
        <f>'[3]létszám ei mód 2024-2025eltérés'!Q18</f>
        <v>1</v>
      </c>
      <c r="F17" s="733">
        <f t="shared" si="0"/>
        <v>31</v>
      </c>
      <c r="G17" s="734">
        <f t="shared" si="0"/>
        <v>31</v>
      </c>
      <c r="I17" s="710"/>
    </row>
    <row r="18" spans="1:9" s="729" customFormat="1" ht="45.75" customHeight="1" x14ac:dyDescent="0.55000000000000004">
      <c r="A18" s="730" t="s">
        <v>740</v>
      </c>
      <c r="B18" s="731">
        <f>'[3]létszám ei mód 2024-2025eltérés'!I19</f>
        <v>15</v>
      </c>
      <c r="C18" s="732">
        <f>'[3]létszám ei mód 2024-2025eltérés'!J19</f>
        <v>15</v>
      </c>
      <c r="D18" s="731">
        <f>'[3]létszám ei mód 2024-2025eltérés'!P19</f>
        <v>1</v>
      </c>
      <c r="E18" s="732">
        <f>'[3]létszám ei mód 2024-2025eltérés'!Q19</f>
        <v>1</v>
      </c>
      <c r="F18" s="733">
        <f t="shared" si="0"/>
        <v>16</v>
      </c>
      <c r="G18" s="734">
        <f t="shared" si="0"/>
        <v>16</v>
      </c>
      <c r="I18" s="710"/>
    </row>
    <row r="19" spans="1:9" s="729" customFormat="1" ht="45.75" customHeight="1" x14ac:dyDescent="0.55000000000000004">
      <c r="A19" s="730" t="s">
        <v>741</v>
      </c>
      <c r="B19" s="731">
        <f>'[3]létszám ei mód 2024-2025eltérés'!I20</f>
        <v>13.5</v>
      </c>
      <c r="C19" s="732">
        <f>'[3]létszám ei mód 2024-2025eltérés'!J20</f>
        <v>13</v>
      </c>
      <c r="D19" s="731">
        <f>'[3]létszám ei mód 2024-2025eltérés'!P20</f>
        <v>1.5</v>
      </c>
      <c r="E19" s="732">
        <f>'[3]létszám ei mód 2024-2025eltérés'!Q20</f>
        <v>2</v>
      </c>
      <c r="F19" s="733">
        <f t="shared" si="0"/>
        <v>15</v>
      </c>
      <c r="G19" s="734">
        <f t="shared" si="0"/>
        <v>15</v>
      </c>
      <c r="I19" s="710"/>
    </row>
    <row r="20" spans="1:9" s="729" customFormat="1" ht="45.75" customHeight="1" x14ac:dyDescent="0.55000000000000004">
      <c r="A20" s="730" t="s">
        <v>742</v>
      </c>
      <c r="B20" s="731">
        <f>'[3]létszám ei mód 2024-2025eltérés'!I21</f>
        <v>19</v>
      </c>
      <c r="C20" s="732">
        <f>'[3]létszám ei mód 2024-2025eltérés'!J21</f>
        <v>19</v>
      </c>
      <c r="D20" s="731">
        <f>'[3]létszám ei mód 2024-2025eltérés'!P21</f>
        <v>1</v>
      </c>
      <c r="E20" s="732">
        <f>'[3]létszám ei mód 2024-2025eltérés'!Q21</f>
        <v>1</v>
      </c>
      <c r="F20" s="733">
        <f t="shared" si="0"/>
        <v>20</v>
      </c>
      <c r="G20" s="734">
        <f t="shared" si="0"/>
        <v>20</v>
      </c>
      <c r="I20" s="710"/>
    </row>
    <row r="21" spans="1:9" s="729" customFormat="1" ht="45.75" customHeight="1" x14ac:dyDescent="0.55000000000000004">
      <c r="A21" s="730" t="s">
        <v>743</v>
      </c>
      <c r="B21" s="731">
        <f>'[3]létszám ei mód 2024-2025eltérés'!I22</f>
        <v>20</v>
      </c>
      <c r="C21" s="732">
        <f>'[3]létszám ei mód 2024-2025eltérés'!J22</f>
        <v>20</v>
      </c>
      <c r="D21" s="731">
        <f>'[3]létszám ei mód 2024-2025eltérés'!P22</f>
        <v>1</v>
      </c>
      <c r="E21" s="732">
        <f>'[3]létszám ei mód 2024-2025eltérés'!Q22</f>
        <v>1</v>
      </c>
      <c r="F21" s="733">
        <f t="shared" si="0"/>
        <v>21</v>
      </c>
      <c r="G21" s="734">
        <f t="shared" si="0"/>
        <v>21</v>
      </c>
      <c r="I21" s="710"/>
    </row>
    <row r="22" spans="1:9" s="729" customFormat="1" ht="45.75" customHeight="1" x14ac:dyDescent="0.55000000000000004">
      <c r="A22" s="730" t="s">
        <v>744</v>
      </c>
      <c r="B22" s="731">
        <f>'[3]létszám ei mód 2024-2025eltérés'!I23</f>
        <v>31</v>
      </c>
      <c r="C22" s="732">
        <f>'[3]létszám ei mód 2024-2025eltérés'!J23</f>
        <v>31</v>
      </c>
      <c r="D22" s="731">
        <f>'[3]létszám ei mód 2024-2025eltérés'!P23</f>
        <v>1</v>
      </c>
      <c r="E22" s="732">
        <f>'[3]létszám ei mód 2024-2025eltérés'!Q23</f>
        <v>1</v>
      </c>
      <c r="F22" s="733">
        <f t="shared" si="0"/>
        <v>32</v>
      </c>
      <c r="G22" s="734">
        <f t="shared" si="0"/>
        <v>32</v>
      </c>
      <c r="I22" s="710"/>
    </row>
    <row r="23" spans="1:9" s="729" customFormat="1" ht="45.75" customHeight="1" x14ac:dyDescent="0.55000000000000004">
      <c r="A23" s="730" t="s">
        <v>745</v>
      </c>
      <c r="B23" s="731">
        <f>'[3]létszám ei mód 2024-2025eltérés'!I24</f>
        <v>23</v>
      </c>
      <c r="C23" s="732">
        <f>'[3]létszám ei mód 2024-2025eltérés'!J24</f>
        <v>23</v>
      </c>
      <c r="D23" s="731">
        <f>'[3]létszám ei mód 2024-2025eltérés'!P24</f>
        <v>1</v>
      </c>
      <c r="E23" s="732">
        <f>'[3]létszám ei mód 2024-2025eltérés'!Q24</f>
        <v>1</v>
      </c>
      <c r="F23" s="733">
        <f t="shared" si="0"/>
        <v>24</v>
      </c>
      <c r="G23" s="734">
        <f t="shared" si="0"/>
        <v>24</v>
      </c>
      <c r="I23" s="710"/>
    </row>
    <row r="24" spans="1:9" s="729" customFormat="1" ht="45.75" customHeight="1" x14ac:dyDescent="0.55000000000000004">
      <c r="A24" s="723" t="s">
        <v>746</v>
      </c>
      <c r="B24" s="731">
        <f>'[3]létszám ei mód 2024-2025eltérés'!I25</f>
        <v>17</v>
      </c>
      <c r="C24" s="732">
        <f>'[3]létszám ei mód 2024-2025eltérés'!J25</f>
        <v>17</v>
      </c>
      <c r="D24" s="731">
        <f>'[3]létszám ei mód 2024-2025eltérés'!P25</f>
        <v>1</v>
      </c>
      <c r="E24" s="732">
        <f>'[3]létszám ei mód 2024-2025eltérés'!Q25</f>
        <v>1</v>
      </c>
      <c r="F24" s="733">
        <f t="shared" si="0"/>
        <v>18</v>
      </c>
      <c r="G24" s="734">
        <f t="shared" si="0"/>
        <v>18</v>
      </c>
      <c r="I24" s="710"/>
    </row>
    <row r="25" spans="1:9" s="729" customFormat="1" ht="45.75" customHeight="1" thickBot="1" x14ac:dyDescent="0.6">
      <c r="A25" s="735" t="s">
        <v>747</v>
      </c>
      <c r="B25" s="724">
        <f>'[3]létszám ei mód 2024-2025eltérés'!I26</f>
        <v>11.5</v>
      </c>
      <c r="C25" s="725">
        <f>'[3]létszám ei mód 2024-2025eltérés'!J26</f>
        <v>12</v>
      </c>
      <c r="D25" s="726">
        <f>'[3]létszám ei mód 2024-2025eltérés'!P26</f>
        <v>1.5</v>
      </c>
      <c r="E25" s="725">
        <f>'[3]létszám ei mód 2024-2025eltérés'!Q26</f>
        <v>1</v>
      </c>
      <c r="F25" s="727">
        <f t="shared" si="0"/>
        <v>13</v>
      </c>
      <c r="G25" s="728">
        <f t="shared" si="0"/>
        <v>13</v>
      </c>
      <c r="I25" s="710"/>
    </row>
    <row r="26" spans="1:9" s="729" customFormat="1" ht="45.75" customHeight="1" thickBot="1" x14ac:dyDescent="0.6">
      <c r="A26" s="736" t="s">
        <v>779</v>
      </c>
      <c r="B26" s="737">
        <f t="shared" ref="B26:G26" si="1">SUM(B8:B25)</f>
        <v>399</v>
      </c>
      <c r="C26" s="738">
        <f t="shared" si="1"/>
        <v>399</v>
      </c>
      <c r="D26" s="737">
        <f t="shared" si="1"/>
        <v>19</v>
      </c>
      <c r="E26" s="738">
        <f t="shared" si="1"/>
        <v>19</v>
      </c>
      <c r="F26" s="737">
        <f t="shared" si="1"/>
        <v>418</v>
      </c>
      <c r="G26" s="738">
        <f t="shared" si="1"/>
        <v>418</v>
      </c>
      <c r="I26" s="710"/>
    </row>
    <row r="27" spans="1:9" s="729" customFormat="1" ht="44.25" customHeight="1" thickBot="1" x14ac:dyDescent="0.6">
      <c r="A27" s="739" t="s">
        <v>749</v>
      </c>
      <c r="B27" s="724">
        <f>'[3]létszám ei mód 2024-2025eltérés'!I28</f>
        <v>0</v>
      </c>
      <c r="C27" s="725">
        <f>'[3]létszám ei mód 2024-2025eltérés'!J28</f>
        <v>0</v>
      </c>
      <c r="D27" s="726">
        <f>'[3]létszám ei mód 2024-2025eltérés'!P28</f>
        <v>44</v>
      </c>
      <c r="E27" s="725">
        <f>'[3]létszám ei mód 2024-2025eltérés'!Q28</f>
        <v>44</v>
      </c>
      <c r="F27" s="727">
        <f>B27+D27</f>
        <v>44</v>
      </c>
      <c r="G27" s="728">
        <f>C27+E27</f>
        <v>44</v>
      </c>
      <c r="I27" s="710"/>
    </row>
    <row r="28" spans="1:9" s="729" customFormat="1" ht="42.75" customHeight="1" thickBot="1" x14ac:dyDescent="0.6">
      <c r="A28" s="736" t="s">
        <v>780</v>
      </c>
      <c r="B28" s="737">
        <f t="shared" ref="B28:G28" si="2">SUM(B26:B27)</f>
        <v>399</v>
      </c>
      <c r="C28" s="740">
        <f t="shared" si="2"/>
        <v>399</v>
      </c>
      <c r="D28" s="737">
        <f t="shared" si="2"/>
        <v>63</v>
      </c>
      <c r="E28" s="740">
        <f t="shared" si="2"/>
        <v>63</v>
      </c>
      <c r="F28" s="737">
        <f t="shared" si="2"/>
        <v>462</v>
      </c>
      <c r="G28" s="740">
        <f t="shared" si="2"/>
        <v>462</v>
      </c>
      <c r="I28" s="710"/>
    </row>
    <row r="29" spans="1:9" s="729" customFormat="1" ht="42.75" customHeight="1" thickBot="1" x14ac:dyDescent="0.6">
      <c r="A29" s="741" t="s">
        <v>751</v>
      </c>
      <c r="B29" s="727"/>
      <c r="C29" s="727"/>
      <c r="D29" s="727"/>
      <c r="E29" s="727"/>
      <c r="F29" s="727"/>
      <c r="G29" s="727"/>
      <c r="I29" s="710"/>
    </row>
    <row r="30" spans="1:9" s="729" customFormat="1" ht="45.75" customHeight="1" x14ac:dyDescent="0.55000000000000004">
      <c r="A30" s="741" t="s">
        <v>781</v>
      </c>
      <c r="B30" s="727"/>
      <c r="C30" s="727"/>
      <c r="D30" s="727"/>
      <c r="E30" s="727"/>
      <c r="F30" s="727"/>
      <c r="G30" s="727"/>
      <c r="I30" s="710"/>
    </row>
    <row r="31" spans="1:9" s="729" customFormat="1" ht="44.25" customHeight="1" x14ac:dyDescent="0.55000000000000004">
      <c r="A31" s="742" t="s">
        <v>102</v>
      </c>
      <c r="B31" s="726">
        <f>'[3]létszám ei mód 2024-2025eltérés'!I32</f>
        <v>18</v>
      </c>
      <c r="C31" s="725">
        <f>'[3]létszám ei mód 2024-2025eltérés'!J32</f>
        <v>18</v>
      </c>
      <c r="D31" s="726">
        <f>'[3]létszám ei mód 2024-2025eltérés'!P32</f>
        <v>1.75</v>
      </c>
      <c r="E31" s="725">
        <f>'[3]létszám ei mód 2024-2025eltérés'!Q32</f>
        <v>2</v>
      </c>
      <c r="F31" s="727">
        <f t="shared" ref="F31:G34" si="3">B31+D31</f>
        <v>19.75</v>
      </c>
      <c r="G31" s="728">
        <f t="shared" si="3"/>
        <v>20</v>
      </c>
      <c r="I31" s="710"/>
    </row>
    <row r="32" spans="1:9" s="729" customFormat="1" ht="44.25" customHeight="1" x14ac:dyDescent="0.55000000000000004">
      <c r="A32" s="730" t="s">
        <v>551</v>
      </c>
      <c r="B32" s="743">
        <f>'[3]létszám ei mód 2024-2025eltérés'!I33</f>
        <v>77</v>
      </c>
      <c r="C32" s="732">
        <f>'[3]létszám ei mód 2024-2025eltérés'!J33</f>
        <v>77</v>
      </c>
      <c r="D32" s="731">
        <f>'[3]létszám ei mód 2024-2025eltérés'!P33</f>
        <v>7.5</v>
      </c>
      <c r="E32" s="732">
        <f>'[3]létszám ei mód 2024-2025eltérés'!Q33</f>
        <v>7</v>
      </c>
      <c r="F32" s="733">
        <f t="shared" si="3"/>
        <v>84.5</v>
      </c>
      <c r="G32" s="734">
        <f t="shared" si="3"/>
        <v>84</v>
      </c>
      <c r="I32" s="710"/>
    </row>
    <row r="33" spans="1:9" s="729" customFormat="1" ht="44.25" customHeight="1" x14ac:dyDescent="0.55000000000000004">
      <c r="A33" s="730" t="s">
        <v>753</v>
      </c>
      <c r="B33" s="743">
        <f>'[3]létszám ei mód 2024-2025eltérés'!I34</f>
        <v>35</v>
      </c>
      <c r="C33" s="732">
        <f>'[3]létszám ei mód 2024-2025eltérés'!J34</f>
        <v>35</v>
      </c>
      <c r="D33" s="731">
        <f>'[3]létszám ei mód 2024-2025eltérés'!P34</f>
        <v>11</v>
      </c>
      <c r="E33" s="732">
        <f>'[3]létszám ei mód 2024-2025eltérés'!Q34</f>
        <v>11</v>
      </c>
      <c r="F33" s="733">
        <f t="shared" si="3"/>
        <v>46</v>
      </c>
      <c r="G33" s="734">
        <f t="shared" si="3"/>
        <v>46</v>
      </c>
      <c r="I33" s="710"/>
    </row>
    <row r="34" spans="1:9" s="729" customFormat="1" ht="44.25" customHeight="1" thickBot="1" x14ac:dyDescent="0.6">
      <c r="A34" s="744" t="s">
        <v>552</v>
      </c>
      <c r="B34" s="726">
        <f>'[3]létszám ei mód 2024-2025eltérés'!I35</f>
        <v>66.5</v>
      </c>
      <c r="C34" s="725">
        <f>'[3]létszám ei mód 2024-2025eltérés'!J35</f>
        <v>67</v>
      </c>
      <c r="D34" s="726">
        <f>'[3]létszám ei mód 2024-2025eltérés'!P35</f>
        <v>34.25</v>
      </c>
      <c r="E34" s="725">
        <f>'[3]létszám ei mód 2024-2025eltérés'!Q35</f>
        <v>34</v>
      </c>
      <c r="F34" s="727">
        <f t="shared" si="3"/>
        <v>100.75</v>
      </c>
      <c r="G34" s="728">
        <f t="shared" si="3"/>
        <v>101</v>
      </c>
      <c r="I34" s="710"/>
    </row>
    <row r="35" spans="1:9" s="729" customFormat="1" ht="44.25" customHeight="1" thickBot="1" x14ac:dyDescent="0.6">
      <c r="A35" s="736" t="s">
        <v>782</v>
      </c>
      <c r="B35" s="745">
        <f t="shared" ref="B35:G35" si="4">SUM(B31:B34)</f>
        <v>196.5</v>
      </c>
      <c r="C35" s="740">
        <f t="shared" si="4"/>
        <v>197</v>
      </c>
      <c r="D35" s="745">
        <f t="shared" si="4"/>
        <v>54.5</v>
      </c>
      <c r="E35" s="740">
        <f t="shared" si="4"/>
        <v>54</v>
      </c>
      <c r="F35" s="745">
        <f t="shared" si="4"/>
        <v>251</v>
      </c>
      <c r="G35" s="740">
        <f t="shared" si="4"/>
        <v>251</v>
      </c>
      <c r="I35" s="710"/>
    </row>
    <row r="36" spans="1:9" s="729" customFormat="1" ht="45.75" customHeight="1" x14ac:dyDescent="0.55000000000000004">
      <c r="A36" s="741" t="s">
        <v>755</v>
      </c>
      <c r="B36" s="746"/>
      <c r="C36" s="746"/>
      <c r="D36" s="746"/>
      <c r="E36" s="746"/>
      <c r="F36" s="746"/>
      <c r="G36" s="746"/>
      <c r="I36" s="710"/>
    </row>
    <row r="37" spans="1:9" s="729" customFormat="1" ht="69" thickBot="1" x14ac:dyDescent="0.6">
      <c r="A37" s="742" t="s">
        <v>581</v>
      </c>
      <c r="B37" s="724">
        <f>'[3]létszám ei mód 2024-2025eltérés'!I38</f>
        <v>161.25</v>
      </c>
      <c r="C37" s="725">
        <f>'[3]létszám ei mód 2024-2025eltérés'!J38</f>
        <v>161</v>
      </c>
      <c r="D37" s="726">
        <f>'[3]létszám ei mód 2024-2025eltérés'!P38</f>
        <v>21.5</v>
      </c>
      <c r="E37" s="725">
        <f>'[3]létszám ei mód 2024-2025eltérés'!Q38</f>
        <v>22</v>
      </c>
      <c r="F37" s="727">
        <f>B37+D37</f>
        <v>182.75</v>
      </c>
      <c r="G37" s="728">
        <f>C37+E37</f>
        <v>183</v>
      </c>
      <c r="I37" s="710"/>
    </row>
    <row r="38" spans="1:9" s="729" customFormat="1" ht="44.25" customHeight="1" x14ac:dyDescent="0.55000000000000004">
      <c r="A38" s="741" t="s">
        <v>757</v>
      </c>
      <c r="B38" s="746"/>
      <c r="C38" s="746"/>
      <c r="D38" s="746"/>
      <c r="E38" s="746"/>
      <c r="F38" s="746"/>
      <c r="G38" s="746"/>
      <c r="I38" s="710"/>
    </row>
    <row r="39" spans="1:9" s="729" customFormat="1" ht="45.75" customHeight="1" thickBot="1" x14ac:dyDescent="0.6">
      <c r="A39" s="747" t="s">
        <v>783</v>
      </c>
      <c r="B39" s="724">
        <f>'[3]létszám ei mód 2024-2025eltérés'!I40</f>
        <v>45</v>
      </c>
      <c r="C39" s="725">
        <f>'[3]létszám ei mód 2024-2025eltérés'!J40</f>
        <v>45</v>
      </c>
      <c r="D39" s="726">
        <f>'[3]létszám ei mód 2024-2025eltérés'!P40</f>
        <v>27</v>
      </c>
      <c r="E39" s="725">
        <f>'[3]létszám ei mód 2024-2025eltérés'!Q40</f>
        <v>27</v>
      </c>
      <c r="F39" s="727">
        <f>B39+D39</f>
        <v>72</v>
      </c>
      <c r="G39" s="728">
        <f>C39+E39</f>
        <v>72</v>
      </c>
      <c r="I39" s="710"/>
    </row>
    <row r="40" spans="1:9" s="729" customFormat="1" ht="45" customHeight="1" x14ac:dyDescent="0.55000000000000004">
      <c r="A40" s="741" t="s">
        <v>759</v>
      </c>
      <c r="B40" s="746"/>
      <c r="C40" s="746"/>
      <c r="D40" s="746"/>
      <c r="E40" s="746"/>
      <c r="F40" s="746"/>
      <c r="G40" s="746"/>
      <c r="I40" s="710"/>
    </row>
    <row r="41" spans="1:9" s="729" customFormat="1" ht="44.25" customHeight="1" thickBot="1" x14ac:dyDescent="0.6">
      <c r="A41" s="747" t="s">
        <v>582</v>
      </c>
      <c r="B41" s="724">
        <f>'[3]létszám ei mód 2024-2025eltérés'!I42</f>
        <v>155.01</v>
      </c>
      <c r="C41" s="725">
        <f>'[3]létszám ei mód 2024-2025eltérés'!J42</f>
        <v>155</v>
      </c>
      <c r="D41" s="726">
        <f>'[3]létszám ei mód 2024-2025eltérés'!P42</f>
        <v>46.74499999999999</v>
      </c>
      <c r="E41" s="725">
        <f>'[3]létszám ei mód 2024-2025eltérés'!Q42</f>
        <v>47</v>
      </c>
      <c r="F41" s="727">
        <f>B41+D41</f>
        <v>201.755</v>
      </c>
      <c r="G41" s="728">
        <f>C41+E41</f>
        <v>202</v>
      </c>
      <c r="I41" s="710"/>
    </row>
    <row r="42" spans="1:9" s="729" customFormat="1" ht="45.75" customHeight="1" x14ac:dyDescent="0.55000000000000004">
      <c r="A42" s="741" t="s">
        <v>760</v>
      </c>
      <c r="B42" s="746"/>
      <c r="C42" s="746"/>
      <c r="D42" s="746"/>
      <c r="E42" s="746"/>
      <c r="F42" s="746"/>
      <c r="G42" s="746"/>
      <c r="I42" s="710"/>
    </row>
    <row r="43" spans="1:9" s="729" customFormat="1" ht="44.25" customHeight="1" x14ac:dyDescent="0.55000000000000004">
      <c r="A43" s="747" t="s">
        <v>761</v>
      </c>
      <c r="B43" s="724">
        <f>'[3]létszám ei mód 2024-2025eltérés'!I44</f>
        <v>1</v>
      </c>
      <c r="C43" s="725">
        <f>'[3]létszám ei mód 2024-2025eltérés'!J44</f>
        <v>1</v>
      </c>
      <c r="D43" s="748">
        <f>'[3]létszám ei mód 2024-2025eltérés'!P44</f>
        <v>13.5</v>
      </c>
      <c r="E43" s="749">
        <f>'[3]létszám ei mód 2024-2025eltérés'!Q44</f>
        <v>13</v>
      </c>
      <c r="F43" s="750">
        <f>B43+D43</f>
        <v>14.5</v>
      </c>
      <c r="G43" s="751">
        <f>C43+E43</f>
        <v>14</v>
      </c>
      <c r="I43" s="710"/>
    </row>
    <row r="44" spans="1:9" s="729" customFormat="1" ht="45" customHeight="1" thickBot="1" x14ac:dyDescent="0.6">
      <c r="A44" s="752" t="s">
        <v>784</v>
      </c>
      <c r="B44" s="731">
        <f>'[3]létszám ei mód 2024-2025eltérés'!I45</f>
        <v>301.5</v>
      </c>
      <c r="C44" s="732">
        <f>'[3]létszám ei mód 2024-2025eltérés'!J45</f>
        <v>302</v>
      </c>
      <c r="D44" s="743">
        <f>'[3]létszám ei mód 2024-2025eltérés'!P45</f>
        <v>0</v>
      </c>
      <c r="E44" s="732">
        <f>'[3]létszám ei mód 2024-2025eltérés'!Q45</f>
        <v>0</v>
      </c>
      <c r="F44" s="753">
        <f>B44+D44</f>
        <v>301.5</v>
      </c>
      <c r="G44" s="734">
        <f>C44+E44</f>
        <v>302</v>
      </c>
      <c r="I44" s="710"/>
    </row>
    <row r="45" spans="1:9" s="729" customFormat="1" ht="44.25" customHeight="1" thickBot="1" x14ac:dyDescent="0.6">
      <c r="A45" s="736" t="s">
        <v>782</v>
      </c>
      <c r="B45" s="754">
        <f t="shared" ref="B45:G45" si="5">SUM(B43:B44)</f>
        <v>302.5</v>
      </c>
      <c r="C45" s="755">
        <f t="shared" si="5"/>
        <v>303</v>
      </c>
      <c r="D45" s="754">
        <f t="shared" si="5"/>
        <v>13.5</v>
      </c>
      <c r="E45" s="755">
        <f t="shared" si="5"/>
        <v>13</v>
      </c>
      <c r="F45" s="754">
        <f t="shared" si="5"/>
        <v>316</v>
      </c>
      <c r="G45" s="755">
        <f t="shared" si="5"/>
        <v>316</v>
      </c>
      <c r="I45" s="710"/>
    </row>
    <row r="46" spans="1:9" s="729" customFormat="1" ht="44.25" customHeight="1" thickBot="1" x14ac:dyDescent="0.6">
      <c r="A46" s="756" t="s">
        <v>763</v>
      </c>
      <c r="B46" s="754">
        <f t="shared" ref="B46:G46" si="6">B35+B37+B39+B41+B45</f>
        <v>860.26</v>
      </c>
      <c r="C46" s="755">
        <f t="shared" si="6"/>
        <v>861</v>
      </c>
      <c r="D46" s="754">
        <f t="shared" si="6"/>
        <v>163.245</v>
      </c>
      <c r="E46" s="755">
        <f t="shared" si="6"/>
        <v>163</v>
      </c>
      <c r="F46" s="754">
        <f t="shared" si="6"/>
        <v>1023.505</v>
      </c>
      <c r="G46" s="755">
        <f t="shared" si="6"/>
        <v>1024</v>
      </c>
      <c r="I46" s="710"/>
    </row>
    <row r="47" spans="1:9" s="729" customFormat="1" ht="44.25" customHeight="1" thickBot="1" x14ac:dyDescent="0.6">
      <c r="A47" s="757" t="s">
        <v>764</v>
      </c>
      <c r="B47" s="754">
        <f t="shared" ref="B47:G47" si="7">B28+B46</f>
        <v>1259.26</v>
      </c>
      <c r="C47" s="755">
        <f t="shared" si="7"/>
        <v>1260</v>
      </c>
      <c r="D47" s="754">
        <f t="shared" si="7"/>
        <v>226.245</v>
      </c>
      <c r="E47" s="755">
        <f t="shared" si="7"/>
        <v>226</v>
      </c>
      <c r="F47" s="754">
        <f t="shared" si="7"/>
        <v>1485.5050000000001</v>
      </c>
      <c r="G47" s="755">
        <f t="shared" si="7"/>
        <v>1486</v>
      </c>
      <c r="I47" s="710"/>
    </row>
    <row r="48" spans="1:9" s="729" customFormat="1" ht="44.25" customHeight="1" x14ac:dyDescent="0.5">
      <c r="A48" s="758"/>
      <c r="B48" s="759"/>
      <c r="C48" s="760"/>
      <c r="D48" s="759"/>
      <c r="E48" s="760"/>
      <c r="F48" s="759"/>
      <c r="G48" s="760"/>
      <c r="I48" s="710"/>
    </row>
    <row r="49" spans="1:22" s="729" customFormat="1" ht="35.25" x14ac:dyDescent="0.5">
      <c r="A49" s="765"/>
      <c r="B49" s="763"/>
      <c r="C49" s="764"/>
      <c r="D49" s="764"/>
      <c r="E49" s="766"/>
      <c r="F49" s="766"/>
      <c r="G49" s="766"/>
      <c r="H49" s="766"/>
      <c r="I49" s="767"/>
      <c r="V49" s="761"/>
    </row>
    <row r="50" spans="1:22" s="729" customFormat="1" ht="35.25" x14ac:dyDescent="0.5">
      <c r="A50" s="762"/>
      <c r="B50" s="763"/>
      <c r="C50" s="763"/>
      <c r="D50" s="764"/>
      <c r="E50" s="766"/>
      <c r="F50" s="766"/>
      <c r="G50" s="766"/>
      <c r="H50" s="766"/>
      <c r="I50" s="767"/>
      <c r="V50" s="761"/>
    </row>
    <row r="51" spans="1:22" s="729" customFormat="1" ht="35.25" x14ac:dyDescent="0.5">
      <c r="A51" s="762"/>
      <c r="B51" s="763"/>
      <c r="C51" s="763"/>
      <c r="D51" s="764"/>
      <c r="E51" s="766"/>
      <c r="F51" s="766"/>
      <c r="G51" s="766"/>
      <c r="H51" s="766"/>
      <c r="I51" s="766"/>
      <c r="V51" s="761"/>
    </row>
    <row r="52" spans="1:22" s="729" customFormat="1" ht="35.25" x14ac:dyDescent="0.5">
      <c r="A52" s="764"/>
      <c r="B52" s="763"/>
      <c r="C52" s="764"/>
      <c r="D52" s="764"/>
      <c r="E52" s="766"/>
      <c r="F52" s="766"/>
      <c r="G52" s="766"/>
      <c r="H52" s="766"/>
      <c r="I52" s="767"/>
      <c r="V52" s="761"/>
    </row>
  </sheetData>
  <mergeCells count="8">
    <mergeCell ref="B5:C5"/>
    <mergeCell ref="D5:E5"/>
    <mergeCell ref="F5:G5"/>
    <mergeCell ref="A1:G1"/>
    <mergeCell ref="A2:G2"/>
    <mergeCell ref="B3:E3"/>
    <mergeCell ref="B4:E4"/>
    <mergeCell ref="F4:G4"/>
  </mergeCells>
  <printOptions horizontalCentered="1" verticalCentered="1"/>
  <pageMargins left="0.39370078740157483" right="0" top="0" bottom="0" header="0.59055118110236227" footer="0"/>
  <pageSetup paperSize="9" scale="26" orientation="portrait" r:id="rId1"/>
  <headerFooter alignWithMargins="0">
    <oddHeader xml:space="preserve">&amp;R&amp;"-,Félkövér"&amp;26 7.  melléklet a 4/2025.(II.28.)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/>
  <dimension ref="A1:J38"/>
  <sheetViews>
    <sheetView zoomScale="91" zoomScaleNormal="91" zoomScaleSheetLayoutView="62" workbookViewId="0">
      <selection activeCell="B9" sqref="B9"/>
    </sheetView>
  </sheetViews>
  <sheetFormatPr defaultRowHeight="15" customHeight="1" x14ac:dyDescent="0.25"/>
  <cols>
    <col min="1" max="1" width="108.33203125" style="47" bestFit="1" customWidth="1"/>
    <col min="2" max="2" width="28.33203125" style="47" bestFit="1" customWidth="1"/>
    <col min="3" max="3" width="34.33203125" style="47" bestFit="1" customWidth="1"/>
    <col min="4" max="4" width="31" style="48" customWidth="1"/>
    <col min="5" max="5" width="10.6640625" style="47" bestFit="1" customWidth="1"/>
    <col min="6" max="16384" width="9.33203125" style="47"/>
  </cols>
  <sheetData>
    <row r="1" spans="1:10" ht="15" customHeight="1" x14ac:dyDescent="0.25">
      <c r="A1" s="45"/>
      <c r="B1" s="45"/>
      <c r="C1" s="45"/>
      <c r="D1" s="46"/>
    </row>
    <row r="2" spans="1:10" ht="15" customHeight="1" x14ac:dyDescent="0.25">
      <c r="A2" s="953" t="s">
        <v>55</v>
      </c>
      <c r="B2" s="953"/>
      <c r="C2" s="953"/>
      <c r="D2" s="953"/>
      <c r="E2" s="48"/>
      <c r="F2" s="48"/>
      <c r="G2" s="48"/>
      <c r="H2" s="48"/>
      <c r="I2" s="48"/>
      <c r="J2" s="48"/>
    </row>
    <row r="3" spans="1:10" ht="15" customHeight="1" x14ac:dyDescent="0.25">
      <c r="A3" s="45"/>
      <c r="B3" s="45"/>
      <c r="C3" s="45"/>
      <c r="D3" s="46"/>
      <c r="E3" s="48"/>
      <c r="F3" s="48"/>
      <c r="G3" s="48"/>
      <c r="H3" s="48"/>
      <c r="I3" s="48"/>
      <c r="J3" s="48"/>
    </row>
    <row r="4" spans="1:10" ht="19.5" thickBot="1" x14ac:dyDescent="0.35">
      <c r="A4" s="6" t="s">
        <v>38</v>
      </c>
      <c r="B4" s="6"/>
      <c r="C4" s="6"/>
      <c r="D4" s="127" t="s">
        <v>216</v>
      </c>
      <c r="E4" s="48"/>
      <c r="F4" s="48"/>
      <c r="G4" s="48"/>
      <c r="H4" s="48"/>
      <c r="I4" s="48"/>
      <c r="J4" s="48"/>
    </row>
    <row r="5" spans="1:10" ht="20.100000000000001" customHeight="1" x14ac:dyDescent="0.25">
      <c r="A5" s="128" t="s">
        <v>167</v>
      </c>
      <c r="B5" s="16" t="s">
        <v>437</v>
      </c>
      <c r="C5" s="16" t="s">
        <v>686</v>
      </c>
      <c r="D5" s="16" t="s">
        <v>476</v>
      </c>
      <c r="E5" s="48"/>
      <c r="F5" s="48"/>
      <c r="G5" s="48"/>
      <c r="H5" s="48"/>
      <c r="I5" s="48"/>
      <c r="J5" s="48"/>
    </row>
    <row r="6" spans="1:10" ht="16.5" thickBot="1" x14ac:dyDescent="0.3">
      <c r="A6" s="129"/>
      <c r="B6" s="58" t="s">
        <v>353</v>
      </c>
      <c r="C6" s="58" t="s">
        <v>368</v>
      </c>
      <c r="D6" s="58" t="s">
        <v>353</v>
      </c>
      <c r="E6" s="48"/>
      <c r="F6" s="48"/>
      <c r="G6" s="48"/>
      <c r="H6" s="48"/>
      <c r="I6" s="48"/>
      <c r="J6" s="48"/>
    </row>
    <row r="7" spans="1:10" ht="21" x14ac:dyDescent="0.35">
      <c r="A7" s="130" t="s">
        <v>192</v>
      </c>
      <c r="B7" s="131">
        <f>2686949-24000+301000+18755</f>
        <v>2982704</v>
      </c>
      <c r="C7" s="131">
        <v>3095527</v>
      </c>
      <c r="D7" s="131">
        <f>2686949-24000+301000+18755+4390-41797+74732+375613+63941+70618+10699</f>
        <v>3540900</v>
      </c>
      <c r="E7" s="48"/>
      <c r="F7" s="48"/>
      <c r="G7" s="48"/>
      <c r="H7" s="48"/>
      <c r="I7" s="48"/>
      <c r="J7" s="48"/>
    </row>
    <row r="8" spans="1:10" ht="21.75" thickBot="1" x14ac:dyDescent="0.4">
      <c r="A8" s="146" t="s">
        <v>84</v>
      </c>
      <c r="B8" s="577">
        <f>2256696-1000+22617+6092</f>
        <v>2284405</v>
      </c>
      <c r="C8" s="577">
        <v>2318044</v>
      </c>
      <c r="D8" s="577">
        <f>2256696-1000+22617+6092-56602+12045+196000+59421</f>
        <v>2495269</v>
      </c>
      <c r="E8" s="48"/>
      <c r="F8" s="48"/>
      <c r="G8" s="48"/>
      <c r="H8" s="48"/>
      <c r="I8" s="48"/>
      <c r="J8" s="48"/>
    </row>
    <row r="9" spans="1:10" ht="21.75" thickBot="1" x14ac:dyDescent="0.4">
      <c r="A9" s="170" t="s">
        <v>206</v>
      </c>
      <c r="B9" s="521">
        <f>SUM(B7:B8)</f>
        <v>5267109</v>
      </c>
      <c r="C9" s="521">
        <f t="shared" ref="C9:D9" si="0">SUM(C7:C8)</f>
        <v>5413571</v>
      </c>
      <c r="D9" s="521">
        <f t="shared" si="0"/>
        <v>6036169</v>
      </c>
      <c r="E9" s="48"/>
      <c r="F9" s="48"/>
      <c r="G9" s="48"/>
      <c r="H9" s="48"/>
      <c r="I9" s="48"/>
      <c r="J9" s="48"/>
    </row>
    <row r="10" spans="1:10" ht="21" x14ac:dyDescent="0.35">
      <c r="A10" s="130" t="s">
        <v>363</v>
      </c>
      <c r="B10" s="131">
        <v>30000</v>
      </c>
      <c r="C10" s="133">
        <v>1894</v>
      </c>
      <c r="D10" s="131">
        <f>30000-30000</f>
        <v>0</v>
      </c>
      <c r="E10" s="48"/>
      <c r="F10" s="48"/>
      <c r="G10" s="48"/>
      <c r="H10" s="48"/>
      <c r="I10" s="48"/>
      <c r="J10" s="48"/>
    </row>
    <row r="11" spans="1:10" ht="21" x14ac:dyDescent="0.35">
      <c r="A11" s="134" t="s">
        <v>473</v>
      </c>
      <c r="B11" s="20">
        <f>7034+166</f>
        <v>7200</v>
      </c>
      <c r="C11" s="20">
        <v>14352</v>
      </c>
      <c r="D11" s="20">
        <f>7034+166-7200</f>
        <v>0</v>
      </c>
      <c r="E11" s="48"/>
      <c r="F11" s="48"/>
      <c r="G11" s="48"/>
      <c r="H11" s="48"/>
      <c r="I11" s="48"/>
      <c r="J11" s="48"/>
    </row>
    <row r="12" spans="1:10" ht="21" x14ac:dyDescent="0.35">
      <c r="A12" s="134" t="s">
        <v>350</v>
      </c>
      <c r="B12" s="20">
        <v>800</v>
      </c>
      <c r="C12" s="20">
        <v>0</v>
      </c>
      <c r="D12" s="20">
        <v>800</v>
      </c>
      <c r="E12" s="48"/>
      <c r="F12" s="48"/>
      <c r="G12" s="48"/>
      <c r="H12" s="48"/>
      <c r="I12" s="48"/>
      <c r="J12" s="48"/>
    </row>
    <row r="13" spans="1:10" ht="21" x14ac:dyDescent="0.35">
      <c r="A13" s="130" t="s">
        <v>284</v>
      </c>
      <c r="B13" s="131">
        <v>4000</v>
      </c>
      <c r="C13" s="131">
        <v>4000</v>
      </c>
      <c r="D13" s="131">
        <f>4000-4000</f>
        <v>0</v>
      </c>
      <c r="E13" s="48"/>
      <c r="F13" s="48"/>
      <c r="G13" s="48"/>
      <c r="H13" s="48"/>
      <c r="I13" s="48"/>
      <c r="J13" s="48"/>
    </row>
    <row r="14" spans="1:10" ht="21" x14ac:dyDescent="0.35">
      <c r="A14" s="135" t="s">
        <v>116</v>
      </c>
      <c r="B14" s="20">
        <f>400+100</f>
        <v>500</v>
      </c>
      <c r="C14" s="20">
        <v>500</v>
      </c>
      <c r="D14" s="20">
        <f>400+100</f>
        <v>500</v>
      </c>
      <c r="E14" s="48"/>
      <c r="F14" s="48"/>
      <c r="G14" s="48"/>
      <c r="H14" s="48"/>
      <c r="I14" s="48"/>
      <c r="J14" s="48"/>
    </row>
    <row r="15" spans="1:10" ht="39" customHeight="1" x14ac:dyDescent="0.35">
      <c r="A15" s="134" t="s">
        <v>483</v>
      </c>
      <c r="B15" s="20">
        <f>1500+300</f>
        <v>1800</v>
      </c>
      <c r="C15" s="20">
        <v>1800</v>
      </c>
      <c r="D15" s="20">
        <f>1500+300</f>
        <v>1800</v>
      </c>
      <c r="E15" s="48"/>
      <c r="F15" s="48"/>
      <c r="G15" s="48"/>
      <c r="H15" s="48"/>
      <c r="I15" s="48"/>
      <c r="J15" s="48"/>
    </row>
    <row r="16" spans="1:10" ht="21" x14ac:dyDescent="0.35">
      <c r="A16" s="130" t="s">
        <v>117</v>
      </c>
      <c r="B16" s="131">
        <f>4000+4000+2000</f>
        <v>10000</v>
      </c>
      <c r="C16" s="131">
        <v>0</v>
      </c>
      <c r="D16" s="131">
        <f>4000+4000+2000</f>
        <v>10000</v>
      </c>
      <c r="E16" s="48"/>
      <c r="F16" s="48"/>
      <c r="G16" s="48"/>
      <c r="H16" s="48"/>
      <c r="I16" s="48"/>
      <c r="J16" s="48"/>
    </row>
    <row r="17" spans="1:4" ht="21" x14ac:dyDescent="0.35">
      <c r="A17" s="135" t="s">
        <v>505</v>
      </c>
      <c r="B17" s="20">
        <v>6000</v>
      </c>
      <c r="C17" s="20">
        <v>6569</v>
      </c>
      <c r="D17" s="20">
        <f>6000-6000+6000</f>
        <v>6000</v>
      </c>
    </row>
    <row r="18" spans="1:4" ht="21" x14ac:dyDescent="0.35">
      <c r="A18" s="135" t="s">
        <v>433</v>
      </c>
      <c r="B18" s="20">
        <v>4842</v>
      </c>
      <c r="C18" s="20">
        <v>4842</v>
      </c>
      <c r="D18" s="20">
        <v>4842</v>
      </c>
    </row>
    <row r="19" spans="1:4" ht="21" x14ac:dyDescent="0.35">
      <c r="A19" s="135" t="s">
        <v>140</v>
      </c>
      <c r="B19" s="20">
        <v>1250</v>
      </c>
      <c r="C19" s="20">
        <v>1250</v>
      </c>
      <c r="D19" s="20">
        <v>1250</v>
      </c>
    </row>
    <row r="20" spans="1:4" ht="21" x14ac:dyDescent="0.35">
      <c r="A20" s="135" t="s">
        <v>74</v>
      </c>
      <c r="B20" s="20">
        <f>9350-7100+750</f>
        <v>3000</v>
      </c>
      <c r="C20" s="20">
        <v>3000</v>
      </c>
      <c r="D20" s="20">
        <f>9350-7100+750</f>
        <v>3000</v>
      </c>
    </row>
    <row r="21" spans="1:4" ht="21" x14ac:dyDescent="0.35">
      <c r="A21" s="135" t="s">
        <v>58</v>
      </c>
      <c r="B21" s="20">
        <v>300</v>
      </c>
      <c r="C21" s="20">
        <v>300</v>
      </c>
      <c r="D21" s="20">
        <v>300</v>
      </c>
    </row>
    <row r="22" spans="1:4" ht="21" x14ac:dyDescent="0.35">
      <c r="A22" s="135" t="s">
        <v>417</v>
      </c>
      <c r="B22" s="20">
        <f>1000+500</f>
        <v>1500</v>
      </c>
      <c r="C22" s="20">
        <v>1400</v>
      </c>
      <c r="D22" s="20">
        <f>1000+500</f>
        <v>1500</v>
      </c>
    </row>
    <row r="23" spans="1:4" ht="44.25" customHeight="1" x14ac:dyDescent="0.35">
      <c r="A23" s="137" t="s">
        <v>520</v>
      </c>
      <c r="B23" s="20">
        <f>2050+2950</f>
        <v>5000</v>
      </c>
      <c r="C23" s="20">
        <v>0</v>
      </c>
      <c r="D23" s="20">
        <f>2050+2950-5000</f>
        <v>0</v>
      </c>
    </row>
    <row r="24" spans="1:4" ht="32.25" customHeight="1" x14ac:dyDescent="0.35">
      <c r="A24" s="138" t="s">
        <v>351</v>
      </c>
      <c r="B24" s="20">
        <f>1000+700</f>
        <v>1700</v>
      </c>
      <c r="C24" s="20">
        <v>1750</v>
      </c>
      <c r="D24" s="20">
        <f>1000+700-700</f>
        <v>1000</v>
      </c>
    </row>
    <row r="25" spans="1:4" ht="21" x14ac:dyDescent="0.35">
      <c r="A25" s="139" t="s">
        <v>458</v>
      </c>
      <c r="B25" s="20">
        <v>6900</v>
      </c>
      <c r="C25" s="20">
        <v>3663</v>
      </c>
      <c r="D25" s="23">
        <f>6900-4000</f>
        <v>2900</v>
      </c>
    </row>
    <row r="26" spans="1:4" ht="21.75" thickBot="1" x14ac:dyDescent="0.4">
      <c r="A26" s="140" t="s">
        <v>44</v>
      </c>
      <c r="B26" s="141">
        <f>SUM(B10:B25)</f>
        <v>84792</v>
      </c>
      <c r="C26" s="141">
        <f>SUM(C10:C25)</f>
        <v>45320</v>
      </c>
      <c r="D26" s="142">
        <f>SUM(D10:D25)</f>
        <v>33892</v>
      </c>
    </row>
    <row r="27" spans="1:4" ht="21.75" thickBot="1" x14ac:dyDescent="0.4">
      <c r="A27" s="140" t="s">
        <v>288</v>
      </c>
      <c r="B27" s="141">
        <f>+B26+B9</f>
        <v>5351901</v>
      </c>
      <c r="C27" s="141">
        <f>+C26+C9</f>
        <v>5458891</v>
      </c>
      <c r="D27" s="142">
        <f>+D26+D9</f>
        <v>6070061</v>
      </c>
    </row>
    <row r="28" spans="1:4" s="51" customFormat="1" ht="15.75" x14ac:dyDescent="0.25">
      <c r="D28" s="143"/>
    </row>
    <row r="29" spans="1:4" s="51" customFormat="1" ht="19.5" thickBot="1" x14ac:dyDescent="0.35">
      <c r="A29" s="6" t="s">
        <v>83</v>
      </c>
      <c r="B29" s="6"/>
      <c r="C29" s="6"/>
      <c r="D29" s="28"/>
    </row>
    <row r="30" spans="1:4" s="51" customFormat="1" ht="15.75" x14ac:dyDescent="0.25">
      <c r="A30" s="144" t="s">
        <v>167</v>
      </c>
      <c r="B30" s="16" t="s">
        <v>437</v>
      </c>
      <c r="C30" s="16" t="s">
        <v>686</v>
      </c>
      <c r="D30" s="16" t="s">
        <v>476</v>
      </c>
    </row>
    <row r="31" spans="1:4" s="51" customFormat="1" ht="16.5" thickBot="1" x14ac:dyDescent="0.3">
      <c r="A31" s="145"/>
      <c r="B31" s="17" t="s">
        <v>353</v>
      </c>
      <c r="C31" s="17" t="s">
        <v>368</v>
      </c>
      <c r="D31" s="17" t="s">
        <v>353</v>
      </c>
    </row>
    <row r="32" spans="1:4" s="51" customFormat="1" ht="21" x14ac:dyDescent="0.35">
      <c r="A32" s="208" t="s">
        <v>192</v>
      </c>
      <c r="B32" s="133"/>
      <c r="C32" s="133">
        <v>45706</v>
      </c>
      <c r="D32" s="133"/>
    </row>
    <row r="33" spans="1:4" s="51" customFormat="1" ht="21" x14ac:dyDescent="0.35">
      <c r="A33" s="146" t="s">
        <v>84</v>
      </c>
      <c r="B33" s="147"/>
      <c r="C33" s="131">
        <v>94868</v>
      </c>
      <c r="D33" s="147"/>
    </row>
    <row r="34" spans="1:4" s="51" customFormat="1" ht="21.75" thickBot="1" x14ac:dyDescent="0.4">
      <c r="A34" s="132" t="s">
        <v>289</v>
      </c>
      <c r="B34" s="148">
        <f>SUM(B32:B33)</f>
        <v>0</v>
      </c>
      <c r="C34" s="148">
        <f>SUM(C32:C33)</f>
        <v>140574</v>
      </c>
      <c r="D34" s="37">
        <f>SUM(D32:D33)</f>
        <v>0</v>
      </c>
    </row>
    <row r="35" spans="1:4" s="51" customFormat="1" ht="21.75" thickBot="1" x14ac:dyDescent="0.4">
      <c r="B35" s="149"/>
      <c r="C35" s="149"/>
      <c r="D35" s="42"/>
    </row>
    <row r="36" spans="1:4" s="51" customFormat="1" ht="21.75" thickBot="1" x14ac:dyDescent="0.4">
      <c r="A36" s="119" t="s">
        <v>290</v>
      </c>
      <c r="B36" s="38">
        <f>+B34+B26+B9</f>
        <v>5351901</v>
      </c>
      <c r="C36" s="38">
        <f>+C34+C26+C9</f>
        <v>5599465</v>
      </c>
      <c r="D36" s="38">
        <f>+D34+D26+D9</f>
        <v>6070061</v>
      </c>
    </row>
    <row r="38" spans="1:4" ht="15" customHeight="1" x14ac:dyDescent="0.25">
      <c r="A38" s="51" t="s">
        <v>76</v>
      </c>
      <c r="B38" s="51"/>
      <c r="C38" s="51"/>
      <c r="D38" s="218"/>
    </row>
  </sheetData>
  <customSheetViews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61" orientation="portrait" r:id="rId3"/>
  <headerFooter alignWithMargins="0">
    <oddHeader xml:space="preserve">&amp;R&amp;"-,Félkövér"&amp;12 
8. melléklet a 4/2025. (II.28.) önkormányzati rendelethez&amp;"Times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/>
  <dimension ref="A1:D78"/>
  <sheetViews>
    <sheetView zoomScale="110" zoomScaleNormal="110" workbookViewId="0">
      <selection activeCell="B9" sqref="B9"/>
    </sheetView>
  </sheetViews>
  <sheetFormatPr defaultRowHeight="21" customHeight="1" x14ac:dyDescent="0.25"/>
  <cols>
    <col min="1" max="1" width="121" style="47" customWidth="1"/>
    <col min="2" max="2" width="29.5" style="48" customWidth="1"/>
    <col min="3" max="3" width="34.6640625" style="48" bestFit="1" customWidth="1"/>
    <col min="4" max="4" width="29.5" style="48" bestFit="1" customWidth="1"/>
    <col min="5" max="16384" width="9.33203125" style="47"/>
  </cols>
  <sheetData>
    <row r="1" spans="1:4" ht="21" customHeight="1" x14ac:dyDescent="0.25">
      <c r="A1" s="45"/>
      <c r="B1" s="46"/>
      <c r="C1" s="46"/>
      <c r="D1" s="46"/>
    </row>
    <row r="2" spans="1:4" ht="21" customHeight="1" x14ac:dyDescent="0.35">
      <c r="A2" s="971" t="s">
        <v>291</v>
      </c>
      <c r="B2" s="971"/>
      <c r="C2" s="971"/>
      <c r="D2" s="971"/>
    </row>
    <row r="3" spans="1:4" ht="21" customHeight="1" x14ac:dyDescent="0.3">
      <c r="A3" s="150"/>
      <c r="B3" s="14"/>
      <c r="C3" s="14"/>
      <c r="D3" s="14"/>
    </row>
    <row r="4" spans="1:4" ht="21" customHeight="1" thickBot="1" x14ac:dyDescent="0.35">
      <c r="A4" s="6" t="s">
        <v>38</v>
      </c>
      <c r="B4" s="28"/>
      <c r="C4" s="28"/>
      <c r="D4" s="127" t="s">
        <v>216</v>
      </c>
    </row>
    <row r="5" spans="1:4" ht="21" customHeight="1" x14ac:dyDescent="0.25">
      <c r="A5" s="128" t="s">
        <v>167</v>
      </c>
      <c r="B5" s="16" t="s">
        <v>437</v>
      </c>
      <c r="C5" s="16" t="s">
        <v>686</v>
      </c>
      <c r="D5" s="16" t="s">
        <v>476</v>
      </c>
    </row>
    <row r="6" spans="1:4" ht="16.5" thickBot="1" x14ac:dyDescent="0.3">
      <c r="A6" s="151"/>
      <c r="B6" s="17" t="s">
        <v>353</v>
      </c>
      <c r="C6" s="17" t="s">
        <v>368</v>
      </c>
      <c r="D6" s="17" t="s">
        <v>353</v>
      </c>
    </row>
    <row r="7" spans="1:4" x14ac:dyDescent="0.35">
      <c r="A7" s="571" t="s">
        <v>590</v>
      </c>
      <c r="B7" s="153"/>
      <c r="C7" s="153"/>
      <c r="D7" s="153"/>
    </row>
    <row r="8" spans="1:4" ht="21.75" thickBot="1" x14ac:dyDescent="0.4">
      <c r="A8" s="570" t="s">
        <v>642</v>
      </c>
      <c r="B8" s="95">
        <v>162201</v>
      </c>
      <c r="C8" s="95">
        <v>270763</v>
      </c>
      <c r="D8" s="95">
        <f>162201+5325-5000</f>
        <v>162526</v>
      </c>
    </row>
    <row r="9" spans="1:4" ht="21.75" thickBot="1" x14ac:dyDescent="0.4">
      <c r="A9" s="160" t="s">
        <v>643</v>
      </c>
      <c r="B9" s="38">
        <v>557315</v>
      </c>
      <c r="C9" s="38">
        <v>1046813</v>
      </c>
      <c r="D9" s="38">
        <f>557315-21000+11000+34045</f>
        <v>581360</v>
      </c>
    </row>
    <row r="10" spans="1:4" ht="21.75" thickBot="1" x14ac:dyDescent="0.4">
      <c r="A10" s="170" t="s">
        <v>349</v>
      </c>
      <c r="B10" s="521">
        <v>315884</v>
      </c>
      <c r="C10" s="521">
        <v>569474</v>
      </c>
      <c r="D10" s="521">
        <f>315884-14000+6800+16211</f>
        <v>324895</v>
      </c>
    </row>
    <row r="11" spans="1:4" ht="21.75" thickBot="1" x14ac:dyDescent="0.4">
      <c r="A11" s="170" t="s">
        <v>552</v>
      </c>
      <c r="B11" s="521">
        <v>771303</v>
      </c>
      <c r="C11" s="521">
        <v>1014611</v>
      </c>
      <c r="D11" s="521">
        <f>771303-47000+32124</f>
        <v>756427</v>
      </c>
    </row>
    <row r="12" spans="1:4" ht="21.75" thickBot="1" x14ac:dyDescent="0.4">
      <c r="A12" s="569" t="s">
        <v>644</v>
      </c>
      <c r="B12" s="38">
        <f>SUM(B8:B11)</f>
        <v>1806703</v>
      </c>
      <c r="C12" s="38">
        <f t="shared" ref="C12:D12" si="0">SUM(C8:C11)</f>
        <v>2901661</v>
      </c>
      <c r="D12" s="38">
        <f t="shared" si="0"/>
        <v>1825208</v>
      </c>
    </row>
    <row r="13" spans="1:4" x14ac:dyDescent="0.35">
      <c r="A13" s="552" t="s">
        <v>591</v>
      </c>
      <c r="B13" s="115"/>
      <c r="C13" s="115"/>
      <c r="D13" s="115"/>
    </row>
    <row r="14" spans="1:4" x14ac:dyDescent="0.35">
      <c r="A14" s="10" t="s">
        <v>585</v>
      </c>
      <c r="B14" s="20">
        <f>202324+50000</f>
        <v>252324</v>
      </c>
      <c r="C14" s="20">
        <v>324146</v>
      </c>
      <c r="D14" s="20">
        <f>202324+50000-50000+50000+30996+24577+30000+36000</f>
        <v>373897</v>
      </c>
    </row>
    <row r="15" spans="1:4" ht="21.75" thickBot="1" x14ac:dyDescent="0.4">
      <c r="A15" s="161" t="s">
        <v>588</v>
      </c>
      <c r="B15" s="25">
        <v>302075</v>
      </c>
      <c r="C15" s="25">
        <v>302075</v>
      </c>
      <c r="D15" s="25">
        <f>302075+71822</f>
        <v>373897</v>
      </c>
    </row>
    <row r="16" spans="1:4" s="51" customFormat="1" ht="21.75" thickBot="1" x14ac:dyDescent="0.4">
      <c r="A16" s="158" t="s">
        <v>586</v>
      </c>
      <c r="B16" s="38">
        <f>SUM(B14:B15)</f>
        <v>554399</v>
      </c>
      <c r="C16" s="38">
        <f t="shared" ref="C16:D16" si="1">SUM(C14:C15)</f>
        <v>626221</v>
      </c>
      <c r="D16" s="38">
        <f t="shared" si="1"/>
        <v>747794</v>
      </c>
    </row>
    <row r="17" spans="1:4" x14ac:dyDescent="0.35">
      <c r="A17" s="582" t="s">
        <v>592</v>
      </c>
      <c r="B17" s="30">
        <f>34633+10984+3034+15000</f>
        <v>63651</v>
      </c>
      <c r="C17" s="30">
        <v>63651</v>
      </c>
      <c r="D17" s="30">
        <f>34633+10984+3034+15000-15000</f>
        <v>48651</v>
      </c>
    </row>
    <row r="18" spans="1:4" x14ac:dyDescent="0.35">
      <c r="A18" s="582" t="s">
        <v>647</v>
      </c>
      <c r="B18" s="30">
        <f>531700-30000-24570+1905</f>
        <v>479035</v>
      </c>
      <c r="C18" s="30">
        <v>564255</v>
      </c>
      <c r="D18" s="30">
        <f>531700-30000-24570+1905-95035</f>
        <v>384000</v>
      </c>
    </row>
    <row r="19" spans="1:4" s="51" customFormat="1" ht="21.75" thickBot="1" x14ac:dyDescent="0.4">
      <c r="A19" s="154" t="s">
        <v>593</v>
      </c>
      <c r="B19" s="95">
        <f>B16+B17+B18</f>
        <v>1097085</v>
      </c>
      <c r="C19" s="95">
        <f t="shared" ref="C19:D19" si="2">C16+C17+C18</f>
        <v>1254127</v>
      </c>
      <c r="D19" s="95">
        <f t="shared" si="2"/>
        <v>1180445</v>
      </c>
    </row>
    <row r="20" spans="1:4" ht="42.75" customHeight="1" thickBot="1" x14ac:dyDescent="0.4">
      <c r="A20" s="553" t="s">
        <v>594</v>
      </c>
      <c r="B20" s="38">
        <f>B12+B19</f>
        <v>2903788</v>
      </c>
      <c r="C20" s="38">
        <f t="shared" ref="C20:D20" si="3">C12+C19</f>
        <v>4155788</v>
      </c>
      <c r="D20" s="38">
        <f t="shared" si="3"/>
        <v>3005653</v>
      </c>
    </row>
    <row r="21" spans="1:4" x14ac:dyDescent="0.35">
      <c r="A21" s="554" t="s">
        <v>595</v>
      </c>
      <c r="B21" s="115"/>
      <c r="C21" s="115"/>
      <c r="D21" s="115"/>
    </row>
    <row r="22" spans="1:4" x14ac:dyDescent="0.35">
      <c r="A22" s="551" t="s">
        <v>596</v>
      </c>
      <c r="B22" s="29"/>
      <c r="C22" s="29"/>
      <c r="D22" s="29"/>
    </row>
    <row r="23" spans="1:4" x14ac:dyDescent="0.35">
      <c r="A23" s="10" t="s">
        <v>142</v>
      </c>
      <c r="B23" s="20">
        <f>300+2700</f>
        <v>3000</v>
      </c>
      <c r="C23" s="20">
        <v>3000</v>
      </c>
      <c r="D23" s="20">
        <f>300+2700-450+450</f>
        <v>3000</v>
      </c>
    </row>
    <row r="24" spans="1:4" x14ac:dyDescent="0.35">
      <c r="A24" s="157" t="s">
        <v>59</v>
      </c>
      <c r="B24" s="20">
        <f>100+1100</f>
        <v>1200</v>
      </c>
      <c r="C24" s="20">
        <v>1200</v>
      </c>
      <c r="D24" s="20">
        <f>100+1100-180+180</f>
        <v>1200</v>
      </c>
    </row>
    <row r="25" spans="1:4" x14ac:dyDescent="0.35">
      <c r="A25" s="157" t="s">
        <v>457</v>
      </c>
      <c r="B25" s="20">
        <f>550+2450</f>
        <v>3000</v>
      </c>
      <c r="C25" s="20">
        <v>3000</v>
      </c>
      <c r="D25" s="20">
        <f>550+2450-450+450</f>
        <v>3000</v>
      </c>
    </row>
    <row r="26" spans="1:4" x14ac:dyDescent="0.35">
      <c r="A26" s="157" t="s">
        <v>40</v>
      </c>
      <c r="B26" s="20">
        <f>750+3250</f>
        <v>4000</v>
      </c>
      <c r="C26" s="20">
        <v>5000</v>
      </c>
      <c r="D26" s="20">
        <f>750+3250-600+600</f>
        <v>4000</v>
      </c>
    </row>
    <row r="27" spans="1:4" x14ac:dyDescent="0.35">
      <c r="A27" s="157" t="s">
        <v>41</v>
      </c>
      <c r="B27" s="20">
        <f>2000+2000+2500+6500+1500-1500</f>
        <v>13000</v>
      </c>
      <c r="C27" s="20">
        <v>13000</v>
      </c>
      <c r="D27" s="20">
        <f>2000+2000+2500+6500+1500-1500-1950+1950</f>
        <v>13000</v>
      </c>
    </row>
    <row r="28" spans="1:4" x14ac:dyDescent="0.35">
      <c r="A28" s="157" t="s">
        <v>42</v>
      </c>
      <c r="B28" s="20">
        <f>180+820</f>
        <v>1000</v>
      </c>
      <c r="C28" s="20">
        <v>1000</v>
      </c>
      <c r="D28" s="20">
        <f>180+820-150+150</f>
        <v>1000</v>
      </c>
    </row>
    <row r="29" spans="1:4" x14ac:dyDescent="0.35">
      <c r="A29" s="157" t="s">
        <v>511</v>
      </c>
      <c r="B29" s="20">
        <f>300+1900+800</f>
        <v>3000</v>
      </c>
      <c r="C29" s="20">
        <v>5000</v>
      </c>
      <c r="D29" s="20"/>
    </row>
    <row r="30" spans="1:4" x14ac:dyDescent="0.35">
      <c r="A30" s="157" t="s">
        <v>716</v>
      </c>
      <c r="B30" s="20"/>
      <c r="C30" s="20"/>
      <c r="D30" s="20">
        <v>3000</v>
      </c>
    </row>
    <row r="31" spans="1:4" x14ac:dyDescent="0.35">
      <c r="A31" s="157" t="s">
        <v>355</v>
      </c>
      <c r="B31" s="20">
        <f>250+1750</f>
        <v>2000</v>
      </c>
      <c r="C31" s="20">
        <v>2000</v>
      </c>
      <c r="D31" s="20">
        <f>250+1750-300+300</f>
        <v>2000</v>
      </c>
    </row>
    <row r="32" spans="1:4" x14ac:dyDescent="0.35">
      <c r="A32" s="157" t="s">
        <v>60</v>
      </c>
      <c r="B32" s="20">
        <f>100+550</f>
        <v>650</v>
      </c>
      <c r="C32" s="20">
        <v>650</v>
      </c>
      <c r="D32" s="20">
        <f>100+550-100+100</f>
        <v>650</v>
      </c>
    </row>
    <row r="33" spans="1:4" x14ac:dyDescent="0.35">
      <c r="A33" s="157" t="s">
        <v>209</v>
      </c>
      <c r="B33" s="20">
        <f>300+1700</f>
        <v>2000</v>
      </c>
      <c r="C33" s="20">
        <v>2000</v>
      </c>
      <c r="D33" s="20">
        <f>300+1700-300+300</f>
        <v>2000</v>
      </c>
    </row>
    <row r="34" spans="1:4" x14ac:dyDescent="0.35">
      <c r="A34" s="157" t="s">
        <v>345</v>
      </c>
      <c r="B34" s="20">
        <f>200+2800+3000</f>
        <v>6000</v>
      </c>
      <c r="C34" s="20">
        <v>6000</v>
      </c>
      <c r="D34" s="20">
        <f>200+2800+3000-900+900</f>
        <v>6000</v>
      </c>
    </row>
    <row r="35" spans="1:4" x14ac:dyDescent="0.35">
      <c r="A35" s="157" t="s">
        <v>435</v>
      </c>
      <c r="B35" s="20">
        <f>100+1900</f>
        <v>2000</v>
      </c>
      <c r="C35" s="20">
        <v>2000</v>
      </c>
      <c r="D35" s="20">
        <f>100+1900-300+300</f>
        <v>2000</v>
      </c>
    </row>
    <row r="36" spans="1:4" x14ac:dyDescent="0.35">
      <c r="A36" s="157" t="s">
        <v>134</v>
      </c>
      <c r="B36" s="20">
        <f>200+1300+500</f>
        <v>2000</v>
      </c>
      <c r="C36" s="20">
        <v>2000</v>
      </c>
      <c r="D36" s="20">
        <f>200+1300+500-300+300</f>
        <v>2000</v>
      </c>
    </row>
    <row r="37" spans="1:4" x14ac:dyDescent="0.35">
      <c r="A37" s="157" t="s">
        <v>207</v>
      </c>
      <c r="B37" s="20">
        <f>800+800</f>
        <v>1600</v>
      </c>
      <c r="C37" s="20">
        <v>1750</v>
      </c>
      <c r="D37" s="20">
        <f>800+800-240+240</f>
        <v>1600</v>
      </c>
    </row>
    <row r="38" spans="1:4" ht="46.5" customHeight="1" x14ac:dyDescent="0.35">
      <c r="A38" s="162" t="s">
        <v>208</v>
      </c>
      <c r="B38" s="20">
        <f>1500+2000</f>
        <v>3500</v>
      </c>
      <c r="C38" s="20">
        <v>3580</v>
      </c>
      <c r="D38" s="20">
        <f>1500+2000-525+525</f>
        <v>3500</v>
      </c>
    </row>
    <row r="39" spans="1:4" ht="33.6" customHeight="1" x14ac:dyDescent="0.35">
      <c r="A39" s="136" t="s">
        <v>356</v>
      </c>
      <c r="B39" s="20">
        <f>600+600</f>
        <v>1200</v>
      </c>
      <c r="C39" s="20">
        <v>1200</v>
      </c>
      <c r="D39" s="20">
        <f>600+600-180+180</f>
        <v>1200</v>
      </c>
    </row>
    <row r="40" spans="1:4" ht="24.75" customHeight="1" x14ac:dyDescent="0.35">
      <c r="A40" s="163" t="s">
        <v>361</v>
      </c>
      <c r="B40" s="20">
        <v>1500</v>
      </c>
      <c r="C40" s="20">
        <v>1500</v>
      </c>
      <c r="D40" s="20">
        <f>1500-225+225</f>
        <v>1500</v>
      </c>
    </row>
    <row r="41" spans="1:4" x14ac:dyDescent="0.35">
      <c r="A41" s="138" t="s">
        <v>346</v>
      </c>
      <c r="B41" s="20">
        <f>100+900</f>
        <v>1000</v>
      </c>
      <c r="C41" s="20">
        <v>1000</v>
      </c>
      <c r="D41" s="20">
        <f>100+900-150+150</f>
        <v>1000</v>
      </c>
    </row>
    <row r="42" spans="1:4" x14ac:dyDescent="0.35">
      <c r="A42" s="138" t="s">
        <v>566</v>
      </c>
      <c r="B42" s="20">
        <v>1000</v>
      </c>
      <c r="C42" s="20">
        <v>1000</v>
      </c>
      <c r="D42" s="20">
        <f>1000-150+150</f>
        <v>1000</v>
      </c>
    </row>
    <row r="43" spans="1:4" x14ac:dyDescent="0.35">
      <c r="A43" s="138" t="s">
        <v>571</v>
      </c>
      <c r="B43" s="20">
        <v>1000</v>
      </c>
      <c r="C43" s="20">
        <v>1000</v>
      </c>
      <c r="D43" s="20">
        <f>1000-150+150</f>
        <v>1000</v>
      </c>
    </row>
    <row r="44" spans="1:4" x14ac:dyDescent="0.35">
      <c r="A44" s="138" t="s">
        <v>635</v>
      </c>
      <c r="B44" s="20"/>
      <c r="C44" s="20">
        <v>800</v>
      </c>
      <c r="D44" s="20"/>
    </row>
    <row r="45" spans="1:4" x14ac:dyDescent="0.35">
      <c r="A45" s="138" t="s">
        <v>501</v>
      </c>
      <c r="B45" s="20">
        <v>1000</v>
      </c>
      <c r="C45" s="20">
        <v>1000</v>
      </c>
      <c r="D45" s="20">
        <f>1000-150+150</f>
        <v>1000</v>
      </c>
    </row>
    <row r="46" spans="1:4" ht="21.75" thickBot="1" x14ac:dyDescent="0.4">
      <c r="A46" s="168" t="s">
        <v>217</v>
      </c>
      <c r="B46" s="215">
        <f>9170-8870</f>
        <v>300</v>
      </c>
      <c r="C46" s="215">
        <v>300</v>
      </c>
      <c r="D46" s="215">
        <f>9170-8870-45+45</f>
        <v>300</v>
      </c>
    </row>
    <row r="47" spans="1:4" ht="21.75" thickBot="1" x14ac:dyDescent="0.4">
      <c r="A47" s="555" t="s">
        <v>597</v>
      </c>
      <c r="B47" s="95">
        <f>SUM(B23:B46)</f>
        <v>54950</v>
      </c>
      <c r="C47" s="95">
        <f t="shared" ref="C47:D47" si="4">SUM(C23:C46)</f>
        <v>58980</v>
      </c>
      <c r="D47" s="95">
        <f t="shared" si="4"/>
        <v>54950</v>
      </c>
    </row>
    <row r="48" spans="1:4" ht="21.75" thickBot="1" x14ac:dyDescent="0.4">
      <c r="A48" s="556" t="s">
        <v>598</v>
      </c>
      <c r="B48" s="37">
        <f>12000</f>
        <v>12000</v>
      </c>
      <c r="C48" s="37">
        <v>13100</v>
      </c>
      <c r="D48" s="37">
        <f>12000-1800-10200+8000-8000</f>
        <v>0</v>
      </c>
    </row>
    <row r="49" spans="1:4" ht="37.5" customHeight="1" thickBot="1" x14ac:dyDescent="0.4">
      <c r="A49" s="557" t="s">
        <v>599</v>
      </c>
      <c r="B49" s="95">
        <f>B47+B48</f>
        <v>66950</v>
      </c>
      <c r="C49" s="95">
        <f>C47+C48</f>
        <v>72080</v>
      </c>
      <c r="D49" s="95">
        <f>D47+D48</f>
        <v>54950</v>
      </c>
    </row>
    <row r="50" spans="1:4" ht="21.75" thickBot="1" x14ac:dyDescent="0.4">
      <c r="A50" s="558" t="s">
        <v>600</v>
      </c>
      <c r="B50" s="38">
        <f>10000+1000+400+12850+5750-10000+10000</f>
        <v>30000</v>
      </c>
      <c r="C50" s="38">
        <v>0</v>
      </c>
      <c r="D50" s="38">
        <f>10000+1000+400+12850+5750-10000+10000-30000</f>
        <v>0</v>
      </c>
    </row>
    <row r="51" spans="1:4" x14ac:dyDescent="0.35">
      <c r="A51" s="559" t="s">
        <v>601</v>
      </c>
      <c r="B51" s="155"/>
      <c r="C51" s="155"/>
      <c r="D51" s="155"/>
    </row>
    <row r="52" spans="1:4" x14ac:dyDescent="0.35">
      <c r="A52" s="10" t="s">
        <v>465</v>
      </c>
      <c r="B52" s="20">
        <f>50000+5000+1000</f>
        <v>56000</v>
      </c>
      <c r="C52" s="20">
        <v>58456</v>
      </c>
      <c r="D52" s="20">
        <f>50000+5000+1000-11200-14800+5000+1000-36000</f>
        <v>0</v>
      </c>
    </row>
    <row r="53" spans="1:4" x14ac:dyDescent="0.35">
      <c r="A53" s="169" t="s">
        <v>521</v>
      </c>
      <c r="B53" s="20">
        <f>10000+15000+5000</f>
        <v>30000</v>
      </c>
      <c r="C53" s="20">
        <v>40105</v>
      </c>
      <c r="D53" s="20">
        <f>10000+15000+5000-3000</f>
        <v>27000</v>
      </c>
    </row>
    <row r="54" spans="1:4" x14ac:dyDescent="0.35">
      <c r="A54" s="169" t="s">
        <v>397</v>
      </c>
      <c r="B54" s="20">
        <f>30000-10000+10000</f>
        <v>30000</v>
      </c>
      <c r="C54" s="20">
        <v>30269</v>
      </c>
      <c r="D54" s="20">
        <f>30000-10000+10000-15000-10000-5000+7500</f>
        <v>7500</v>
      </c>
    </row>
    <row r="55" spans="1:4" x14ac:dyDescent="0.35">
      <c r="A55" s="169" t="s">
        <v>563</v>
      </c>
      <c r="B55" s="20">
        <f>5000+1000-3000</f>
        <v>3000</v>
      </c>
      <c r="C55" s="20">
        <v>3000</v>
      </c>
      <c r="D55" s="20">
        <f>5000+1000-3000-500-2500</f>
        <v>0</v>
      </c>
    </row>
    <row r="56" spans="1:4" ht="21.75" thickBot="1" x14ac:dyDescent="0.4">
      <c r="A56" s="560" t="s">
        <v>602</v>
      </c>
      <c r="B56" s="37">
        <f>SUM(B52:B55)</f>
        <v>119000</v>
      </c>
      <c r="C56" s="37">
        <f t="shared" ref="C56:D56" si="5">SUM(C52:C55)</f>
        <v>131830</v>
      </c>
      <c r="D56" s="37">
        <f t="shared" si="5"/>
        <v>34500</v>
      </c>
    </row>
    <row r="57" spans="1:4" ht="21.75" thickBot="1" x14ac:dyDescent="0.4">
      <c r="A57" s="164" t="s">
        <v>603</v>
      </c>
      <c r="B57" s="37">
        <f>B50+B56</f>
        <v>149000</v>
      </c>
      <c r="C57" s="37">
        <f>C50+C56</f>
        <v>131830</v>
      </c>
      <c r="D57" s="37">
        <f>D50+D56</f>
        <v>34500</v>
      </c>
    </row>
    <row r="58" spans="1:4" x14ac:dyDescent="0.35">
      <c r="A58" s="152" t="s">
        <v>604</v>
      </c>
      <c r="B58" s="165"/>
      <c r="C58" s="165"/>
      <c r="D58" s="165"/>
    </row>
    <row r="59" spans="1:4" x14ac:dyDescent="0.35">
      <c r="A59" s="166" t="s">
        <v>269</v>
      </c>
      <c r="B59" s="20">
        <v>2023</v>
      </c>
      <c r="C59" s="167">
        <v>2358</v>
      </c>
      <c r="D59" s="20">
        <v>2023</v>
      </c>
    </row>
    <row r="60" spans="1:4" x14ac:dyDescent="0.35">
      <c r="A60" s="166" t="s">
        <v>396</v>
      </c>
      <c r="B60" s="167">
        <f>2084+2916</f>
        <v>5000</v>
      </c>
      <c r="C60" s="167">
        <v>5537</v>
      </c>
      <c r="D60" s="167">
        <f>2084+2916-1000+1000</f>
        <v>5000</v>
      </c>
    </row>
    <row r="61" spans="1:4" ht="21.75" thickBot="1" x14ac:dyDescent="0.4">
      <c r="A61" s="567" t="s">
        <v>502</v>
      </c>
      <c r="B61" s="25">
        <f>2000-500</f>
        <v>1500</v>
      </c>
      <c r="C61" s="25">
        <v>3326</v>
      </c>
      <c r="D61" s="25">
        <f>2000-500-1500</f>
        <v>0</v>
      </c>
    </row>
    <row r="62" spans="1:4" ht="21.75" thickBot="1" x14ac:dyDescent="0.4">
      <c r="A62" s="568" t="s">
        <v>624</v>
      </c>
      <c r="B62" s="38">
        <f>SUM(B59:B61)</f>
        <v>8523</v>
      </c>
      <c r="C62" s="38">
        <f t="shared" ref="C62:D62" si="6">SUM(C59:C61)</f>
        <v>11221</v>
      </c>
      <c r="D62" s="38">
        <f t="shared" si="6"/>
        <v>7023</v>
      </c>
    </row>
    <row r="63" spans="1:4" ht="21.75" thickBot="1" x14ac:dyDescent="0.4">
      <c r="A63" s="561" t="s">
        <v>605</v>
      </c>
      <c r="B63" s="95">
        <f>B49+B57+B62</f>
        <v>224473</v>
      </c>
      <c r="C63" s="95">
        <f>C49+C57+C62</f>
        <v>215131</v>
      </c>
      <c r="D63" s="95">
        <f>D49+D57+D62</f>
        <v>96473</v>
      </c>
    </row>
    <row r="64" spans="1:4" ht="21.75" thickBot="1" x14ac:dyDescent="0.4">
      <c r="A64" s="562" t="s">
        <v>606</v>
      </c>
      <c r="B64" s="37">
        <f>B20+B63</f>
        <v>3128261</v>
      </c>
      <c r="C64" s="37">
        <f>C20+C63</f>
        <v>4370919</v>
      </c>
      <c r="D64" s="37">
        <f>D20+D63</f>
        <v>3102126</v>
      </c>
    </row>
    <row r="65" spans="1:4" x14ac:dyDescent="0.35">
      <c r="A65" s="220"/>
      <c r="B65" s="42"/>
      <c r="C65" s="42"/>
      <c r="D65" s="42"/>
    </row>
    <row r="67" spans="1:4" ht="19.5" thickBot="1" x14ac:dyDescent="0.35">
      <c r="A67" s="6" t="s">
        <v>83</v>
      </c>
      <c r="B67" s="28"/>
      <c r="C67" s="28"/>
      <c r="D67" s="127"/>
    </row>
    <row r="68" spans="1:4" ht="15.75" x14ac:dyDescent="0.25">
      <c r="A68" s="144" t="s">
        <v>167</v>
      </c>
      <c r="B68" s="16" t="s">
        <v>437</v>
      </c>
      <c r="C68" s="16" t="s">
        <v>686</v>
      </c>
      <c r="D68" s="16" t="s">
        <v>476</v>
      </c>
    </row>
    <row r="69" spans="1:4" ht="16.5" thickBot="1" x14ac:dyDescent="0.3">
      <c r="A69" s="145"/>
      <c r="B69" s="17" t="s">
        <v>353</v>
      </c>
      <c r="C69" s="17" t="s">
        <v>368</v>
      </c>
      <c r="D69" s="17" t="s">
        <v>353</v>
      </c>
    </row>
    <row r="70" spans="1:4" ht="21.75" thickBot="1" x14ac:dyDescent="0.4">
      <c r="A70" s="160" t="s">
        <v>104</v>
      </c>
      <c r="B70" s="31">
        <v>0</v>
      </c>
      <c r="C70" s="31">
        <v>652</v>
      </c>
      <c r="D70" s="31">
        <v>0</v>
      </c>
    </row>
    <row r="71" spans="1:4" ht="21.75" thickBot="1" x14ac:dyDescent="0.4">
      <c r="A71" s="160" t="s">
        <v>93</v>
      </c>
      <c r="B71" s="31">
        <v>0</v>
      </c>
      <c r="C71" s="31">
        <v>74562</v>
      </c>
      <c r="D71" s="31">
        <v>0</v>
      </c>
    </row>
    <row r="72" spans="1:4" ht="21.75" thickBot="1" x14ac:dyDescent="0.4">
      <c r="A72" s="170" t="s">
        <v>114</v>
      </c>
      <c r="B72" s="171">
        <v>0</v>
      </c>
      <c r="C72" s="171">
        <v>17042</v>
      </c>
      <c r="D72" s="171">
        <v>0</v>
      </c>
    </row>
    <row r="73" spans="1:4" ht="21.75" thickBot="1" x14ac:dyDescent="0.4">
      <c r="A73" s="170" t="s">
        <v>158</v>
      </c>
      <c r="B73" s="520">
        <v>0</v>
      </c>
      <c r="C73" s="520">
        <v>17571</v>
      </c>
      <c r="D73" s="520">
        <v>0</v>
      </c>
    </row>
    <row r="74" spans="1:4" ht="21.75" thickBot="1" x14ac:dyDescent="0.4">
      <c r="A74" s="174" t="s">
        <v>313</v>
      </c>
      <c r="B74" s="175">
        <f>B70+B71+B72+B73</f>
        <v>0</v>
      </c>
      <c r="C74" s="38">
        <f>C70+C71+C72+C73</f>
        <v>109827</v>
      </c>
      <c r="D74" s="38">
        <f>D70+D71+D72+D73</f>
        <v>0</v>
      </c>
    </row>
    <row r="75" spans="1:4" ht="21.75" thickBot="1" x14ac:dyDescent="0.4">
      <c r="A75" s="176"/>
      <c r="B75" s="177"/>
      <c r="C75" s="115"/>
      <c r="D75" s="115"/>
    </row>
    <row r="76" spans="1:4" ht="21.75" thickBot="1" x14ac:dyDescent="0.4">
      <c r="A76" s="178" t="s">
        <v>295</v>
      </c>
      <c r="B76" s="39">
        <f>B64+B74</f>
        <v>3128261</v>
      </c>
      <c r="C76" s="39">
        <f>C64+C74</f>
        <v>4480746</v>
      </c>
      <c r="D76" s="39">
        <f>D64+D74</f>
        <v>3102126</v>
      </c>
    </row>
    <row r="78" spans="1:4" ht="21" customHeight="1" x14ac:dyDescent="0.25">
      <c r="A78" s="51" t="s">
        <v>76</v>
      </c>
      <c r="B78" s="51"/>
      <c r="C78" s="51"/>
      <c r="D78" s="218"/>
    </row>
  </sheetData>
  <customSheetViews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" right="0" top="0" bottom="0" header="0.19685039370078741" footer="0"/>
  <pageSetup paperSize="9" scale="50" orientation="portrait" r:id="rId3"/>
  <headerFooter alignWithMargins="0">
    <oddHeader xml:space="preserve">&amp;R&amp;"-,Félkövér"&amp;12 
9. melléklet a 4/2025. (II.28.) önkormányzati rendelethe&amp;"Times New Roman CE,Félkövér"z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25</vt:i4>
      </vt:variant>
    </vt:vector>
  </HeadingPairs>
  <TitlesOfParts>
    <vt:vector size="49" baseType="lpstr">
      <vt:lpstr>1 kiemelt ei. </vt:lpstr>
      <vt:lpstr>2 mérleg</vt:lpstr>
      <vt:lpstr>3 működési bevételek</vt:lpstr>
      <vt:lpstr>4 intézményi bevételek</vt:lpstr>
      <vt:lpstr>5 normatíva</vt:lpstr>
      <vt:lpstr>6 intézményi kiadások</vt:lpstr>
      <vt:lpstr>7 létszám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20 közvetett támogatás</vt:lpstr>
      <vt:lpstr>21 uniós bevételek</vt:lpstr>
      <vt:lpstr>21 uniós kiadások</vt:lpstr>
      <vt:lpstr>22 versenyképes járás pr</vt:lpstr>
      <vt:lpstr>'13 egyéb'!Nyomtatási_cím</vt:lpstr>
      <vt:lpstr>'3 működési bevételek'!Nyomtatási_cím</vt:lpstr>
      <vt:lpstr>'5 normatíva'!Nyomtatási_cím</vt:lpstr>
      <vt:lpstr>'7 létszám'!Nyomtatási_cím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'22 versenyképes járás pr'!Nyomtatási_terület</vt:lpstr>
      <vt:lpstr>'3 működési bevételek'!Nyomtatási_terület</vt:lpstr>
      <vt:lpstr>'4 intézményi bevételek'!Nyomtatási_terület</vt:lpstr>
      <vt:lpstr>'5 normatíva'!Nyomtatási_terület</vt:lpstr>
      <vt:lpstr>'6 intézményi kiadások'!Nyomtatási_terület</vt:lpstr>
      <vt:lpstr>'7 létszám'!Nyomtatási_terület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2025-02-14T07:49:29Z</cp:lastPrinted>
  <dcterms:created xsi:type="dcterms:W3CDTF">1998-01-10T07:52:54Z</dcterms:created>
  <dcterms:modified xsi:type="dcterms:W3CDTF">2025-02-28T08:10:57Z</dcterms:modified>
</cp:coreProperties>
</file>