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ndalf\Dokumentumok\Jogiosztaly\gats.andrea\dokumentumok\rendelet\2025\"/>
    </mc:Choice>
  </mc:AlternateContent>
  <xr:revisionPtr revIDLastSave="0" documentId="13_ncr:1_{E51DB2AC-1831-4D8E-9859-F0D1D58A80C4}" xr6:coauthVersionLast="47" xr6:coauthVersionMax="47" xr10:uidLastSave="{00000000-0000-0000-0000-000000000000}"/>
  <bookViews>
    <workbookView xWindow="-120" yWindow="-120" windowWidth="29040" windowHeight="15720" tabRatio="696" firstSheet="11" activeTab="19" xr2:uid="{00000000-000D-0000-FFFF-FFFF00000000}"/>
  </bookViews>
  <sheets>
    <sheet name="1 kiemelt ei. " sheetId="77" r:id="rId1"/>
    <sheet name="2 mérleg" sheetId="2" r:id="rId2"/>
    <sheet name="3 működési bevételek" sheetId="52" r:id="rId3"/>
    <sheet name="4 intézményi bevételek " sheetId="128" r:id="rId4"/>
    <sheet name="5 normatíva" sheetId="131" r:id="rId5"/>
    <sheet name="6 intézményi kiadások" sheetId="129" r:id="rId6"/>
    <sheet name="7 létszám " sheetId="130" r:id="rId7"/>
    <sheet name="8 oktatás" sheetId="6" r:id="rId8"/>
    <sheet name="9 kultúra" sheetId="7" r:id="rId9"/>
    <sheet name="10 szociális" sheetId="8" r:id="rId10"/>
    <sheet name="11 egészségügy" sheetId="9" r:id="rId11"/>
    <sheet name="12 gyermek és ifj.véd." sheetId="10" r:id="rId12"/>
    <sheet name="13 egyéb" sheetId="11" r:id="rId13"/>
    <sheet name="14 sport" sheetId="14" r:id="rId14"/>
    <sheet name="15 város.ü." sheetId="16" r:id="rId15"/>
    <sheet name="16 út-híd" sheetId="17" r:id="rId16"/>
    <sheet name="17 felhalm.bevétel " sheetId="54" r:id="rId17"/>
    <sheet name="18 felhalm.kiadás" sheetId="23" r:id="rId18"/>
    <sheet name="19 ei felh. terv bevétel" sheetId="63" r:id="rId19"/>
    <sheet name="19 ei. felh.terv kiadás" sheetId="64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17" hidden="1">'18 felhalm.kiadás'!$A$4:$E$5</definedName>
    <definedName name="aaaaaaaaaaaaaaaaaaaaaaa" localSheetId="4">#REF!</definedName>
    <definedName name="aaaaaaaaaaaaaaaaaaaaaaa">#REF!</definedName>
    <definedName name="áfaössz16" localSheetId="4">#REF!</definedName>
    <definedName name="áfaössz16">#REF!</definedName>
    <definedName name="bk" localSheetId="4">#REF!</definedName>
    <definedName name="bk" localSheetId="6">#REF!</definedName>
    <definedName name="bk">#REF!</definedName>
    <definedName name="css" localSheetId="0">#REF!</definedName>
    <definedName name="css" localSheetId="18">#REF!</definedName>
    <definedName name="css" localSheetId="19">#REF!</definedName>
    <definedName name="css" localSheetId="4">#REF!</definedName>
    <definedName name="css" localSheetId="6">#REF!</definedName>
    <definedName name="css">#REF!</definedName>
    <definedName name="css_k" localSheetId="0">[1]Családsegítés!$C$27:$C$86</definedName>
    <definedName name="css_k" localSheetId="4">[2]Családsegítés!$C$27:$C$86</definedName>
    <definedName name="css_k" localSheetId="6">[2]Családsegítés!$C$27:$C$86</definedName>
    <definedName name="css_k">[1]Családsegítés!$C$27:$C$86</definedName>
    <definedName name="css_k_" localSheetId="0">#REF!</definedName>
    <definedName name="css_k_" localSheetId="18">#REF!</definedName>
    <definedName name="css_k_" localSheetId="19">#REF!</definedName>
    <definedName name="css_k_" localSheetId="4">#REF!</definedName>
    <definedName name="css_k_" localSheetId="6">#REF!</definedName>
    <definedName name="css_k_">#REF!</definedName>
    <definedName name="d" localSheetId="4">#REF!</definedName>
    <definedName name="d">#REF!</definedName>
    <definedName name="eredetiköltségvetés2017" localSheetId="4">#REF!</definedName>
    <definedName name="eredetiköltségvetés2017">#REF!</definedName>
    <definedName name="feljéc" localSheetId="4">#REF!</definedName>
    <definedName name="feljéc">#REF!</definedName>
    <definedName name="fff" localSheetId="4">#REF!</definedName>
    <definedName name="fff">#REF!</definedName>
    <definedName name="ffff" localSheetId="0">#REF!</definedName>
    <definedName name="ffff" localSheetId="4">#REF!</definedName>
    <definedName name="ffff">#REF!</definedName>
    <definedName name="gyj" localSheetId="0">#REF!</definedName>
    <definedName name="gyj" localSheetId="18">#REF!</definedName>
    <definedName name="gyj" localSheetId="19">#REF!</definedName>
    <definedName name="gyj" localSheetId="4">#REF!</definedName>
    <definedName name="gyj" localSheetId="6">#REF!</definedName>
    <definedName name="gyj">#REF!</definedName>
    <definedName name="gyj_k" localSheetId="0">[1]Gyermekjóléti!$C$27:$C$86</definedName>
    <definedName name="gyj_k" localSheetId="4">[2]Gyermekjóléti!$C$27:$C$86</definedName>
    <definedName name="gyj_k" localSheetId="6">[2]Gyermekjóléti!$C$27:$C$86</definedName>
    <definedName name="gyj_k">[1]Gyermekjóléti!$C$27:$C$86</definedName>
    <definedName name="gyj_k_" localSheetId="0">#REF!</definedName>
    <definedName name="gyj_k_" localSheetId="18">#REF!</definedName>
    <definedName name="gyj_k_" localSheetId="19">#REF!</definedName>
    <definedName name="gyj_k_" localSheetId="4">#REF!</definedName>
    <definedName name="gyj_k_" localSheetId="6">#REF!</definedName>
    <definedName name="gyj_k_">#REF!</definedName>
    <definedName name="h" localSheetId="4">#REF!</definedName>
    <definedName name="h">#REF!</definedName>
    <definedName name="kjz" localSheetId="0">#REF!</definedName>
    <definedName name="kjz" localSheetId="18">#REF!</definedName>
    <definedName name="kjz" localSheetId="19">#REF!</definedName>
    <definedName name="kjz" localSheetId="4">#REF!</definedName>
    <definedName name="kjz" localSheetId="6">#REF!</definedName>
    <definedName name="kjz">#REF!</definedName>
    <definedName name="kjz_k" localSheetId="0">[1]körjegyzőség!$C$9:$C$28</definedName>
    <definedName name="kjz_k" localSheetId="4">[2]körjegyzőség!$C$9:$C$28</definedName>
    <definedName name="kjz_k" localSheetId="6">[2]körjegyzőség!$C$9:$C$28</definedName>
    <definedName name="kjz_k">[1]körjegyzőség!$C$9:$C$28</definedName>
    <definedName name="kjz_k_" localSheetId="0">#REF!</definedName>
    <definedName name="kjz_k_" localSheetId="18">#REF!</definedName>
    <definedName name="kjz_k_" localSheetId="19">#REF!</definedName>
    <definedName name="kjz_k_" localSheetId="4">#REF!</definedName>
    <definedName name="kjz_k_" localSheetId="6">#REF!</definedName>
    <definedName name="kjz_k_">#REF!</definedName>
    <definedName name="nev_b" localSheetId="4">#REF!</definedName>
    <definedName name="nev_b">#REF!</definedName>
    <definedName name="nev_c" localSheetId="0">#REF!</definedName>
    <definedName name="nev_c" localSheetId="18">#REF!</definedName>
    <definedName name="nev_c" localSheetId="19">#REF!</definedName>
    <definedName name="nev_c" localSheetId="4">#REF!</definedName>
    <definedName name="nev_c" localSheetId="6">#REF!</definedName>
    <definedName name="nev_c">#REF!</definedName>
    <definedName name="nev_g" localSheetId="0">#REF!</definedName>
    <definedName name="nev_g" localSheetId="18">#REF!</definedName>
    <definedName name="nev_g" localSheetId="19">#REF!</definedName>
    <definedName name="nev_g" localSheetId="4">#REF!</definedName>
    <definedName name="nev_g" localSheetId="6">#REF!</definedName>
    <definedName name="nev_g">#REF!</definedName>
    <definedName name="nev_k" localSheetId="0">#REF!</definedName>
    <definedName name="nev_k" localSheetId="18">#REF!</definedName>
    <definedName name="nev_k" localSheetId="19">#REF!</definedName>
    <definedName name="nev_k" localSheetId="4">#REF!</definedName>
    <definedName name="nev_k" localSheetId="6">#REF!</definedName>
    <definedName name="nev_k">#REF!</definedName>
    <definedName name="nev_k1" localSheetId="4">#REF!</definedName>
    <definedName name="nev_k1">#REF!</definedName>
    <definedName name="normatíva">[3]Családsegítés!$C$27:$C$86</definedName>
    <definedName name="_xlnm.Print_Titles" localSheetId="12">'13 egyéb'!$3:$5</definedName>
    <definedName name="_xlnm.Print_Titles" localSheetId="16">'17 felhalm.bevétel '!$2:$4</definedName>
    <definedName name="_xlnm.Print_Titles" localSheetId="17">'18 felhalm.kiadás'!$3:$5</definedName>
    <definedName name="_xlnm.Print_Titles" localSheetId="2">'3 működési bevételek'!$4:$6</definedName>
    <definedName name="_xlnm.Print_Titles" localSheetId="4">'5 normatíva'!$4:$4</definedName>
    <definedName name="_xlnm.Print_Titles" localSheetId="6">'7 létszám '!$1:$7</definedName>
    <definedName name="_xlnm.Print_Titles" localSheetId="8">'9 kultúra'!$5:$6</definedName>
    <definedName name="_xlnm.Print_Area" localSheetId="0">'1 kiemelt ei. '!$A$1:$N$20</definedName>
    <definedName name="_xlnm.Print_Area" localSheetId="9">'10 szociális'!$A$1:$D$47</definedName>
    <definedName name="_xlnm.Print_Area" localSheetId="10">'11 egészségügy'!$A$1:$D$32</definedName>
    <definedName name="_xlnm.Print_Area" localSheetId="11">'12 gyermek és ifj.véd.'!$A$1:$D$21</definedName>
    <definedName name="_xlnm.Print_Area" localSheetId="12">'13 egyéb'!$A$1:$D$113</definedName>
    <definedName name="_xlnm.Print_Area" localSheetId="13">'14 sport'!$A$1:$D$30</definedName>
    <definedName name="_xlnm.Print_Area" localSheetId="14">'15 város.ü.'!$A$1:$D$33</definedName>
    <definedName name="_xlnm.Print_Area" localSheetId="15">'16 út-híd'!$A$1:$D$38</definedName>
    <definedName name="_xlnm.Print_Area" localSheetId="16">'17 felhalm.bevétel '!$A$1:$E$38</definedName>
    <definedName name="_xlnm.Print_Area" localSheetId="17">'18 felhalm.kiadás'!$A$1:$E$73</definedName>
    <definedName name="_xlnm.Print_Area" localSheetId="18">'19 ei felh. terv bevétel'!$A$1:$N$11</definedName>
    <definedName name="_xlnm.Print_Area" localSheetId="19">'19 ei. felh.terv kiadás'!$A$1:$N$27</definedName>
    <definedName name="_xlnm.Print_Area" localSheetId="1">'2 mérleg'!$A$1:$K$62</definedName>
    <definedName name="_xlnm.Print_Area" localSheetId="2">'3 működési bevételek'!$A$1:$H$132</definedName>
    <definedName name="_xlnm.Print_Area" localSheetId="3">'4 intézményi bevételek '!$A$1:$AV$49</definedName>
    <definedName name="_xlnm.Print_Area" localSheetId="4">'5 normatíva'!$A$1:$D$99</definedName>
    <definedName name="_xlnm.Print_Area" localSheetId="5">'6 intézményi kiadások'!$A$1:$AJ$49</definedName>
    <definedName name="_xlnm.Print_Area" localSheetId="6">'7 létszám '!$A$1:$O$48</definedName>
    <definedName name="_xlnm.Print_Area" localSheetId="7">'8 oktatás'!$A$1:$D$40</definedName>
    <definedName name="_xlnm.Print_Area" localSheetId="8">'9 kultúra'!$A$1:$D$81</definedName>
    <definedName name="polg" localSheetId="4">#REF!</definedName>
    <definedName name="polg">#REF!</definedName>
    <definedName name="polg.hiv." localSheetId="4">#REF!</definedName>
    <definedName name="polg.hiv.">#REF!</definedName>
    <definedName name="polg.hiv.2" localSheetId="4">#REF!</definedName>
    <definedName name="polg.hiv.2">#REF!</definedName>
    <definedName name="rmI" localSheetId="4">#REF!</definedName>
    <definedName name="rmI">#REF!</definedName>
    <definedName name="x" localSheetId="0">#REF!</definedName>
    <definedName name="x" localSheetId="4">#REF!</definedName>
    <definedName name="x" localSheetId="6">#REF!</definedName>
    <definedName name="x">#REF!</definedName>
    <definedName name="Z_186732C5_520C_4E06_B066_B4F3F0A3E322_.wvu.PrintArea" localSheetId="9" hidden="1">'10 szociális'!$A$1:$A$37</definedName>
    <definedName name="Z_186732C5_520C_4E06_B066_B4F3F0A3E322_.wvu.PrintArea" localSheetId="10" hidden="1">'11 egészségügy'!$A$1:$A$21</definedName>
    <definedName name="Z_186732C5_520C_4E06_B066_B4F3F0A3E322_.wvu.PrintArea" localSheetId="11" hidden="1">'12 gyermek és ifj.véd.'!$A$1:$A$12</definedName>
    <definedName name="Z_186732C5_520C_4E06_B066_B4F3F0A3E322_.wvu.PrintArea" localSheetId="12" hidden="1">'13 egyéb'!$A$1:$A$101</definedName>
    <definedName name="Z_186732C5_520C_4E06_B066_B4F3F0A3E322_.wvu.PrintArea" localSheetId="13" hidden="1">'14 sport'!$A$1:$A$27</definedName>
    <definedName name="Z_186732C5_520C_4E06_B066_B4F3F0A3E322_.wvu.PrintArea" localSheetId="14" hidden="1">'15 város.ü.'!$A$1:$A$21</definedName>
    <definedName name="Z_186732C5_520C_4E06_B066_B4F3F0A3E322_.wvu.PrintArea" localSheetId="15" hidden="1">'16 út-híd'!$A$1:$A$34</definedName>
    <definedName name="Z_186732C5_520C_4E06_B066_B4F3F0A3E322_.wvu.PrintArea" localSheetId="16" hidden="1">'17 felhalm.bevétel '!$A$1:$B$39</definedName>
    <definedName name="Z_186732C5_520C_4E06_B066_B4F3F0A3E322_.wvu.PrintArea" localSheetId="17" hidden="1">'18 felhalm.kiadás'!$A$1:$B$73</definedName>
    <definedName name="Z_186732C5_520C_4E06_B066_B4F3F0A3E322_.wvu.PrintArea" localSheetId="1" hidden="1">'2 mérleg'!$A$2:$H$60</definedName>
    <definedName name="Z_186732C5_520C_4E06_B066_B4F3F0A3E322_.wvu.PrintArea" localSheetId="2" hidden="1">'3 működési bevételek'!$A$1:$E$131</definedName>
    <definedName name="Z_186732C5_520C_4E06_B066_B4F3F0A3E322_.wvu.PrintArea" localSheetId="7" hidden="1">'8 oktatás'!$A$1:$A$27</definedName>
    <definedName name="Z_186732C5_520C_4E06_B066_B4F3F0A3E322_.wvu.PrintArea" localSheetId="8" hidden="1">'9 kultúra'!$A$1:$A$67</definedName>
    <definedName name="Z_6D4B996F_8915_4E78_98C2_E7EAE9C4580C_.wvu.PrintArea" localSheetId="9" hidden="1">'10 szociális'!$A$1:$A$37</definedName>
    <definedName name="Z_6D4B996F_8915_4E78_98C2_E7EAE9C4580C_.wvu.PrintArea" localSheetId="10" hidden="1">'11 egészségügy'!$A$1:$A$21</definedName>
    <definedName name="Z_6D4B996F_8915_4E78_98C2_E7EAE9C4580C_.wvu.PrintArea" localSheetId="11" hidden="1">'12 gyermek és ifj.véd.'!$A$1:$A$12</definedName>
    <definedName name="Z_6D4B996F_8915_4E78_98C2_E7EAE9C4580C_.wvu.PrintArea" localSheetId="12" hidden="1">'13 egyéb'!$A$1:$A$101</definedName>
    <definedName name="Z_6D4B996F_8915_4E78_98C2_E7EAE9C4580C_.wvu.PrintArea" localSheetId="13" hidden="1">'14 sport'!$A$1:$A$27</definedName>
    <definedName name="Z_6D4B996F_8915_4E78_98C2_E7EAE9C4580C_.wvu.PrintArea" localSheetId="14" hidden="1">'15 város.ü.'!$A$1:$A$21</definedName>
    <definedName name="Z_6D4B996F_8915_4E78_98C2_E7EAE9C4580C_.wvu.PrintArea" localSheetId="15" hidden="1">'16 út-híd'!$A$1:$A$34</definedName>
    <definedName name="Z_6D4B996F_8915_4E78_98C2_E7EAE9C4580C_.wvu.PrintArea" localSheetId="16" hidden="1">'17 felhalm.bevétel '!$A$1:$B$39</definedName>
    <definedName name="Z_6D4B996F_8915_4E78_98C2_E7EAE9C4580C_.wvu.PrintArea" localSheetId="17" hidden="1">'18 felhalm.kiadás'!$A$1:$B$73</definedName>
    <definedName name="Z_6D4B996F_8915_4E78_98C2_E7EAE9C4580C_.wvu.PrintArea" localSheetId="1" hidden="1">'2 mérleg'!$A$2:$H$60</definedName>
    <definedName name="Z_6D4B996F_8915_4E78_98C2_E7EAE9C4580C_.wvu.PrintArea" localSheetId="2" hidden="1">'3 működési bevételek'!$A$1:$E$131</definedName>
    <definedName name="Z_6D4B996F_8915_4E78_98C2_E7EAE9C4580C_.wvu.PrintArea" localSheetId="7" hidden="1">'8 oktatás'!$A$1:$A$27</definedName>
    <definedName name="Z_6D4B996F_8915_4E78_98C2_E7EAE9C4580C_.wvu.PrintArea" localSheetId="8" hidden="1">'9 kultúra'!$A$1:$A$67</definedName>
    <definedName name="Z_F05CDCE5_D631_41F9_80C7_3F3E8464BF12_.wvu.PrintArea" localSheetId="6" hidden="1">'7 létszám '!$A$1:$M$48</definedName>
    <definedName name="Z_F05CDCE5_D631_41F9_80C7_3F3E8464BF12_.wvu.PrintTitles" localSheetId="6" hidden="1">'7 létszám '!$1:$7</definedName>
  </definedNames>
  <calcPr calcId="191029"/>
  <customWorkbookViews>
    <customWorkbookView name="Tóth László - Egyéni látvány" guid="{6D4B996F-8915-4E78-98C2-E7EAE9C4580C}" mergeInterval="0" personalView="1" maximized="1" windowWidth="1020" windowHeight="597" tabRatio="738" activeSheetId="8"/>
    <customWorkbookView name="Szakács Eszter - Egyéni látvány" guid="{186732C5-520C-4E06-B066-B4F3F0A3E322}" mergeInterval="0" personalView="1" maximized="1" windowWidth="1020" windowHeight="594" tabRatio="738" activeSheetId="2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131" l="1"/>
  <c r="D97" i="131"/>
  <c r="C92" i="131"/>
  <c r="B92" i="131"/>
  <c r="D91" i="131"/>
  <c r="D90" i="131"/>
  <c r="D92" i="131" s="1"/>
  <c r="C89" i="131"/>
  <c r="B89" i="131"/>
  <c r="D88" i="131"/>
  <c r="D87" i="131"/>
  <c r="D86" i="131"/>
  <c r="D85" i="131"/>
  <c r="D84" i="131"/>
  <c r="D83" i="131"/>
  <c r="C82" i="131"/>
  <c r="B82" i="131"/>
  <c r="B93" i="131" s="1"/>
  <c r="D81" i="131"/>
  <c r="D80" i="131"/>
  <c r="D82" i="131" s="1"/>
  <c r="C77" i="131"/>
  <c r="B77" i="131"/>
  <c r="D76" i="131"/>
  <c r="D75" i="131"/>
  <c r="D77" i="131" s="1"/>
  <c r="B73" i="131"/>
  <c r="C72" i="131"/>
  <c r="D72" i="131" s="1"/>
  <c r="C71" i="131"/>
  <c r="D71" i="131" s="1"/>
  <c r="C70" i="131"/>
  <c r="B66" i="131"/>
  <c r="C65" i="131"/>
  <c r="D65" i="131" s="1"/>
  <c r="C64" i="131"/>
  <c r="B62" i="131"/>
  <c r="C61" i="131"/>
  <c r="D61" i="131" s="1"/>
  <c r="C60" i="131"/>
  <c r="D60" i="131" s="1"/>
  <c r="C59" i="131"/>
  <c r="B56" i="131"/>
  <c r="C55" i="131"/>
  <c r="D55" i="131" s="1"/>
  <c r="C54" i="131"/>
  <c r="D54" i="131" s="1"/>
  <c r="C53" i="131"/>
  <c r="D53" i="131" s="1"/>
  <c r="C52" i="131"/>
  <c r="D52" i="131" s="1"/>
  <c r="C51" i="131"/>
  <c r="D51" i="131" s="1"/>
  <c r="C50" i="131"/>
  <c r="D50" i="131" s="1"/>
  <c r="C49" i="131"/>
  <c r="D49" i="131" s="1"/>
  <c r="C48" i="131"/>
  <c r="B45" i="131"/>
  <c r="C44" i="131"/>
  <c r="D44" i="131" s="1"/>
  <c r="D43" i="131"/>
  <c r="D42" i="131"/>
  <c r="D40" i="131"/>
  <c r="D39" i="131"/>
  <c r="D35" i="131"/>
  <c r="D34" i="131"/>
  <c r="C32" i="131"/>
  <c r="D32" i="131" s="1"/>
  <c r="C31" i="131"/>
  <c r="D31" i="131" s="1"/>
  <c r="C26" i="131"/>
  <c r="D26" i="131" s="1"/>
  <c r="C25" i="131"/>
  <c r="D25" i="131" s="1"/>
  <c r="C22" i="131"/>
  <c r="D22" i="131" s="1"/>
  <c r="C19" i="131"/>
  <c r="D19" i="131" s="1"/>
  <c r="C17" i="131"/>
  <c r="C14" i="131"/>
  <c r="B14" i="131"/>
  <c r="D13" i="131"/>
  <c r="D12" i="131"/>
  <c r="D11" i="131"/>
  <c r="D10" i="131"/>
  <c r="D9" i="131"/>
  <c r="D8" i="131"/>
  <c r="D7" i="131"/>
  <c r="D6" i="131"/>
  <c r="C73" i="131" l="1"/>
  <c r="C62" i="131"/>
  <c r="C66" i="131"/>
  <c r="C56" i="131"/>
  <c r="B67" i="131"/>
  <c r="B78" i="131" s="1"/>
  <c r="C45" i="131"/>
  <c r="D17" i="131"/>
  <c r="D45" i="131" s="1"/>
  <c r="D59" i="131"/>
  <c r="D62" i="131" s="1"/>
  <c r="D89" i="131"/>
  <c r="D93" i="131" s="1"/>
  <c r="D14" i="131"/>
  <c r="C93" i="131"/>
  <c r="D48" i="131"/>
  <c r="D56" i="131" s="1"/>
  <c r="D64" i="131"/>
  <c r="D66" i="131" s="1"/>
  <c r="D70" i="131"/>
  <c r="D73" i="131" s="1"/>
  <c r="C67" i="131" l="1"/>
  <c r="C78" i="131" s="1"/>
  <c r="B94" i="131"/>
  <c r="B99" i="131"/>
  <c r="D67" i="131"/>
  <c r="D78" i="131" s="1"/>
  <c r="C94" i="131" l="1"/>
  <c r="C99" i="131"/>
  <c r="D94" i="131"/>
  <c r="D99" i="131"/>
  <c r="M46" i="130" l="1"/>
  <c r="K46" i="130"/>
  <c r="J46" i="130"/>
  <c r="G46" i="130"/>
  <c r="E46" i="130"/>
  <c r="D46" i="130"/>
  <c r="O45" i="130"/>
  <c r="I45" i="130"/>
  <c r="H45" i="130"/>
  <c r="L45" i="130" s="1"/>
  <c r="C45" i="130"/>
  <c r="B45" i="130"/>
  <c r="F45" i="130" s="1"/>
  <c r="O44" i="130"/>
  <c r="O46" i="130" s="1"/>
  <c r="I44" i="130"/>
  <c r="H44" i="130"/>
  <c r="H46" i="130" s="1"/>
  <c r="C44" i="130"/>
  <c r="B44" i="130"/>
  <c r="F44" i="130" s="1"/>
  <c r="O42" i="130"/>
  <c r="I42" i="130"/>
  <c r="H42" i="130"/>
  <c r="L42" i="130" s="1"/>
  <c r="C42" i="130"/>
  <c r="B42" i="130"/>
  <c r="F42" i="130" s="1"/>
  <c r="O40" i="130"/>
  <c r="I40" i="130"/>
  <c r="H40" i="130"/>
  <c r="L40" i="130" s="1"/>
  <c r="C40" i="130"/>
  <c r="B40" i="130"/>
  <c r="F40" i="130" s="1"/>
  <c r="O38" i="130"/>
  <c r="I38" i="130"/>
  <c r="H38" i="130"/>
  <c r="L38" i="130" s="1"/>
  <c r="C38" i="130"/>
  <c r="B38" i="130"/>
  <c r="F38" i="130" s="1"/>
  <c r="M36" i="130"/>
  <c r="M47" i="130" s="1"/>
  <c r="K36" i="130"/>
  <c r="J36" i="130"/>
  <c r="G36" i="130"/>
  <c r="E36" i="130"/>
  <c r="E47" i="130" s="1"/>
  <c r="D36" i="130"/>
  <c r="D47" i="130" s="1"/>
  <c r="O35" i="130"/>
  <c r="I35" i="130"/>
  <c r="H35" i="130"/>
  <c r="L35" i="130" s="1"/>
  <c r="C35" i="130"/>
  <c r="B35" i="130"/>
  <c r="F35" i="130" s="1"/>
  <c r="O34" i="130"/>
  <c r="I34" i="130"/>
  <c r="H34" i="130"/>
  <c r="L34" i="130" s="1"/>
  <c r="C34" i="130"/>
  <c r="B34" i="130"/>
  <c r="F34" i="130" s="1"/>
  <c r="O33" i="130"/>
  <c r="I33" i="130"/>
  <c r="H33" i="130"/>
  <c r="L33" i="130" s="1"/>
  <c r="C33" i="130"/>
  <c r="B33" i="130"/>
  <c r="F33" i="130" s="1"/>
  <c r="N33" i="130" s="1"/>
  <c r="O32" i="130"/>
  <c r="I32" i="130"/>
  <c r="H32" i="130"/>
  <c r="L32" i="130" s="1"/>
  <c r="C32" i="130"/>
  <c r="B32" i="130"/>
  <c r="F32" i="130" s="1"/>
  <c r="O28" i="130"/>
  <c r="I28" i="130"/>
  <c r="H28" i="130"/>
  <c r="L28" i="130" s="1"/>
  <c r="C28" i="130"/>
  <c r="B28" i="130"/>
  <c r="F28" i="130" s="1"/>
  <c r="M27" i="130"/>
  <c r="M29" i="130" s="1"/>
  <c r="K27" i="130"/>
  <c r="K29" i="130" s="1"/>
  <c r="J27" i="130"/>
  <c r="J29" i="130" s="1"/>
  <c r="G27" i="130"/>
  <c r="G29" i="130" s="1"/>
  <c r="E27" i="130"/>
  <c r="E29" i="130" s="1"/>
  <c r="D27" i="130"/>
  <c r="D29" i="130" s="1"/>
  <c r="O26" i="130"/>
  <c r="I26" i="130"/>
  <c r="H26" i="130"/>
  <c r="L26" i="130" s="1"/>
  <c r="C26" i="130"/>
  <c r="B26" i="130"/>
  <c r="F26" i="130" s="1"/>
  <c r="O25" i="130"/>
  <c r="I25" i="130"/>
  <c r="H25" i="130"/>
  <c r="L25" i="130" s="1"/>
  <c r="C25" i="130"/>
  <c r="B25" i="130"/>
  <c r="F25" i="130" s="1"/>
  <c r="N25" i="130" s="1"/>
  <c r="O24" i="130"/>
  <c r="I24" i="130"/>
  <c r="H24" i="130"/>
  <c r="L24" i="130" s="1"/>
  <c r="F24" i="130"/>
  <c r="C24" i="130"/>
  <c r="B24" i="130"/>
  <c r="O23" i="130"/>
  <c r="I23" i="130"/>
  <c r="H23" i="130"/>
  <c r="L23" i="130" s="1"/>
  <c r="C23" i="130"/>
  <c r="B23" i="130"/>
  <c r="F23" i="130" s="1"/>
  <c r="O22" i="130"/>
  <c r="I22" i="130"/>
  <c r="H22" i="130"/>
  <c r="L22" i="130" s="1"/>
  <c r="C22" i="130"/>
  <c r="B22" i="130"/>
  <c r="F22" i="130" s="1"/>
  <c r="O21" i="130"/>
  <c r="I21" i="130"/>
  <c r="H21" i="130"/>
  <c r="L21" i="130" s="1"/>
  <c r="C21" i="130"/>
  <c r="B21" i="130"/>
  <c r="F21" i="130" s="1"/>
  <c r="O20" i="130"/>
  <c r="H20" i="130"/>
  <c r="L20" i="130" s="1"/>
  <c r="C20" i="130"/>
  <c r="B20" i="130"/>
  <c r="F20" i="130" s="1"/>
  <c r="O19" i="130"/>
  <c r="I19" i="130"/>
  <c r="H19" i="130"/>
  <c r="L19" i="130" s="1"/>
  <c r="C19" i="130"/>
  <c r="B19" i="130"/>
  <c r="F19" i="130" s="1"/>
  <c r="N19" i="130" s="1"/>
  <c r="O18" i="130"/>
  <c r="I18" i="130"/>
  <c r="H18" i="130"/>
  <c r="L18" i="130" s="1"/>
  <c r="C18" i="130"/>
  <c r="B18" i="130"/>
  <c r="F18" i="130" s="1"/>
  <c r="O17" i="130"/>
  <c r="I17" i="130"/>
  <c r="H17" i="130"/>
  <c r="L17" i="130" s="1"/>
  <c r="C17" i="130"/>
  <c r="B17" i="130"/>
  <c r="F17" i="130" s="1"/>
  <c r="O16" i="130"/>
  <c r="I16" i="130"/>
  <c r="H16" i="130"/>
  <c r="L16" i="130" s="1"/>
  <c r="C16" i="130"/>
  <c r="B16" i="130"/>
  <c r="F16" i="130" s="1"/>
  <c r="O15" i="130"/>
  <c r="I15" i="130"/>
  <c r="H15" i="130"/>
  <c r="L15" i="130" s="1"/>
  <c r="C15" i="130"/>
  <c r="B15" i="130"/>
  <c r="F15" i="130" s="1"/>
  <c r="O14" i="130"/>
  <c r="I14" i="130"/>
  <c r="H14" i="130"/>
  <c r="L14" i="130" s="1"/>
  <c r="C14" i="130"/>
  <c r="B14" i="130"/>
  <c r="F14" i="130" s="1"/>
  <c r="O13" i="130"/>
  <c r="I13" i="130"/>
  <c r="H13" i="130"/>
  <c r="L13" i="130" s="1"/>
  <c r="C13" i="130"/>
  <c r="B13" i="130"/>
  <c r="F13" i="130" s="1"/>
  <c r="O12" i="130"/>
  <c r="I12" i="130"/>
  <c r="H12" i="130"/>
  <c r="L12" i="130" s="1"/>
  <c r="C12" i="130"/>
  <c r="B12" i="130"/>
  <c r="F12" i="130" s="1"/>
  <c r="O11" i="130"/>
  <c r="L11" i="130"/>
  <c r="I11" i="130"/>
  <c r="H11" i="130"/>
  <c r="C11" i="130"/>
  <c r="B11" i="130"/>
  <c r="F11" i="130" s="1"/>
  <c r="N11" i="130" s="1"/>
  <c r="O10" i="130"/>
  <c r="I10" i="130"/>
  <c r="H10" i="130"/>
  <c r="L10" i="130" s="1"/>
  <c r="C10" i="130"/>
  <c r="B10" i="130"/>
  <c r="F10" i="130" s="1"/>
  <c r="O9" i="130"/>
  <c r="I9" i="130"/>
  <c r="H9" i="130"/>
  <c r="L9" i="130" s="1"/>
  <c r="C9" i="130"/>
  <c r="B9" i="130"/>
  <c r="AC47" i="129"/>
  <c r="Z47" i="129"/>
  <c r="W47" i="129"/>
  <c r="P47" i="129"/>
  <c r="M47" i="129"/>
  <c r="AF46" i="129"/>
  <c r="AB46" i="129"/>
  <c r="AD46" i="129" s="1"/>
  <c r="Y46" i="129"/>
  <c r="AA46" i="129" s="1"/>
  <c r="V46" i="129"/>
  <c r="O46" i="129"/>
  <c r="Q46" i="129" s="1"/>
  <c r="L46" i="129"/>
  <c r="N46" i="129" s="1"/>
  <c r="I46" i="129"/>
  <c r="H46" i="129"/>
  <c r="F46" i="129"/>
  <c r="F47" i="129" s="1"/>
  <c r="E46" i="129"/>
  <c r="C46" i="129"/>
  <c r="C47" i="129" s="1"/>
  <c r="B46" i="129"/>
  <c r="AF45" i="129"/>
  <c r="AB45" i="129"/>
  <c r="AD45" i="129" s="1"/>
  <c r="Y45" i="129"/>
  <c r="AA45" i="129" s="1"/>
  <c r="V45" i="129"/>
  <c r="X45" i="129" s="1"/>
  <c r="O45" i="129"/>
  <c r="L45" i="129"/>
  <c r="N45" i="129" s="1"/>
  <c r="I45" i="129"/>
  <c r="I47" i="129" s="1"/>
  <c r="H45" i="129"/>
  <c r="E45" i="129"/>
  <c r="B45" i="129"/>
  <c r="AB43" i="129"/>
  <c r="AD43" i="129" s="1"/>
  <c r="AA43" i="129"/>
  <c r="Y43" i="129"/>
  <c r="W43" i="129"/>
  <c r="AF43" i="129" s="1"/>
  <c r="V43" i="129"/>
  <c r="Q43" i="129"/>
  <c r="O43" i="129"/>
  <c r="L43" i="129"/>
  <c r="N43" i="129" s="1"/>
  <c r="I43" i="129"/>
  <c r="H43" i="129"/>
  <c r="J43" i="129" s="1"/>
  <c r="E43" i="129"/>
  <c r="G43" i="129" s="1"/>
  <c r="D43" i="129"/>
  <c r="C43" i="129"/>
  <c r="B43" i="129"/>
  <c r="AF41" i="129"/>
  <c r="AB41" i="129"/>
  <c r="AD41" i="129" s="1"/>
  <c r="AA41" i="129"/>
  <c r="Y41" i="129"/>
  <c r="V41" i="129"/>
  <c r="S41" i="129"/>
  <c r="AI41" i="129" s="1"/>
  <c r="Q41" i="129"/>
  <c r="O41" i="129"/>
  <c r="L41" i="129"/>
  <c r="N41" i="129" s="1"/>
  <c r="H41" i="129"/>
  <c r="J41" i="129" s="1"/>
  <c r="E41" i="129"/>
  <c r="B41" i="129"/>
  <c r="D41" i="129" s="1"/>
  <c r="AB39" i="129"/>
  <c r="AD39" i="129" s="1"/>
  <c r="AA39" i="129"/>
  <c r="Y39" i="129"/>
  <c r="W39" i="129"/>
  <c r="AF39" i="129" s="1"/>
  <c r="V39" i="129"/>
  <c r="O39" i="129"/>
  <c r="Q39" i="129" s="1"/>
  <c r="L39" i="129"/>
  <c r="N39" i="129" s="1"/>
  <c r="I39" i="129"/>
  <c r="H39" i="129"/>
  <c r="J39" i="129" s="1"/>
  <c r="F39" i="129"/>
  <c r="E39" i="129"/>
  <c r="C39" i="129"/>
  <c r="B39" i="129"/>
  <c r="D39" i="129" s="1"/>
  <c r="AC37" i="129"/>
  <c r="Z37" i="129"/>
  <c r="Z48" i="129" s="1"/>
  <c r="P37" i="129"/>
  <c r="M37" i="129"/>
  <c r="F37" i="129"/>
  <c r="C37" i="129"/>
  <c r="AF36" i="129"/>
  <c r="AB36" i="129"/>
  <c r="AD36" i="129" s="1"/>
  <c r="Y36" i="129"/>
  <c r="AA36" i="129" s="1"/>
  <c r="V36" i="129"/>
  <c r="S36" i="129"/>
  <c r="AI36" i="129" s="1"/>
  <c r="O36" i="129"/>
  <c r="Q36" i="129" s="1"/>
  <c r="L36" i="129"/>
  <c r="N36" i="129" s="1"/>
  <c r="H36" i="129"/>
  <c r="J36" i="129" s="1"/>
  <c r="E36" i="129"/>
  <c r="G36" i="129" s="1"/>
  <c r="B36" i="129"/>
  <c r="AB35" i="129"/>
  <c r="AD35" i="129" s="1"/>
  <c r="Y35" i="129"/>
  <c r="AA35" i="129" s="1"/>
  <c r="W35" i="129"/>
  <c r="W37" i="129" s="1"/>
  <c r="V35" i="129"/>
  <c r="O35" i="129"/>
  <c r="Q35" i="129" s="1"/>
  <c r="L35" i="129"/>
  <c r="N35" i="129" s="1"/>
  <c r="I35" i="129"/>
  <c r="S35" i="129" s="1"/>
  <c r="H35" i="129"/>
  <c r="E35" i="129"/>
  <c r="G35" i="129" s="1"/>
  <c r="B35" i="129"/>
  <c r="D35" i="129" s="1"/>
  <c r="AF34" i="129"/>
  <c r="AB34" i="129"/>
  <c r="AD34" i="129" s="1"/>
  <c r="Y34" i="129"/>
  <c r="AA34" i="129" s="1"/>
  <c r="V34" i="129"/>
  <c r="S34" i="129"/>
  <c r="AI34" i="129" s="1"/>
  <c r="O34" i="129"/>
  <c r="Q34" i="129" s="1"/>
  <c r="L34" i="129"/>
  <c r="N34" i="129" s="1"/>
  <c r="H34" i="129"/>
  <c r="J34" i="129" s="1"/>
  <c r="E34" i="129"/>
  <c r="G34" i="129" s="1"/>
  <c r="B34" i="129"/>
  <c r="D34" i="129" s="1"/>
  <c r="AF33" i="129"/>
  <c r="AB33" i="129"/>
  <c r="AD33" i="129" s="1"/>
  <c r="Y33" i="129"/>
  <c r="AA33" i="129" s="1"/>
  <c r="V33" i="129"/>
  <c r="O33" i="129"/>
  <c r="Q33" i="129" s="1"/>
  <c r="L33" i="129"/>
  <c r="L37" i="129" s="1"/>
  <c r="I33" i="129"/>
  <c r="S33" i="129" s="1"/>
  <c r="H33" i="129"/>
  <c r="E33" i="129"/>
  <c r="G33" i="129" s="1"/>
  <c r="B33" i="129"/>
  <c r="D33" i="129" s="1"/>
  <c r="AB29" i="129"/>
  <c r="AD29" i="129" s="1"/>
  <c r="Z29" i="129"/>
  <c r="Y29" i="129"/>
  <c r="V29" i="129"/>
  <c r="X29" i="129" s="1"/>
  <c r="Q29" i="129"/>
  <c r="O29" i="129"/>
  <c r="L29" i="129"/>
  <c r="N29" i="129" s="1"/>
  <c r="H29" i="129"/>
  <c r="J29" i="129" s="1"/>
  <c r="F29" i="129"/>
  <c r="E29" i="129"/>
  <c r="C29" i="129"/>
  <c r="B29" i="129"/>
  <c r="D29" i="129" s="1"/>
  <c r="AC28" i="129"/>
  <c r="AC30" i="129" s="1"/>
  <c r="Z28" i="129"/>
  <c r="W28" i="129"/>
  <c r="W30" i="129" s="1"/>
  <c r="P28" i="129"/>
  <c r="P30" i="129" s="1"/>
  <c r="M28" i="129"/>
  <c r="M30" i="129" s="1"/>
  <c r="AF27" i="129"/>
  <c r="AB27" i="129"/>
  <c r="AD27" i="129" s="1"/>
  <c r="Y27" i="129"/>
  <c r="AA27" i="129" s="1"/>
  <c r="V27" i="129"/>
  <c r="O27" i="129"/>
  <c r="Q27" i="129" s="1"/>
  <c r="L27" i="129"/>
  <c r="N27" i="129" s="1"/>
  <c r="I27" i="129"/>
  <c r="H27" i="129"/>
  <c r="F27" i="129"/>
  <c r="E27" i="129"/>
  <c r="C27" i="129"/>
  <c r="B27" i="129"/>
  <c r="AF26" i="129"/>
  <c r="AB26" i="129"/>
  <c r="AD26" i="129" s="1"/>
  <c r="Y26" i="129"/>
  <c r="AA26" i="129" s="1"/>
  <c r="V26" i="129"/>
  <c r="O26" i="129"/>
  <c r="Q26" i="129" s="1"/>
  <c r="L26" i="129"/>
  <c r="N26" i="129" s="1"/>
  <c r="I26" i="129"/>
  <c r="S26" i="129" s="1"/>
  <c r="H26" i="129"/>
  <c r="E26" i="129"/>
  <c r="G26" i="129" s="1"/>
  <c r="B26" i="129"/>
  <c r="D26" i="129" s="1"/>
  <c r="AF25" i="129"/>
  <c r="AB25" i="129"/>
  <c r="AD25" i="129" s="1"/>
  <c r="Y25" i="129"/>
  <c r="AA25" i="129" s="1"/>
  <c r="V25" i="129"/>
  <c r="O25" i="129"/>
  <c r="Q25" i="129" s="1"/>
  <c r="L25" i="129"/>
  <c r="N25" i="129" s="1"/>
  <c r="I25" i="129"/>
  <c r="H25" i="129"/>
  <c r="J25" i="129" s="1"/>
  <c r="F25" i="129"/>
  <c r="E25" i="129"/>
  <c r="G25" i="129" s="1"/>
  <c r="C25" i="129"/>
  <c r="B25" i="129"/>
  <c r="AF24" i="129"/>
  <c r="AB24" i="129"/>
  <c r="AD24" i="129" s="1"/>
  <c r="Y24" i="129"/>
  <c r="AA24" i="129" s="1"/>
  <c r="V24" i="129"/>
  <c r="O24" i="129"/>
  <c r="Q24" i="129" s="1"/>
  <c r="L24" i="129"/>
  <c r="N24" i="129" s="1"/>
  <c r="I24" i="129"/>
  <c r="S24" i="129" s="1"/>
  <c r="AI24" i="129" s="1"/>
  <c r="H24" i="129"/>
  <c r="E24" i="129"/>
  <c r="G24" i="129" s="1"/>
  <c r="B24" i="129"/>
  <c r="D24" i="129" s="1"/>
  <c r="AF23" i="129"/>
  <c r="AB23" i="129"/>
  <c r="AD23" i="129" s="1"/>
  <c r="Y23" i="129"/>
  <c r="AA23" i="129" s="1"/>
  <c r="V23" i="129"/>
  <c r="X23" i="129" s="1"/>
  <c r="O23" i="129"/>
  <c r="Q23" i="129" s="1"/>
  <c r="L23" i="129"/>
  <c r="N23" i="129" s="1"/>
  <c r="I23" i="129"/>
  <c r="H23" i="129"/>
  <c r="F23" i="129"/>
  <c r="E23" i="129"/>
  <c r="G23" i="129" s="1"/>
  <c r="C23" i="129"/>
  <c r="B23" i="129"/>
  <c r="AF22" i="129"/>
  <c r="AB22" i="129"/>
  <c r="AD22" i="129" s="1"/>
  <c r="Y22" i="129"/>
  <c r="AA22" i="129" s="1"/>
  <c r="V22" i="129"/>
  <c r="O22" i="129"/>
  <c r="Q22" i="129" s="1"/>
  <c r="L22" i="129"/>
  <c r="N22" i="129" s="1"/>
  <c r="I22" i="129"/>
  <c r="H22" i="129"/>
  <c r="F22" i="129"/>
  <c r="E22" i="129"/>
  <c r="C22" i="129"/>
  <c r="B22" i="129"/>
  <c r="AF21" i="129"/>
  <c r="AB21" i="129"/>
  <c r="AD21" i="129" s="1"/>
  <c r="Y21" i="129"/>
  <c r="AA21" i="129" s="1"/>
  <c r="V21" i="129"/>
  <c r="O21" i="129"/>
  <c r="Q21" i="129" s="1"/>
  <c r="L21" i="129"/>
  <c r="N21" i="129" s="1"/>
  <c r="I21" i="129"/>
  <c r="H21" i="129"/>
  <c r="F21" i="129"/>
  <c r="E21" i="129"/>
  <c r="C21" i="129"/>
  <c r="B21" i="129"/>
  <c r="D21" i="129" s="1"/>
  <c r="AF20" i="129"/>
  <c r="AB20" i="129"/>
  <c r="AD20" i="129" s="1"/>
  <c r="Y20" i="129"/>
  <c r="AA20" i="129" s="1"/>
  <c r="V20" i="129"/>
  <c r="X20" i="129" s="1"/>
  <c r="O20" i="129"/>
  <c r="Q20" i="129" s="1"/>
  <c r="L20" i="129"/>
  <c r="N20" i="129" s="1"/>
  <c r="I20" i="129"/>
  <c r="S20" i="129" s="1"/>
  <c r="AI20" i="129" s="1"/>
  <c r="H20" i="129"/>
  <c r="E20" i="129"/>
  <c r="G20" i="129" s="1"/>
  <c r="B20" i="129"/>
  <c r="AF19" i="129"/>
  <c r="AB19" i="129"/>
  <c r="AD19" i="129" s="1"/>
  <c r="Y19" i="129"/>
  <c r="AA19" i="129" s="1"/>
  <c r="V19" i="129"/>
  <c r="O19" i="129"/>
  <c r="Q19" i="129" s="1"/>
  <c r="L19" i="129"/>
  <c r="N19" i="129" s="1"/>
  <c r="I19" i="129"/>
  <c r="H19" i="129"/>
  <c r="E19" i="129"/>
  <c r="G19" i="129" s="1"/>
  <c r="B19" i="129"/>
  <c r="D19" i="129" s="1"/>
  <c r="AF18" i="129"/>
  <c r="AB18" i="129"/>
  <c r="AD18" i="129" s="1"/>
  <c r="Y18" i="129"/>
  <c r="AA18" i="129" s="1"/>
  <c r="V18" i="129"/>
  <c r="Q18" i="129"/>
  <c r="O18" i="129"/>
  <c r="L18" i="129"/>
  <c r="N18" i="129" s="1"/>
  <c r="I18" i="129"/>
  <c r="H18" i="129"/>
  <c r="J18" i="129" s="1"/>
  <c r="F18" i="129"/>
  <c r="E18" i="129"/>
  <c r="C18" i="129"/>
  <c r="B18" i="129"/>
  <c r="AF17" i="129"/>
  <c r="AB17" i="129"/>
  <c r="AD17" i="129" s="1"/>
  <c r="Y17" i="129"/>
  <c r="AA17" i="129" s="1"/>
  <c r="V17" i="129"/>
  <c r="O17" i="129"/>
  <c r="Q17" i="129" s="1"/>
  <c r="L17" i="129"/>
  <c r="N17" i="129" s="1"/>
  <c r="I17" i="129"/>
  <c r="H17" i="129"/>
  <c r="F17" i="129"/>
  <c r="E17" i="129"/>
  <c r="G17" i="129" s="1"/>
  <c r="C17" i="129"/>
  <c r="B17" i="129"/>
  <c r="AF16" i="129"/>
  <c r="AB16" i="129"/>
  <c r="AD16" i="129" s="1"/>
  <c r="Y16" i="129"/>
  <c r="AA16" i="129" s="1"/>
  <c r="V16" i="129"/>
  <c r="X16" i="129" s="1"/>
  <c r="O16" i="129"/>
  <c r="Q16" i="129" s="1"/>
  <c r="L16" i="129"/>
  <c r="N16" i="129" s="1"/>
  <c r="I16" i="129"/>
  <c r="S16" i="129" s="1"/>
  <c r="AI16" i="129" s="1"/>
  <c r="H16" i="129"/>
  <c r="J16" i="129" s="1"/>
  <c r="E16" i="129"/>
  <c r="G16" i="129" s="1"/>
  <c r="B16" i="129"/>
  <c r="AF15" i="129"/>
  <c r="AB15" i="129"/>
  <c r="AD15" i="129" s="1"/>
  <c r="Y15" i="129"/>
  <c r="AA15" i="129" s="1"/>
  <c r="V15" i="129"/>
  <c r="O15" i="129"/>
  <c r="Q15" i="129" s="1"/>
  <c r="L15" i="129"/>
  <c r="N15" i="129" s="1"/>
  <c r="I15" i="129"/>
  <c r="H15" i="129"/>
  <c r="F15" i="129"/>
  <c r="E15" i="129"/>
  <c r="C15" i="129"/>
  <c r="B15" i="129"/>
  <c r="AF14" i="129"/>
  <c r="AB14" i="129"/>
  <c r="AD14" i="129" s="1"/>
  <c r="Y14" i="129"/>
  <c r="AA14" i="129" s="1"/>
  <c r="V14" i="129"/>
  <c r="X14" i="129" s="1"/>
  <c r="O14" i="129"/>
  <c r="Q14" i="129" s="1"/>
  <c r="L14" i="129"/>
  <c r="N14" i="129" s="1"/>
  <c r="I14" i="129"/>
  <c r="H14" i="129"/>
  <c r="F14" i="129"/>
  <c r="E14" i="129"/>
  <c r="G14" i="129" s="1"/>
  <c r="C14" i="129"/>
  <c r="B14" i="129"/>
  <c r="D14" i="129" s="1"/>
  <c r="AF13" i="129"/>
  <c r="AB13" i="129"/>
  <c r="AD13" i="129" s="1"/>
  <c r="Y13" i="129"/>
  <c r="AA13" i="129" s="1"/>
  <c r="V13" i="129"/>
  <c r="AE13" i="129" s="1"/>
  <c r="O13" i="129"/>
  <c r="Q13" i="129" s="1"/>
  <c r="L13" i="129"/>
  <c r="I13" i="129"/>
  <c r="H13" i="129"/>
  <c r="F13" i="129"/>
  <c r="E13" i="129"/>
  <c r="G13" i="129" s="1"/>
  <c r="C13" i="129"/>
  <c r="B13" i="129"/>
  <c r="D13" i="129" s="1"/>
  <c r="AF12" i="129"/>
  <c r="AB12" i="129"/>
  <c r="AD12" i="129" s="1"/>
  <c r="Y12" i="129"/>
  <c r="AA12" i="129" s="1"/>
  <c r="V12" i="129"/>
  <c r="O12" i="129"/>
  <c r="Q12" i="129" s="1"/>
  <c r="L12" i="129"/>
  <c r="N12" i="129" s="1"/>
  <c r="I12" i="129"/>
  <c r="H12" i="129"/>
  <c r="F12" i="129"/>
  <c r="E12" i="129"/>
  <c r="G12" i="129" s="1"/>
  <c r="C12" i="129"/>
  <c r="B12" i="129"/>
  <c r="AF11" i="129"/>
  <c r="AB11" i="129"/>
  <c r="AD11" i="129" s="1"/>
  <c r="Y11" i="129"/>
  <c r="AA11" i="129" s="1"/>
  <c r="V11" i="129"/>
  <c r="O11" i="129"/>
  <c r="Q11" i="129" s="1"/>
  <c r="L11" i="129"/>
  <c r="N11" i="129" s="1"/>
  <c r="I11" i="129"/>
  <c r="S11" i="129" s="1"/>
  <c r="AI11" i="129" s="1"/>
  <c r="H11" i="129"/>
  <c r="E11" i="129"/>
  <c r="G11" i="129" s="1"/>
  <c r="B11" i="129"/>
  <c r="D11" i="129" s="1"/>
  <c r="AF10" i="129"/>
  <c r="AB10" i="129"/>
  <c r="Y10" i="129"/>
  <c r="V10" i="129"/>
  <c r="O10" i="129"/>
  <c r="Q10" i="129" s="1"/>
  <c r="N10" i="129"/>
  <c r="L10" i="129"/>
  <c r="I10" i="129"/>
  <c r="S10" i="129" s="1"/>
  <c r="H10" i="129"/>
  <c r="E10" i="129"/>
  <c r="B10" i="129"/>
  <c r="AO47" i="128"/>
  <c r="AI47" i="128"/>
  <c r="Y47" i="128"/>
  <c r="V47" i="128"/>
  <c r="S47" i="128"/>
  <c r="L47" i="128"/>
  <c r="I47" i="128"/>
  <c r="F47" i="128"/>
  <c r="C47" i="128"/>
  <c r="AN46" i="128"/>
  <c r="AP46" i="128" s="1"/>
  <c r="AL46" i="128"/>
  <c r="AR46" i="128" s="1"/>
  <c r="AK46" i="128"/>
  <c r="AM46" i="128" s="1"/>
  <c r="AS46" i="128" s="1"/>
  <c r="AH46" i="128"/>
  <c r="AJ46" i="128" s="1"/>
  <c r="AB46" i="128"/>
  <c r="X46" i="128"/>
  <c r="Z46" i="128" s="1"/>
  <c r="U46" i="128"/>
  <c r="W46" i="128" s="1"/>
  <c r="R46" i="128"/>
  <c r="O46" i="128"/>
  <c r="K46" i="128"/>
  <c r="M46" i="128" s="1"/>
  <c r="H46" i="128"/>
  <c r="J46" i="128" s="1"/>
  <c r="E46" i="128"/>
  <c r="G46" i="128" s="1"/>
  <c r="B46" i="128"/>
  <c r="D46" i="128" s="1"/>
  <c r="AN45" i="128"/>
  <c r="AP45" i="128" s="1"/>
  <c r="AL45" i="128"/>
  <c r="AR45" i="128" s="1"/>
  <c r="AK45" i="128"/>
  <c r="AH45" i="128"/>
  <c r="AJ45" i="128" s="1"/>
  <c r="AJ47" i="128" s="1"/>
  <c r="AB45" i="128"/>
  <c r="X45" i="128"/>
  <c r="Z45" i="128" s="1"/>
  <c r="Z47" i="128" s="1"/>
  <c r="U45" i="128"/>
  <c r="R45" i="128"/>
  <c r="T45" i="128" s="1"/>
  <c r="O45" i="128"/>
  <c r="AU45" i="128" s="1"/>
  <c r="K45" i="128"/>
  <c r="M45" i="128" s="1"/>
  <c r="H45" i="128"/>
  <c r="E45" i="128"/>
  <c r="B45" i="128"/>
  <c r="D45" i="128" s="1"/>
  <c r="AO43" i="128"/>
  <c r="AN43" i="128"/>
  <c r="AP43" i="128" s="1"/>
  <c r="AL43" i="128"/>
  <c r="AK43" i="128"/>
  <c r="AH43" i="128"/>
  <c r="AJ43" i="128" s="1"/>
  <c r="AB43" i="128"/>
  <c r="X43" i="128"/>
  <c r="Z43" i="128" s="1"/>
  <c r="U43" i="128"/>
  <c r="W43" i="128" s="1"/>
  <c r="R43" i="128"/>
  <c r="O43" i="128"/>
  <c r="K43" i="128"/>
  <c r="M43" i="128" s="1"/>
  <c r="H43" i="128"/>
  <c r="J43" i="128" s="1"/>
  <c r="E43" i="128"/>
  <c r="G43" i="128" s="1"/>
  <c r="B43" i="128"/>
  <c r="D43" i="128" s="1"/>
  <c r="AR41" i="128"/>
  <c r="AN41" i="128"/>
  <c r="AP41" i="128" s="1"/>
  <c r="AK41" i="128"/>
  <c r="AH41" i="128"/>
  <c r="AJ41" i="128" s="1"/>
  <c r="AB41" i="128"/>
  <c r="X41" i="128"/>
  <c r="U41" i="128"/>
  <c r="W41" i="128" s="1"/>
  <c r="R41" i="128"/>
  <c r="O41" i="128"/>
  <c r="K41" i="128"/>
  <c r="M41" i="128" s="1"/>
  <c r="H41" i="128"/>
  <c r="J41" i="128" s="1"/>
  <c r="E41" i="128"/>
  <c r="G41" i="128" s="1"/>
  <c r="B41" i="128"/>
  <c r="D41" i="128" s="1"/>
  <c r="AO39" i="128"/>
  <c r="AN39" i="128"/>
  <c r="AL39" i="128"/>
  <c r="AK39" i="128"/>
  <c r="AQ39" i="128" s="1"/>
  <c r="AH39" i="128"/>
  <c r="AJ39" i="128" s="1"/>
  <c r="AB39" i="128"/>
  <c r="X39" i="128"/>
  <c r="Z39" i="128" s="1"/>
  <c r="U39" i="128"/>
  <c r="W39" i="128" s="1"/>
  <c r="R39" i="128"/>
  <c r="O39" i="128"/>
  <c r="K39" i="128"/>
  <c r="M39" i="128" s="1"/>
  <c r="H39" i="128"/>
  <c r="J39" i="128" s="1"/>
  <c r="E39" i="128"/>
  <c r="G39" i="128" s="1"/>
  <c r="B39" i="128"/>
  <c r="AI37" i="128"/>
  <c r="AI48" i="128" s="1"/>
  <c r="Y37" i="128"/>
  <c r="V37" i="128"/>
  <c r="S37" i="128"/>
  <c r="L37" i="128"/>
  <c r="L48" i="128" s="1"/>
  <c r="I37" i="128"/>
  <c r="F37" i="128"/>
  <c r="C37" i="128"/>
  <c r="AR36" i="128"/>
  <c r="AN36" i="128"/>
  <c r="AP36" i="128" s="1"/>
  <c r="AK36" i="128"/>
  <c r="AH36" i="128"/>
  <c r="AJ36" i="128" s="1"/>
  <c r="AB36" i="128"/>
  <c r="X36" i="128"/>
  <c r="Z36" i="128" s="1"/>
  <c r="U36" i="128"/>
  <c r="R36" i="128"/>
  <c r="T36" i="128" s="1"/>
  <c r="O36" i="128"/>
  <c r="AE36" i="128" s="1"/>
  <c r="K36" i="128"/>
  <c r="M36" i="128" s="1"/>
  <c r="H36" i="128"/>
  <c r="J36" i="128" s="1"/>
  <c r="E36" i="128"/>
  <c r="G36" i="128" s="1"/>
  <c r="B36" i="128"/>
  <c r="AO35" i="128"/>
  <c r="AN35" i="128"/>
  <c r="AL35" i="128"/>
  <c r="AK35" i="128"/>
  <c r="AH35" i="128"/>
  <c r="AJ35" i="128" s="1"/>
  <c r="AB35" i="128"/>
  <c r="X35" i="128"/>
  <c r="Z35" i="128" s="1"/>
  <c r="U35" i="128"/>
  <c r="R35" i="128"/>
  <c r="T35" i="128" s="1"/>
  <c r="O35" i="128"/>
  <c r="K35" i="128"/>
  <c r="M35" i="128" s="1"/>
  <c r="H35" i="128"/>
  <c r="J35" i="128" s="1"/>
  <c r="E35" i="128"/>
  <c r="G35" i="128" s="1"/>
  <c r="B35" i="128"/>
  <c r="D35" i="128" s="1"/>
  <c r="AR34" i="128"/>
  <c r="AN34" i="128"/>
  <c r="AP34" i="128" s="1"/>
  <c r="AK34" i="128"/>
  <c r="AM34" i="128" s="1"/>
  <c r="AH34" i="128"/>
  <c r="AJ34" i="128" s="1"/>
  <c r="AB34" i="128"/>
  <c r="X34" i="128"/>
  <c r="U34" i="128"/>
  <c r="W34" i="128" s="1"/>
  <c r="R34" i="128"/>
  <c r="T34" i="128" s="1"/>
  <c r="O34" i="128"/>
  <c r="K34" i="128"/>
  <c r="M34" i="128" s="1"/>
  <c r="H34" i="128"/>
  <c r="J34" i="128" s="1"/>
  <c r="E34" i="128"/>
  <c r="G34" i="128" s="1"/>
  <c r="B34" i="128"/>
  <c r="AR33" i="128"/>
  <c r="AN33" i="128"/>
  <c r="AP33" i="128" s="1"/>
  <c r="AL33" i="128"/>
  <c r="AK33" i="128"/>
  <c r="AH33" i="128"/>
  <c r="AB33" i="128"/>
  <c r="X33" i="128"/>
  <c r="U33" i="128"/>
  <c r="W33" i="128" s="1"/>
  <c r="R33" i="128"/>
  <c r="O33" i="128"/>
  <c r="K33" i="128"/>
  <c r="M33" i="128" s="1"/>
  <c r="H33" i="128"/>
  <c r="J33" i="128" s="1"/>
  <c r="E33" i="128"/>
  <c r="G33" i="128" s="1"/>
  <c r="B33" i="128"/>
  <c r="AO29" i="128"/>
  <c r="AN29" i="128"/>
  <c r="AP29" i="128" s="1"/>
  <c r="AL29" i="128"/>
  <c r="AK29" i="128"/>
  <c r="AH29" i="128"/>
  <c r="AJ29" i="128" s="1"/>
  <c r="AB29" i="128"/>
  <c r="X29" i="128"/>
  <c r="Z29" i="128" s="1"/>
  <c r="U29" i="128"/>
  <c r="W29" i="128" s="1"/>
  <c r="R29" i="128"/>
  <c r="O29" i="128"/>
  <c r="M29" i="128"/>
  <c r="K29" i="128"/>
  <c r="H29" i="128"/>
  <c r="J29" i="128" s="1"/>
  <c r="E29" i="128"/>
  <c r="G29" i="128" s="1"/>
  <c r="B29" i="128"/>
  <c r="AO28" i="128"/>
  <c r="AI28" i="128"/>
  <c r="AI30" i="128" s="1"/>
  <c r="Y28" i="128"/>
  <c r="Y30" i="128" s="1"/>
  <c r="V28" i="128"/>
  <c r="V30" i="128" s="1"/>
  <c r="S28" i="128"/>
  <c r="S30" i="128" s="1"/>
  <c r="L28" i="128"/>
  <c r="L30" i="128" s="1"/>
  <c r="I28" i="128"/>
  <c r="I30" i="128" s="1"/>
  <c r="F28" i="128"/>
  <c r="F30" i="128" s="1"/>
  <c r="C28" i="128"/>
  <c r="C30" i="128" s="1"/>
  <c r="AN27" i="128"/>
  <c r="AL27" i="128"/>
  <c r="AR27" i="128" s="1"/>
  <c r="AK27" i="128"/>
  <c r="AH27" i="128"/>
  <c r="AJ27" i="128" s="1"/>
  <c r="AB27" i="128"/>
  <c r="X27" i="128"/>
  <c r="Z27" i="128" s="1"/>
  <c r="U27" i="128"/>
  <c r="W27" i="128" s="1"/>
  <c r="R27" i="128"/>
  <c r="T27" i="128" s="1"/>
  <c r="O27" i="128"/>
  <c r="K27" i="128"/>
  <c r="M27" i="128" s="1"/>
  <c r="H27" i="128"/>
  <c r="J27" i="128" s="1"/>
  <c r="E27" i="128"/>
  <c r="G27" i="128" s="1"/>
  <c r="B27" i="128"/>
  <c r="D27" i="128" s="1"/>
  <c r="AN26" i="128"/>
  <c r="AP26" i="128" s="1"/>
  <c r="AL26" i="128"/>
  <c r="AR26" i="128" s="1"/>
  <c r="AK26" i="128"/>
  <c r="AM26" i="128" s="1"/>
  <c r="AH26" i="128"/>
  <c r="AJ26" i="128" s="1"/>
  <c r="AB26" i="128"/>
  <c r="X26" i="128"/>
  <c r="Z26" i="128" s="1"/>
  <c r="U26" i="128"/>
  <c r="W26" i="128" s="1"/>
  <c r="R26" i="128"/>
  <c r="O26" i="128"/>
  <c r="AE26" i="128" s="1"/>
  <c r="K26" i="128"/>
  <c r="M26" i="128" s="1"/>
  <c r="H26" i="128"/>
  <c r="J26" i="128" s="1"/>
  <c r="E26" i="128"/>
  <c r="G26" i="128" s="1"/>
  <c r="B26" i="128"/>
  <c r="D26" i="128" s="1"/>
  <c r="AN25" i="128"/>
  <c r="AL25" i="128"/>
  <c r="AR25" i="128" s="1"/>
  <c r="AK25" i="128"/>
  <c r="AH25" i="128"/>
  <c r="AJ25" i="128" s="1"/>
  <c r="AB25" i="128"/>
  <c r="X25" i="128"/>
  <c r="Z25" i="128" s="1"/>
  <c r="U25" i="128"/>
  <c r="R25" i="128"/>
  <c r="T25" i="128" s="1"/>
  <c r="O25" i="128"/>
  <c r="K25" i="128"/>
  <c r="M25" i="128" s="1"/>
  <c r="H25" i="128"/>
  <c r="J25" i="128" s="1"/>
  <c r="E25" i="128"/>
  <c r="G25" i="128" s="1"/>
  <c r="B25" i="128"/>
  <c r="D25" i="128" s="1"/>
  <c r="AN24" i="128"/>
  <c r="AP24" i="128" s="1"/>
  <c r="AL24" i="128"/>
  <c r="AK24" i="128"/>
  <c r="AH24" i="128"/>
  <c r="AJ24" i="128" s="1"/>
  <c r="AB24" i="128"/>
  <c r="X24" i="128"/>
  <c r="Z24" i="128" s="1"/>
  <c r="U24" i="128"/>
  <c r="W24" i="128" s="1"/>
  <c r="R24" i="128"/>
  <c r="O24" i="128"/>
  <c r="AE24" i="128" s="1"/>
  <c r="K24" i="128"/>
  <c r="M24" i="128" s="1"/>
  <c r="H24" i="128"/>
  <c r="J24" i="128" s="1"/>
  <c r="E24" i="128"/>
  <c r="G24" i="128" s="1"/>
  <c r="B24" i="128"/>
  <c r="D24" i="128" s="1"/>
  <c r="AN23" i="128"/>
  <c r="AL23" i="128"/>
  <c r="AR23" i="128" s="1"/>
  <c r="AK23" i="128"/>
  <c r="AH23" i="128"/>
  <c r="AJ23" i="128" s="1"/>
  <c r="AB23" i="128"/>
  <c r="X23" i="128"/>
  <c r="Z23" i="128" s="1"/>
  <c r="U23" i="128"/>
  <c r="R23" i="128"/>
  <c r="T23" i="128" s="1"/>
  <c r="O23" i="128"/>
  <c r="K23" i="128"/>
  <c r="M23" i="128" s="1"/>
  <c r="H23" i="128"/>
  <c r="J23" i="128" s="1"/>
  <c r="E23" i="128"/>
  <c r="G23" i="128" s="1"/>
  <c r="B23" i="128"/>
  <c r="D23" i="128" s="1"/>
  <c r="AN22" i="128"/>
  <c r="AL22" i="128"/>
  <c r="AK22" i="128"/>
  <c r="AH22" i="128"/>
  <c r="AJ22" i="128" s="1"/>
  <c r="AB22" i="128"/>
  <c r="X22" i="128"/>
  <c r="Z22" i="128" s="1"/>
  <c r="U22" i="128"/>
  <c r="W22" i="128" s="1"/>
  <c r="R22" i="128"/>
  <c r="O22" i="128"/>
  <c r="K22" i="128"/>
  <c r="M22" i="128" s="1"/>
  <c r="H22" i="128"/>
  <c r="J22" i="128" s="1"/>
  <c r="E22" i="128"/>
  <c r="G22" i="128" s="1"/>
  <c r="B22" i="128"/>
  <c r="D22" i="128" s="1"/>
  <c r="AN21" i="128"/>
  <c r="AL21" i="128"/>
  <c r="AR21" i="128" s="1"/>
  <c r="AK21" i="128"/>
  <c r="AM21" i="128" s="1"/>
  <c r="AH21" i="128"/>
  <c r="AJ21" i="128" s="1"/>
  <c r="AB21" i="128"/>
  <c r="X21" i="128"/>
  <c r="Z21" i="128" s="1"/>
  <c r="U21" i="128"/>
  <c r="R21" i="128"/>
  <c r="T21" i="128" s="1"/>
  <c r="O21" i="128"/>
  <c r="K21" i="128"/>
  <c r="M21" i="128" s="1"/>
  <c r="H21" i="128"/>
  <c r="J21" i="128" s="1"/>
  <c r="E21" i="128"/>
  <c r="G21" i="128" s="1"/>
  <c r="B21" i="128"/>
  <c r="D21" i="128" s="1"/>
  <c r="AN20" i="128"/>
  <c r="AP20" i="128" s="1"/>
  <c r="AL20" i="128"/>
  <c r="AK20" i="128"/>
  <c r="AH20" i="128"/>
  <c r="AJ20" i="128" s="1"/>
  <c r="AB20" i="128"/>
  <c r="X20" i="128"/>
  <c r="Z20" i="128" s="1"/>
  <c r="U20" i="128"/>
  <c r="W20" i="128" s="1"/>
  <c r="R20" i="128"/>
  <c r="O20" i="128"/>
  <c r="K20" i="128"/>
  <c r="M20" i="128" s="1"/>
  <c r="H20" i="128"/>
  <c r="J20" i="128" s="1"/>
  <c r="E20" i="128"/>
  <c r="G20" i="128" s="1"/>
  <c r="B20" i="128"/>
  <c r="D20" i="128" s="1"/>
  <c r="AN19" i="128"/>
  <c r="AL19" i="128"/>
  <c r="AR19" i="128" s="1"/>
  <c r="AK19" i="128"/>
  <c r="AH19" i="128"/>
  <c r="AJ19" i="128" s="1"/>
  <c r="AB19" i="128"/>
  <c r="X19" i="128"/>
  <c r="Z19" i="128" s="1"/>
  <c r="U19" i="128"/>
  <c r="W19" i="128" s="1"/>
  <c r="R19" i="128"/>
  <c r="T19" i="128" s="1"/>
  <c r="O19" i="128"/>
  <c r="K19" i="128"/>
  <c r="M19" i="128" s="1"/>
  <c r="H19" i="128"/>
  <c r="J19" i="128" s="1"/>
  <c r="E19" i="128"/>
  <c r="G19" i="128" s="1"/>
  <c r="B19" i="128"/>
  <c r="D19" i="128" s="1"/>
  <c r="AN18" i="128"/>
  <c r="AP18" i="128" s="1"/>
  <c r="AL18" i="128"/>
  <c r="AK18" i="128"/>
  <c r="AQ18" i="128" s="1"/>
  <c r="AH18" i="128"/>
  <c r="AJ18" i="128" s="1"/>
  <c r="AB18" i="128"/>
  <c r="X18" i="128"/>
  <c r="Z18" i="128" s="1"/>
  <c r="U18" i="128"/>
  <c r="W18" i="128" s="1"/>
  <c r="R18" i="128"/>
  <c r="T18" i="128" s="1"/>
  <c r="O18" i="128"/>
  <c r="K18" i="128"/>
  <c r="M18" i="128" s="1"/>
  <c r="H18" i="128"/>
  <c r="J18" i="128" s="1"/>
  <c r="E18" i="128"/>
  <c r="G18" i="128" s="1"/>
  <c r="B18" i="128"/>
  <c r="D18" i="128" s="1"/>
  <c r="AN17" i="128"/>
  <c r="AL17" i="128"/>
  <c r="AR17" i="128" s="1"/>
  <c r="AK17" i="128"/>
  <c r="AH17" i="128"/>
  <c r="AJ17" i="128" s="1"/>
  <c r="AB17" i="128"/>
  <c r="X17" i="128"/>
  <c r="Z17" i="128" s="1"/>
  <c r="U17" i="128"/>
  <c r="W17" i="128" s="1"/>
  <c r="R17" i="128"/>
  <c r="O17" i="128"/>
  <c r="K17" i="128"/>
  <c r="M17" i="128" s="1"/>
  <c r="H17" i="128"/>
  <c r="J17" i="128" s="1"/>
  <c r="E17" i="128"/>
  <c r="G17" i="128" s="1"/>
  <c r="B17" i="128"/>
  <c r="D17" i="128" s="1"/>
  <c r="AN16" i="128"/>
  <c r="AP16" i="128" s="1"/>
  <c r="AL16" i="128"/>
  <c r="AR16" i="128" s="1"/>
  <c r="AK16" i="128"/>
  <c r="AQ16" i="128" s="1"/>
  <c r="AH16" i="128"/>
  <c r="AJ16" i="128" s="1"/>
  <c r="AB16" i="128"/>
  <c r="X16" i="128"/>
  <c r="Z16" i="128" s="1"/>
  <c r="U16" i="128"/>
  <c r="W16" i="128" s="1"/>
  <c r="R16" i="128"/>
  <c r="O16" i="128"/>
  <c r="K16" i="128"/>
  <c r="M16" i="128" s="1"/>
  <c r="H16" i="128"/>
  <c r="J16" i="128" s="1"/>
  <c r="E16" i="128"/>
  <c r="G16" i="128" s="1"/>
  <c r="B16" i="128"/>
  <c r="D16" i="128" s="1"/>
  <c r="AN15" i="128"/>
  <c r="AL15" i="128"/>
  <c r="AR15" i="128" s="1"/>
  <c r="AK15" i="128"/>
  <c r="AM15" i="128" s="1"/>
  <c r="AH15" i="128"/>
  <c r="AJ15" i="128" s="1"/>
  <c r="AB15" i="128"/>
  <c r="X15" i="128"/>
  <c r="Z15" i="128" s="1"/>
  <c r="U15" i="128"/>
  <c r="W15" i="128" s="1"/>
  <c r="R15" i="128"/>
  <c r="T15" i="128" s="1"/>
  <c r="O15" i="128"/>
  <c r="K15" i="128"/>
  <c r="M15" i="128" s="1"/>
  <c r="H15" i="128"/>
  <c r="J15" i="128" s="1"/>
  <c r="E15" i="128"/>
  <c r="G15" i="128" s="1"/>
  <c r="B15" i="128"/>
  <c r="D15" i="128" s="1"/>
  <c r="AN14" i="128"/>
  <c r="AL14" i="128"/>
  <c r="AR14" i="128" s="1"/>
  <c r="AK14" i="128"/>
  <c r="AM14" i="128" s="1"/>
  <c r="AH14" i="128"/>
  <c r="AJ14" i="128" s="1"/>
  <c r="AB14" i="128"/>
  <c r="X14" i="128"/>
  <c r="Z14" i="128" s="1"/>
  <c r="U14" i="128"/>
  <c r="W14" i="128" s="1"/>
  <c r="R14" i="128"/>
  <c r="AA14" i="128" s="1"/>
  <c r="O14" i="128"/>
  <c r="K14" i="128"/>
  <c r="M14" i="128" s="1"/>
  <c r="H14" i="128"/>
  <c r="J14" i="128" s="1"/>
  <c r="E14" i="128"/>
  <c r="G14" i="128" s="1"/>
  <c r="B14" i="128"/>
  <c r="D14" i="128" s="1"/>
  <c r="AR13" i="128"/>
  <c r="AN13" i="128"/>
  <c r="AP13" i="128" s="1"/>
  <c r="AK13" i="128"/>
  <c r="AM13" i="128" s="1"/>
  <c r="AS13" i="128" s="1"/>
  <c r="AH13" i="128"/>
  <c r="AJ13" i="128" s="1"/>
  <c r="AB13" i="128"/>
  <c r="X13" i="128"/>
  <c r="Z13" i="128" s="1"/>
  <c r="U13" i="128"/>
  <c r="W13" i="128" s="1"/>
  <c r="R13" i="128"/>
  <c r="O13" i="128"/>
  <c r="K13" i="128"/>
  <c r="M13" i="128" s="1"/>
  <c r="H13" i="128"/>
  <c r="J13" i="128" s="1"/>
  <c r="E13" i="128"/>
  <c r="G13" i="128" s="1"/>
  <c r="B13" i="128"/>
  <c r="D13" i="128" s="1"/>
  <c r="AN12" i="128"/>
  <c r="AP12" i="128" s="1"/>
  <c r="AL12" i="128"/>
  <c r="AR12" i="128" s="1"/>
  <c r="AK12" i="128"/>
  <c r="AH12" i="128"/>
  <c r="AJ12" i="128" s="1"/>
  <c r="AB12" i="128"/>
  <c r="X12" i="128"/>
  <c r="Z12" i="128" s="1"/>
  <c r="U12" i="128"/>
  <c r="W12" i="128" s="1"/>
  <c r="R12" i="128"/>
  <c r="T12" i="128" s="1"/>
  <c r="O12" i="128"/>
  <c r="K12" i="128"/>
  <c r="M12" i="128" s="1"/>
  <c r="H12" i="128"/>
  <c r="J12" i="128" s="1"/>
  <c r="E12" i="128"/>
  <c r="G12" i="128" s="1"/>
  <c r="B12" i="128"/>
  <c r="D12" i="128" s="1"/>
  <c r="AN11" i="128"/>
  <c r="AP11" i="128" s="1"/>
  <c r="AL11" i="128"/>
  <c r="AR11" i="128" s="1"/>
  <c r="AK11" i="128"/>
  <c r="AH11" i="128"/>
  <c r="AJ11" i="128" s="1"/>
  <c r="AB11" i="128"/>
  <c r="X11" i="128"/>
  <c r="Z11" i="128" s="1"/>
  <c r="U11" i="128"/>
  <c r="W11" i="128" s="1"/>
  <c r="R11" i="128"/>
  <c r="O11" i="128"/>
  <c r="K11" i="128"/>
  <c r="M11" i="128" s="1"/>
  <c r="H11" i="128"/>
  <c r="J11" i="128" s="1"/>
  <c r="E11" i="128"/>
  <c r="G11" i="128" s="1"/>
  <c r="B11" i="128"/>
  <c r="D11" i="128" s="1"/>
  <c r="AN10" i="128"/>
  <c r="AP10" i="128" s="1"/>
  <c r="AL10" i="128"/>
  <c r="AR10" i="128" s="1"/>
  <c r="AK10" i="128"/>
  <c r="AH10" i="128"/>
  <c r="AJ10" i="128" s="1"/>
  <c r="AB10" i="128"/>
  <c r="X10" i="128"/>
  <c r="U10" i="128"/>
  <c r="W10" i="128" s="1"/>
  <c r="R10" i="128"/>
  <c r="O10" i="128"/>
  <c r="K10" i="128"/>
  <c r="M10" i="128" s="1"/>
  <c r="H10" i="128"/>
  <c r="E10" i="128"/>
  <c r="G10" i="128" s="1"/>
  <c r="B10" i="128"/>
  <c r="D10" i="128" s="1"/>
  <c r="I27" i="130" l="1"/>
  <c r="AU36" i="128"/>
  <c r="M48" i="129"/>
  <c r="AM19" i="128"/>
  <c r="AO30" i="128"/>
  <c r="AU43" i="128"/>
  <c r="AR43" i="128"/>
  <c r="AP47" i="128"/>
  <c r="V37" i="129"/>
  <c r="S17" i="129"/>
  <c r="AE16" i="128"/>
  <c r="AA23" i="128"/>
  <c r="AE34" i="128"/>
  <c r="AA41" i="128"/>
  <c r="AD47" i="129"/>
  <c r="AA10" i="128"/>
  <c r="AU13" i="128"/>
  <c r="AE21" i="128"/>
  <c r="AE39" i="128"/>
  <c r="T41" i="128"/>
  <c r="AC41" i="128" s="1"/>
  <c r="E47" i="128"/>
  <c r="S14" i="129"/>
  <c r="AI14" i="129" s="1"/>
  <c r="J26" i="129"/>
  <c r="AE10" i="128"/>
  <c r="AQ24" i="128"/>
  <c r="AR29" i="128"/>
  <c r="AU29" i="128" s="1"/>
  <c r="J11" i="129"/>
  <c r="AE25" i="129"/>
  <c r="S43" i="129"/>
  <c r="AI43" i="129" s="1"/>
  <c r="N23" i="130"/>
  <c r="AE12" i="128"/>
  <c r="AC18" i="128"/>
  <c r="AF18" i="128" s="1"/>
  <c r="P22" i="128"/>
  <c r="AE29" i="128"/>
  <c r="R14" i="129"/>
  <c r="AH14" i="129" s="1"/>
  <c r="T43" i="129"/>
  <c r="K47" i="130"/>
  <c r="K48" i="130" s="1"/>
  <c r="N17" i="130"/>
  <c r="N21" i="130"/>
  <c r="G47" i="130"/>
  <c r="G48" i="130" s="1"/>
  <c r="C46" i="130"/>
  <c r="N15" i="130"/>
  <c r="N35" i="130"/>
  <c r="N13" i="130"/>
  <c r="E48" i="130"/>
  <c r="H27" i="130"/>
  <c r="H29" i="130" s="1"/>
  <c r="F36" i="130"/>
  <c r="B27" i="130"/>
  <c r="B29" i="130" s="1"/>
  <c r="C27" i="130"/>
  <c r="C29" i="130" s="1"/>
  <c r="O27" i="130"/>
  <c r="O29" i="130" s="1"/>
  <c r="O48" i="130" s="1"/>
  <c r="B36" i="130"/>
  <c r="I36" i="130"/>
  <c r="J47" i="130"/>
  <c r="J48" i="130" s="1"/>
  <c r="N40" i="130"/>
  <c r="H36" i="130"/>
  <c r="H47" i="130" s="1"/>
  <c r="H48" i="130" s="1"/>
  <c r="N10" i="130"/>
  <c r="N12" i="130"/>
  <c r="N14" i="130"/>
  <c r="N16" i="130"/>
  <c r="N18" i="130"/>
  <c r="N20" i="130"/>
  <c r="M48" i="130"/>
  <c r="I29" i="130"/>
  <c r="C36" i="130"/>
  <c r="C47" i="130" s="1"/>
  <c r="O36" i="130"/>
  <c r="O47" i="130" s="1"/>
  <c r="N42" i="130"/>
  <c r="I46" i="130"/>
  <c r="H28" i="129"/>
  <c r="H30" i="129" s="1"/>
  <c r="J12" i="129"/>
  <c r="J13" i="129"/>
  <c r="X13" i="129"/>
  <c r="AG13" i="129" s="1"/>
  <c r="AE21" i="129"/>
  <c r="G22" i="129"/>
  <c r="X25" i="129"/>
  <c r="G37" i="129"/>
  <c r="AD37" i="129"/>
  <c r="B47" i="129"/>
  <c r="J46" i="129"/>
  <c r="AE10" i="129"/>
  <c r="S21" i="129"/>
  <c r="AI21" i="129" s="1"/>
  <c r="J22" i="129"/>
  <c r="AI26" i="129"/>
  <c r="AE27" i="129"/>
  <c r="AE34" i="129"/>
  <c r="R39" i="129"/>
  <c r="AE45" i="129"/>
  <c r="AE15" i="129"/>
  <c r="D17" i="129"/>
  <c r="AE17" i="129"/>
  <c r="G18" i="129"/>
  <c r="AE20" i="129"/>
  <c r="G21" i="129"/>
  <c r="S22" i="129"/>
  <c r="AI22" i="129" s="1"/>
  <c r="J23" i="129"/>
  <c r="J24" i="129"/>
  <c r="G27" i="129"/>
  <c r="AG45" i="129"/>
  <c r="AF47" i="129"/>
  <c r="AE11" i="129"/>
  <c r="AE14" i="129"/>
  <c r="X11" i="129"/>
  <c r="AG11" i="129" s="1"/>
  <c r="R13" i="129"/>
  <c r="AI17" i="129"/>
  <c r="J17" i="129"/>
  <c r="X27" i="129"/>
  <c r="AG27" i="129" s="1"/>
  <c r="S29" i="129"/>
  <c r="N33" i="129"/>
  <c r="N37" i="129" s="1"/>
  <c r="J35" i="129"/>
  <c r="T35" i="129" s="1"/>
  <c r="G39" i="129"/>
  <c r="L47" i="129"/>
  <c r="L48" i="129" s="1"/>
  <c r="R10" i="129"/>
  <c r="AH10" i="129" s="1"/>
  <c r="J10" i="129"/>
  <c r="AB28" i="129"/>
  <c r="AB30" i="129" s="1"/>
  <c r="F28" i="129"/>
  <c r="F30" i="129" s="1"/>
  <c r="AE12" i="129"/>
  <c r="X33" i="129"/>
  <c r="AE33" i="129"/>
  <c r="X34" i="129"/>
  <c r="AG34" i="129" s="1"/>
  <c r="W48" i="129"/>
  <c r="W49" i="129" s="1"/>
  <c r="R36" i="129"/>
  <c r="O37" i="129"/>
  <c r="AA47" i="129"/>
  <c r="T17" i="129"/>
  <c r="E28" i="129"/>
  <c r="E30" i="129" s="1"/>
  <c r="D12" i="129"/>
  <c r="T12" i="129" s="1"/>
  <c r="AJ12" i="129" s="1"/>
  <c r="S13" i="129"/>
  <c r="AI13" i="129" s="1"/>
  <c r="S15" i="129"/>
  <c r="AI15" i="129" s="1"/>
  <c r="J15" i="129"/>
  <c r="AE19" i="129"/>
  <c r="J20" i="129"/>
  <c r="J21" i="129"/>
  <c r="T21" i="129" s="1"/>
  <c r="J27" i="129"/>
  <c r="G29" i="129"/>
  <c r="T29" i="129" s="1"/>
  <c r="AA29" i="129"/>
  <c r="I37" i="129"/>
  <c r="I48" i="129" s="1"/>
  <c r="C48" i="129"/>
  <c r="E47" i="129"/>
  <c r="P48" i="129"/>
  <c r="P11" i="128"/>
  <c r="M37" i="128"/>
  <c r="AA22" i="128"/>
  <c r="AQ26" i="128"/>
  <c r="AM29" i="128"/>
  <c r="AS29" i="128" s="1"/>
  <c r="N33" i="128"/>
  <c r="N34" i="128"/>
  <c r="N39" i="128"/>
  <c r="AB47" i="128"/>
  <c r="AM23" i="128"/>
  <c r="AU26" i="128"/>
  <c r="AU41" i="128"/>
  <c r="AA43" i="128"/>
  <c r="P14" i="128"/>
  <c r="AE14" i="128"/>
  <c r="AE19" i="128"/>
  <c r="AQ20" i="128"/>
  <c r="AM27" i="128"/>
  <c r="AB37" i="128"/>
  <c r="AB48" i="128" s="1"/>
  <c r="Y48" i="128"/>
  <c r="AP39" i="128"/>
  <c r="H28" i="128"/>
  <c r="H30" i="128" s="1"/>
  <c r="J10" i="128"/>
  <c r="P10" i="128" s="1"/>
  <c r="AA24" i="128"/>
  <c r="T24" i="128"/>
  <c r="AC24" i="128" s="1"/>
  <c r="J37" i="128"/>
  <c r="AC15" i="128"/>
  <c r="AC21" i="128"/>
  <c r="AA25" i="128"/>
  <c r="W25" i="128"/>
  <c r="AC25" i="128" s="1"/>
  <c r="N29" i="128"/>
  <c r="D29" i="128"/>
  <c r="P29" i="128" s="1"/>
  <c r="W36" i="128"/>
  <c r="AA36" i="128"/>
  <c r="AP14" i="128"/>
  <c r="AS14" i="128" s="1"/>
  <c r="AV14" i="128" s="1"/>
  <c r="AQ14" i="128"/>
  <c r="AC19" i="128"/>
  <c r="AA26" i="128"/>
  <c r="T26" i="128"/>
  <c r="AC26" i="128" s="1"/>
  <c r="AL37" i="128"/>
  <c r="AM33" i="128"/>
  <c r="Z34" i="128"/>
  <c r="AC34" i="128" s="1"/>
  <c r="AF34" i="128" s="1"/>
  <c r="AA34" i="128"/>
  <c r="AO37" i="128"/>
  <c r="AO48" i="128" s="1"/>
  <c r="AO49" i="128" s="1"/>
  <c r="AR35" i="128"/>
  <c r="AR39" i="128"/>
  <c r="AM39" i="128"/>
  <c r="AS39" i="128" s="1"/>
  <c r="P12" i="128"/>
  <c r="AA16" i="128"/>
  <c r="T16" i="128"/>
  <c r="AC16" i="128" s="1"/>
  <c r="AP22" i="128"/>
  <c r="AQ22" i="128"/>
  <c r="AC27" i="128"/>
  <c r="G37" i="128"/>
  <c r="M47" i="128"/>
  <c r="M48" i="128" s="1"/>
  <c r="AQ11" i="128"/>
  <c r="AE17" i="128"/>
  <c r="AE20" i="128"/>
  <c r="Y49" i="128"/>
  <c r="S48" i="128"/>
  <c r="S49" i="128" s="1"/>
  <c r="P46" i="128"/>
  <c r="AM10" i="128"/>
  <c r="AS10" i="128" s="1"/>
  <c r="T14" i="128"/>
  <c r="AC14" i="128" s="1"/>
  <c r="AE15" i="128"/>
  <c r="AU16" i="128"/>
  <c r="AA17" i="128"/>
  <c r="P18" i="128"/>
  <c r="AA20" i="128"/>
  <c r="AA21" i="128"/>
  <c r="T22" i="128"/>
  <c r="AC22" i="128" s="1"/>
  <c r="AE23" i="128"/>
  <c r="W23" i="128"/>
  <c r="AC23" i="128" s="1"/>
  <c r="P26" i="128"/>
  <c r="N26" i="128"/>
  <c r="AT26" i="128" s="1"/>
  <c r="AU27" i="128"/>
  <c r="L49" i="128"/>
  <c r="AI49" i="128"/>
  <c r="D33" i="128"/>
  <c r="P33" i="128" s="1"/>
  <c r="D34" i="128"/>
  <c r="P34" i="128" s="1"/>
  <c r="AA35" i="128"/>
  <c r="N36" i="128"/>
  <c r="F48" i="128"/>
  <c r="F49" i="128" s="1"/>
  <c r="V48" i="128"/>
  <c r="V49" i="128" s="1"/>
  <c r="D39" i="128"/>
  <c r="P39" i="128" s="1"/>
  <c r="AE41" i="128"/>
  <c r="T43" i="128"/>
  <c r="AC43" i="128" s="1"/>
  <c r="AQ43" i="128"/>
  <c r="H47" i="128"/>
  <c r="AQ46" i="128"/>
  <c r="K47" i="128"/>
  <c r="P20" i="128"/>
  <c r="AE25" i="128"/>
  <c r="AU39" i="128"/>
  <c r="AA45" i="128"/>
  <c r="AL28" i="128"/>
  <c r="AL30" i="128" s="1"/>
  <c r="N11" i="128"/>
  <c r="AU11" i="128"/>
  <c r="AM11" i="128"/>
  <c r="AS11" i="128" s="1"/>
  <c r="N12" i="128"/>
  <c r="AU12" i="128"/>
  <c r="N13" i="128"/>
  <c r="AU14" i="128"/>
  <c r="AA15" i="128"/>
  <c r="P16" i="128"/>
  <c r="T17" i="128"/>
  <c r="AC17" i="128" s="1"/>
  <c r="AM17" i="128"/>
  <c r="AA18" i="128"/>
  <c r="AA19" i="128"/>
  <c r="T20" i="128"/>
  <c r="AC20" i="128" s="1"/>
  <c r="W21" i="128"/>
  <c r="P24" i="128"/>
  <c r="AM25" i="128"/>
  <c r="AA27" i="128"/>
  <c r="AQ29" i="128"/>
  <c r="E37" i="128"/>
  <c r="E48" i="128" s="1"/>
  <c r="K37" i="128"/>
  <c r="W35" i="128"/>
  <c r="AC35" i="128" s="1"/>
  <c r="AP35" i="128"/>
  <c r="AP37" i="128" s="1"/>
  <c r="D36" i="128"/>
  <c r="P36" i="128" s="1"/>
  <c r="I48" i="128"/>
  <c r="I49" i="128" s="1"/>
  <c r="B47" i="128"/>
  <c r="J45" i="128"/>
  <c r="J47" i="128" s="1"/>
  <c r="AH47" i="128"/>
  <c r="AN47" i="128"/>
  <c r="AU46" i="128"/>
  <c r="AU47" i="128" s="1"/>
  <c r="N28" i="130"/>
  <c r="N34" i="130"/>
  <c r="F46" i="130"/>
  <c r="F47" i="130" s="1"/>
  <c r="L27" i="130"/>
  <c r="L29" i="130" s="1"/>
  <c r="N22" i="130"/>
  <c r="N24" i="130"/>
  <c r="N26" i="130"/>
  <c r="D48" i="130"/>
  <c r="L36" i="130"/>
  <c r="N38" i="130"/>
  <c r="N45" i="130"/>
  <c r="N32" i="130"/>
  <c r="B46" i="130"/>
  <c r="B47" i="130" s="1"/>
  <c r="B48" i="130" s="1"/>
  <c r="F9" i="130"/>
  <c r="L44" i="130"/>
  <c r="L46" i="130" s="1"/>
  <c r="T11" i="129"/>
  <c r="AH13" i="129"/>
  <c r="G10" i="129"/>
  <c r="L28" i="129"/>
  <c r="L30" i="129" s="1"/>
  <c r="X10" i="129"/>
  <c r="AD10" i="129"/>
  <c r="AD28" i="129" s="1"/>
  <c r="AD30" i="129" s="1"/>
  <c r="C28" i="129"/>
  <c r="C30" i="129" s="1"/>
  <c r="R12" i="129"/>
  <c r="X12" i="129"/>
  <c r="AG12" i="129" s="1"/>
  <c r="N13" i="129"/>
  <c r="N28" i="129" s="1"/>
  <c r="N30" i="129" s="1"/>
  <c r="G15" i="129"/>
  <c r="D18" i="129"/>
  <c r="T18" i="129" s="1"/>
  <c r="R18" i="129"/>
  <c r="R19" i="129"/>
  <c r="S19" i="129"/>
  <c r="AI19" i="129" s="1"/>
  <c r="J19" i="129"/>
  <c r="T19" i="129" s="1"/>
  <c r="AG20" i="129"/>
  <c r="AE22" i="129"/>
  <c r="X22" i="129"/>
  <c r="AG22" i="129" s="1"/>
  <c r="R23" i="129"/>
  <c r="R24" i="129"/>
  <c r="R26" i="129"/>
  <c r="V28" i="129"/>
  <c r="V30" i="129" s="1"/>
  <c r="Q28" i="129"/>
  <c r="Q30" i="129" s="1"/>
  <c r="R20" i="129"/>
  <c r="D20" i="129"/>
  <c r="T20" i="129" s="1"/>
  <c r="AJ20" i="129" s="1"/>
  <c r="S25" i="129"/>
  <c r="AI25" i="129" s="1"/>
  <c r="D25" i="129"/>
  <c r="T25" i="129" s="1"/>
  <c r="S27" i="129"/>
  <c r="AI27" i="129" s="1"/>
  <c r="D27" i="129"/>
  <c r="T27" i="129" s="1"/>
  <c r="B28" i="129"/>
  <c r="B30" i="129" s="1"/>
  <c r="Y28" i="129"/>
  <c r="Y30" i="129" s="1"/>
  <c r="AI10" i="129"/>
  <c r="R11" i="129"/>
  <c r="S12" i="129"/>
  <c r="AI12" i="129" s="1"/>
  <c r="AG14" i="129"/>
  <c r="AE16" i="129"/>
  <c r="S18" i="129"/>
  <c r="AI18" i="129" s="1"/>
  <c r="H47" i="129"/>
  <c r="J45" i="129"/>
  <c r="Q45" i="129"/>
  <c r="Q47" i="129" s="1"/>
  <c r="O47" i="129"/>
  <c r="O48" i="129" s="1"/>
  <c r="S23" i="129"/>
  <c r="AI23" i="129" s="1"/>
  <c r="D23" i="129"/>
  <c r="S37" i="129"/>
  <c r="AI33" i="129"/>
  <c r="D10" i="129"/>
  <c r="I28" i="129"/>
  <c r="I30" i="129" s="1"/>
  <c r="I49" i="129" s="1"/>
  <c r="O28" i="129"/>
  <c r="O30" i="129" s="1"/>
  <c r="AA10" i="129"/>
  <c r="AA28" i="129" s="1"/>
  <c r="AA30" i="129" s="1"/>
  <c r="AF28" i="129"/>
  <c r="J14" i="129"/>
  <c r="T14" i="129" s="1"/>
  <c r="AJ14" i="129" s="1"/>
  <c r="D15" i="129"/>
  <c r="R15" i="129"/>
  <c r="R16" i="129"/>
  <c r="D16" i="129"/>
  <c r="T16" i="129" s="1"/>
  <c r="AG16" i="129"/>
  <c r="AE18" i="129"/>
  <c r="X18" i="129"/>
  <c r="AG18" i="129" s="1"/>
  <c r="D22" i="129"/>
  <c r="R22" i="129"/>
  <c r="AG23" i="129"/>
  <c r="AF29" i="129"/>
  <c r="AI29" i="129" s="1"/>
  <c r="AE41" i="129"/>
  <c r="X41" i="129"/>
  <c r="AG41" i="129" s="1"/>
  <c r="AE23" i="129"/>
  <c r="AE24" i="129"/>
  <c r="AG25" i="129"/>
  <c r="AE26" i="129"/>
  <c r="P49" i="129"/>
  <c r="AD48" i="129"/>
  <c r="R35" i="129"/>
  <c r="G41" i="129"/>
  <c r="R41" i="129"/>
  <c r="X47" i="129"/>
  <c r="X15" i="129"/>
  <c r="AG15" i="129" s="1"/>
  <c r="R17" i="129"/>
  <c r="AH17" i="129" s="1"/>
  <c r="X17" i="129"/>
  <c r="AG17" i="129" s="1"/>
  <c r="AJ17" i="129" s="1"/>
  <c r="X19" i="129"/>
  <c r="AG19" i="129" s="1"/>
  <c r="R21" i="129"/>
  <c r="AH21" i="129" s="1"/>
  <c r="X21" i="129"/>
  <c r="AG21" i="129" s="1"/>
  <c r="X24" i="129"/>
  <c r="AG24" i="129" s="1"/>
  <c r="R25" i="129"/>
  <c r="AH25" i="129" s="1"/>
  <c r="X26" i="129"/>
  <c r="AG26" i="129" s="1"/>
  <c r="R27" i="129"/>
  <c r="Z30" i="129"/>
  <c r="Z49" i="129" s="1"/>
  <c r="AG29" i="129"/>
  <c r="J33" i="129"/>
  <c r="H37" i="129"/>
  <c r="AE35" i="129"/>
  <c r="X35" i="129"/>
  <c r="AG35" i="129" s="1"/>
  <c r="F48" i="129"/>
  <c r="F49" i="129" s="1"/>
  <c r="AB37" i="129"/>
  <c r="Y47" i="129"/>
  <c r="T24" i="129"/>
  <c r="T26" i="129"/>
  <c r="AJ26" i="129" s="1"/>
  <c r="M49" i="129"/>
  <c r="R29" i="129"/>
  <c r="AE29" i="129"/>
  <c r="T34" i="129"/>
  <c r="AC48" i="129"/>
  <c r="AC49" i="129" s="1"/>
  <c r="X43" i="129"/>
  <c r="AG43" i="129" s="1"/>
  <c r="AJ43" i="129" s="1"/>
  <c r="AE43" i="129"/>
  <c r="N47" i="129"/>
  <c r="D46" i="129"/>
  <c r="R46" i="129"/>
  <c r="AE46" i="129"/>
  <c r="X46" i="129"/>
  <c r="AG46" i="129" s="1"/>
  <c r="AG47" i="129" s="1"/>
  <c r="Q37" i="129"/>
  <c r="Q48" i="129" s="1"/>
  <c r="AG33" i="129"/>
  <c r="R34" i="129"/>
  <c r="AH34" i="129" s="1"/>
  <c r="AF35" i="129"/>
  <c r="AF37" i="129" s="1"/>
  <c r="AF48" i="129" s="1"/>
  <c r="AE36" i="129"/>
  <c r="AH36" i="129" s="1"/>
  <c r="X36" i="129"/>
  <c r="AG36" i="129" s="1"/>
  <c r="B37" i="129"/>
  <c r="B48" i="129" s="1"/>
  <c r="Y37" i="129"/>
  <c r="T39" i="129"/>
  <c r="AE39" i="129"/>
  <c r="AH39" i="129" s="1"/>
  <c r="X39" i="129"/>
  <c r="AG39" i="129" s="1"/>
  <c r="R43" i="129"/>
  <c r="R45" i="129"/>
  <c r="S45" i="129"/>
  <c r="S46" i="129"/>
  <c r="AI46" i="129" s="1"/>
  <c r="E37" i="129"/>
  <c r="R33" i="129"/>
  <c r="AA37" i="129"/>
  <c r="AA48" i="129" s="1"/>
  <c r="D36" i="129"/>
  <c r="T36" i="129" s="1"/>
  <c r="S39" i="129"/>
  <c r="AI39" i="129" s="1"/>
  <c r="T41" i="129"/>
  <c r="AJ41" i="129" s="1"/>
  <c r="D45" i="129"/>
  <c r="G46" i="129"/>
  <c r="AB47" i="129"/>
  <c r="V47" i="129"/>
  <c r="V48" i="129" s="1"/>
  <c r="G45" i="129"/>
  <c r="G28" i="128"/>
  <c r="G30" i="128" s="1"/>
  <c r="M28" i="128"/>
  <c r="M30" i="128" s="1"/>
  <c r="X28" i="128"/>
  <c r="X30" i="128" s="1"/>
  <c r="Z10" i="128"/>
  <c r="Z28" i="128" s="1"/>
  <c r="Z30" i="128" s="1"/>
  <c r="AA12" i="128"/>
  <c r="AD12" i="128" s="1"/>
  <c r="AM12" i="128"/>
  <c r="AS12" i="128" s="1"/>
  <c r="AQ12" i="128"/>
  <c r="P13" i="128"/>
  <c r="AA13" i="128"/>
  <c r="T13" i="128"/>
  <c r="AC13" i="128" s="1"/>
  <c r="P15" i="128"/>
  <c r="N15" i="128"/>
  <c r="AU15" i="128"/>
  <c r="AQ17" i="128"/>
  <c r="AP17" i="128"/>
  <c r="AR18" i="128"/>
  <c r="AU18" i="128" s="1"/>
  <c r="AM18" i="128"/>
  <c r="AS18" i="128" s="1"/>
  <c r="P19" i="128"/>
  <c r="N19" i="128"/>
  <c r="AU19" i="128"/>
  <c r="AQ21" i="128"/>
  <c r="AP21" i="128"/>
  <c r="AS21" i="128" s="1"/>
  <c r="AR22" i="128"/>
  <c r="AU22" i="128" s="1"/>
  <c r="AM22" i="128"/>
  <c r="P23" i="128"/>
  <c r="N23" i="128"/>
  <c r="AU23" i="128"/>
  <c r="AQ25" i="128"/>
  <c r="AP25" i="128"/>
  <c r="AM36" i="128"/>
  <c r="AS36" i="128" s="1"/>
  <c r="AQ36" i="128"/>
  <c r="R37" i="128"/>
  <c r="AA33" i="128"/>
  <c r="T33" i="128"/>
  <c r="O28" i="128"/>
  <c r="AU10" i="128"/>
  <c r="AJ28" i="128"/>
  <c r="AJ30" i="128" s="1"/>
  <c r="AC12" i="128"/>
  <c r="AM16" i="128"/>
  <c r="AS16" i="128" s="1"/>
  <c r="AH28" i="128"/>
  <c r="AH30" i="128" s="1"/>
  <c r="AA11" i="128"/>
  <c r="T11" i="128"/>
  <c r="AC11" i="128" s="1"/>
  <c r="AE18" i="128"/>
  <c r="AE22" i="128"/>
  <c r="AS33" i="128"/>
  <c r="D28" i="128"/>
  <c r="D30" i="128" s="1"/>
  <c r="R28" i="128"/>
  <c r="R30" i="128" s="1"/>
  <c r="T10" i="128"/>
  <c r="AK28" i="128"/>
  <c r="AK30" i="128" s="1"/>
  <c r="AQ10" i="128"/>
  <c r="AT11" i="128"/>
  <c r="AQ15" i="128"/>
  <c r="AP15" i="128"/>
  <c r="AS15" i="128" s="1"/>
  <c r="P17" i="128"/>
  <c r="N17" i="128"/>
  <c r="AU17" i="128"/>
  <c r="AQ19" i="128"/>
  <c r="AP19" i="128"/>
  <c r="AS19" i="128" s="1"/>
  <c r="AR20" i="128"/>
  <c r="AU20" i="128" s="1"/>
  <c r="AM20" i="128"/>
  <c r="AS20" i="128" s="1"/>
  <c r="P21" i="128"/>
  <c r="N21" i="128"/>
  <c r="AU21" i="128"/>
  <c r="AQ23" i="128"/>
  <c r="AP23" i="128"/>
  <c r="AS23" i="128" s="1"/>
  <c r="AR24" i="128"/>
  <c r="AU24" i="128" s="1"/>
  <c r="AM24" i="128"/>
  <c r="AS24" i="128" s="1"/>
  <c r="P25" i="128"/>
  <c r="N25" i="128"/>
  <c r="AU25" i="128"/>
  <c r="U28" i="128"/>
  <c r="U30" i="128" s="1"/>
  <c r="AA29" i="128"/>
  <c r="T29" i="128"/>
  <c r="AC29" i="128" s="1"/>
  <c r="E28" i="128"/>
  <c r="E30" i="128" s="1"/>
  <c r="K28" i="128"/>
  <c r="K30" i="128" s="1"/>
  <c r="AB28" i="128"/>
  <c r="AB30" i="128" s="1"/>
  <c r="AQ27" i="128"/>
  <c r="AP27" i="128"/>
  <c r="AS27" i="128" s="1"/>
  <c r="AH37" i="128"/>
  <c r="AH48" i="128" s="1"/>
  <c r="AJ33" i="128"/>
  <c r="AJ37" i="128" s="1"/>
  <c r="AJ48" i="128" s="1"/>
  <c r="AS34" i="128"/>
  <c r="AU34" i="128"/>
  <c r="B37" i="128"/>
  <c r="AM41" i="128"/>
  <c r="AS41" i="128" s="1"/>
  <c r="AQ41" i="128"/>
  <c r="D47" i="128"/>
  <c r="AE11" i="128"/>
  <c r="AE13" i="128"/>
  <c r="AQ13" i="128"/>
  <c r="N14" i="128"/>
  <c r="N16" i="128"/>
  <c r="N18" i="128"/>
  <c r="N20" i="128"/>
  <c r="N22" i="128"/>
  <c r="N24" i="128"/>
  <c r="AS26" i="128"/>
  <c r="X37" i="128"/>
  <c r="Z33" i="128"/>
  <c r="P35" i="128"/>
  <c r="N35" i="128"/>
  <c r="AQ35" i="128"/>
  <c r="AA39" i="128"/>
  <c r="T39" i="128"/>
  <c r="AC39" i="128" s="1"/>
  <c r="B28" i="128"/>
  <c r="B30" i="128" s="1"/>
  <c r="N10" i="128"/>
  <c r="AN28" i="128"/>
  <c r="AN30" i="128" s="1"/>
  <c r="P27" i="128"/>
  <c r="N27" i="128"/>
  <c r="AD33" i="128"/>
  <c r="H37" i="128"/>
  <c r="H48" i="128" s="1"/>
  <c r="H49" i="128" s="1"/>
  <c r="AR37" i="128"/>
  <c r="AQ34" i="128"/>
  <c r="AU35" i="128"/>
  <c r="AE27" i="128"/>
  <c r="AN37" i="128"/>
  <c r="AE35" i="128"/>
  <c r="C48" i="128"/>
  <c r="C49" i="128" s="1"/>
  <c r="U37" i="128"/>
  <c r="P41" i="128"/>
  <c r="N41" i="128"/>
  <c r="P43" i="128"/>
  <c r="N43" i="128"/>
  <c r="O37" i="128"/>
  <c r="AE33" i="128"/>
  <c r="AK37" i="128"/>
  <c r="AM45" i="128"/>
  <c r="AQ45" i="128"/>
  <c r="AQ47" i="128" s="1"/>
  <c r="O47" i="128"/>
  <c r="AE47" i="128" s="1"/>
  <c r="X47" i="128"/>
  <c r="AQ33" i="128"/>
  <c r="AU33" i="128"/>
  <c r="AM35" i="128"/>
  <c r="AT39" i="128"/>
  <c r="U47" i="128"/>
  <c r="W45" i="128"/>
  <c r="W47" i="128" s="1"/>
  <c r="AE45" i="128"/>
  <c r="AR47" i="128"/>
  <c r="AA46" i="128"/>
  <c r="AA47" i="128" s="1"/>
  <c r="T46" i="128"/>
  <c r="AK47" i="128"/>
  <c r="AE43" i="128"/>
  <c r="N46" i="128"/>
  <c r="AL47" i="128"/>
  <c r="G45" i="128"/>
  <c r="G47" i="128" s="1"/>
  <c r="G48" i="128" s="1"/>
  <c r="AE46" i="128"/>
  <c r="R47" i="128"/>
  <c r="AM43" i="128"/>
  <c r="AS43" i="128" s="1"/>
  <c r="N45" i="128"/>
  <c r="N7" i="64"/>
  <c r="N8" i="64"/>
  <c r="L8" i="64"/>
  <c r="M8" i="64"/>
  <c r="N10" i="64"/>
  <c r="N8" i="63"/>
  <c r="N7" i="63"/>
  <c r="AV18" i="128" l="1"/>
  <c r="H48" i="129"/>
  <c r="H49" i="129" s="1"/>
  <c r="N37" i="128"/>
  <c r="AD37" i="128" s="1"/>
  <c r="AD26" i="128"/>
  <c r="J47" i="129"/>
  <c r="AR28" i="128"/>
  <c r="AR30" i="128" s="1"/>
  <c r="AJ24" i="129"/>
  <c r="AP48" i="128"/>
  <c r="AF14" i="128"/>
  <c r="AD29" i="128"/>
  <c r="W28" i="128"/>
  <c r="W30" i="128" s="1"/>
  <c r="AF22" i="128"/>
  <c r="AD34" i="128"/>
  <c r="K48" i="128"/>
  <c r="T22" i="129"/>
  <c r="T23" i="129"/>
  <c r="AJ23" i="129" s="1"/>
  <c r="B48" i="128"/>
  <c r="AE47" i="129"/>
  <c r="C48" i="130"/>
  <c r="I47" i="130"/>
  <c r="I48" i="130" s="1"/>
  <c r="T33" i="129"/>
  <c r="AH27" i="129"/>
  <c r="AH15" i="129"/>
  <c r="AH11" i="129"/>
  <c r="AH26" i="129"/>
  <c r="AH19" i="129"/>
  <c r="AD49" i="129"/>
  <c r="E48" i="129"/>
  <c r="E49" i="129" s="1"/>
  <c r="N48" i="129"/>
  <c r="AJ34" i="129"/>
  <c r="AH20" i="129"/>
  <c r="AJ35" i="129"/>
  <c r="AJ27" i="129"/>
  <c r="AE37" i="129"/>
  <c r="AE48" i="129" s="1"/>
  <c r="AA49" i="129"/>
  <c r="AJ11" i="129"/>
  <c r="AJ29" i="129"/>
  <c r="AJ21" i="129"/>
  <c r="AH22" i="129"/>
  <c r="AH12" i="129"/>
  <c r="L49" i="129"/>
  <c r="T13" i="129"/>
  <c r="AJ13" i="129" s="1"/>
  <c r="AE28" i="129"/>
  <c r="AE30" i="129" s="1"/>
  <c r="J37" i="129"/>
  <c r="C49" i="129"/>
  <c r="AS25" i="128"/>
  <c r="AU37" i="128"/>
  <c r="AU48" i="128" s="1"/>
  <c r="AC45" i="128"/>
  <c r="AN48" i="128"/>
  <c r="AT29" i="128"/>
  <c r="E49" i="128"/>
  <c r="J28" i="128"/>
  <c r="J30" i="128" s="1"/>
  <c r="AS22" i="128"/>
  <c r="AV22" i="128" s="1"/>
  <c r="W37" i="128"/>
  <c r="AT34" i="128"/>
  <c r="AD39" i="128"/>
  <c r="AA28" i="128"/>
  <c r="AA30" i="128" s="1"/>
  <c r="AA37" i="128"/>
  <c r="AA48" i="128" s="1"/>
  <c r="AA49" i="128" s="1"/>
  <c r="AD11" i="128"/>
  <c r="AF26" i="128"/>
  <c r="AQ37" i="128"/>
  <c r="D37" i="128"/>
  <c r="Z37" i="128"/>
  <c r="Z48" i="128" s="1"/>
  <c r="AD13" i="128"/>
  <c r="AF12" i="128"/>
  <c r="AL48" i="128"/>
  <c r="AL49" i="128" s="1"/>
  <c r="W48" i="128"/>
  <c r="W49" i="128" s="1"/>
  <c r="AS35" i="128"/>
  <c r="AS37" i="128" s="1"/>
  <c r="AS48" i="128" s="1"/>
  <c r="AV39" i="128"/>
  <c r="AT13" i="128"/>
  <c r="AC36" i="128"/>
  <c r="AD36" i="128"/>
  <c r="AT33" i="128"/>
  <c r="B49" i="128"/>
  <c r="AV26" i="128"/>
  <c r="AT36" i="128"/>
  <c r="J48" i="128"/>
  <c r="AR48" i="128"/>
  <c r="F27" i="130"/>
  <c r="F29" i="130" s="1"/>
  <c r="F48" i="130" s="1"/>
  <c r="N9" i="130"/>
  <c r="N27" i="130" s="1"/>
  <c r="N29" i="130"/>
  <c r="N36" i="130"/>
  <c r="L47" i="130"/>
  <c r="L48" i="130" s="1"/>
  <c r="N44" i="130"/>
  <c r="N46" i="130" s="1"/>
  <c r="V49" i="129"/>
  <c r="G28" i="129"/>
  <c r="G30" i="129" s="1"/>
  <c r="AJ19" i="129"/>
  <c r="AH46" i="129"/>
  <c r="AH35" i="129"/>
  <c r="T15" i="129"/>
  <c r="AJ15" i="129" s="1"/>
  <c r="R37" i="129"/>
  <c r="AH33" i="129"/>
  <c r="AJ39" i="129"/>
  <c r="T46" i="129"/>
  <c r="AJ46" i="129" s="1"/>
  <c r="AB48" i="129"/>
  <c r="AB49" i="129" s="1"/>
  <c r="AJ16" i="129"/>
  <c r="J28" i="129"/>
  <c r="J30" i="129" s="1"/>
  <c r="B49" i="129"/>
  <c r="AJ25" i="129"/>
  <c r="Q49" i="129"/>
  <c r="AH24" i="129"/>
  <c r="AH18" i="129"/>
  <c r="X28" i="129"/>
  <c r="X30" i="129" s="1"/>
  <c r="AG10" i="129"/>
  <c r="AG28" i="129" s="1"/>
  <c r="AG30" i="129" s="1"/>
  <c r="S28" i="129"/>
  <c r="S30" i="129" s="1"/>
  <c r="N49" i="129"/>
  <c r="AI45" i="129"/>
  <c r="S47" i="129"/>
  <c r="S48" i="129" s="1"/>
  <c r="AJ33" i="129"/>
  <c r="T37" i="129"/>
  <c r="AH29" i="129"/>
  <c r="X37" i="129"/>
  <c r="X48" i="129" s="1"/>
  <c r="O49" i="129"/>
  <c r="AJ36" i="129"/>
  <c r="R47" i="129"/>
  <c r="AH45" i="129"/>
  <c r="D37" i="129"/>
  <c r="AH41" i="129"/>
  <c r="AJ22" i="129"/>
  <c r="AI28" i="129"/>
  <c r="G47" i="129"/>
  <c r="G48" i="129" s="1"/>
  <c r="D47" i="129"/>
  <c r="T45" i="129"/>
  <c r="AI35" i="129"/>
  <c r="AH43" i="129"/>
  <c r="Y48" i="129"/>
  <c r="Y49" i="129" s="1"/>
  <c r="AG37" i="129"/>
  <c r="AG48" i="129" s="1"/>
  <c r="J48" i="129"/>
  <c r="AH16" i="129"/>
  <c r="AF30" i="129"/>
  <c r="AF49" i="129" s="1"/>
  <c r="D28" i="129"/>
  <c r="D30" i="129" s="1"/>
  <c r="T10" i="129"/>
  <c r="AH23" i="129"/>
  <c r="AJ18" i="129"/>
  <c r="R28" i="129"/>
  <c r="R30" i="129" s="1"/>
  <c r="N47" i="128"/>
  <c r="AD47" i="128" s="1"/>
  <c r="AD45" i="128"/>
  <c r="AT45" i="128"/>
  <c r="T47" i="128"/>
  <c r="AC46" i="128"/>
  <c r="AC47" i="128" s="1"/>
  <c r="AS45" i="128"/>
  <c r="AS47" i="128" s="1"/>
  <c r="AM47" i="128"/>
  <c r="AF43" i="128"/>
  <c r="AV43" i="128"/>
  <c r="AT27" i="128"/>
  <c r="AD27" i="128"/>
  <c r="AT35" i="128"/>
  <c r="AT37" i="128" s="1"/>
  <c r="AD35" i="128"/>
  <c r="AV34" i="128"/>
  <c r="AT20" i="128"/>
  <c r="AD20" i="128"/>
  <c r="P45" i="128"/>
  <c r="AF29" i="128"/>
  <c r="AV25" i="128"/>
  <c r="AF25" i="128"/>
  <c r="P28" i="128"/>
  <c r="AV11" i="128"/>
  <c r="AV12" i="128"/>
  <c r="AF11" i="128"/>
  <c r="AV23" i="128"/>
  <c r="AF23" i="128"/>
  <c r="AV19" i="128"/>
  <c r="AF19" i="128"/>
  <c r="AV15" i="128"/>
  <c r="AF15" i="128"/>
  <c r="Z49" i="128"/>
  <c r="AP28" i="128"/>
  <c r="AP30" i="128" s="1"/>
  <c r="AS17" i="128"/>
  <c r="O48" i="128"/>
  <c r="AE37" i="128"/>
  <c r="AE48" i="128" s="1"/>
  <c r="AV27" i="128"/>
  <c r="AF27" i="128"/>
  <c r="AF35" i="128"/>
  <c r="AV35" i="128"/>
  <c r="AT18" i="128"/>
  <c r="AD18" i="128"/>
  <c r="AT17" i="128"/>
  <c r="AD17" i="128"/>
  <c r="T28" i="128"/>
  <c r="T30" i="128" s="1"/>
  <c r="AC10" i="128"/>
  <c r="AV10" i="128" s="1"/>
  <c r="P37" i="128"/>
  <c r="AJ49" i="128"/>
  <c r="T37" i="128"/>
  <c r="T48" i="128" s="1"/>
  <c r="AC33" i="128"/>
  <c r="AF20" i="128"/>
  <c r="AF24" i="128"/>
  <c r="AT46" i="128"/>
  <c r="AD46" i="128"/>
  <c r="AT41" i="128"/>
  <c r="AD41" i="128"/>
  <c r="AQ48" i="128"/>
  <c r="D48" i="128"/>
  <c r="D49" i="128" s="1"/>
  <c r="AV41" i="128"/>
  <c r="AF41" i="128"/>
  <c r="AN49" i="128"/>
  <c r="AF39" i="128"/>
  <c r="X48" i="128"/>
  <c r="X49" i="128" s="1"/>
  <c r="AT24" i="128"/>
  <c r="AD24" i="128"/>
  <c r="AT16" i="128"/>
  <c r="AD16" i="128"/>
  <c r="AF36" i="128"/>
  <c r="AB49" i="128"/>
  <c r="AT21" i="128"/>
  <c r="AD21" i="128"/>
  <c r="AV17" i="128"/>
  <c r="AF17" i="128"/>
  <c r="AH49" i="128"/>
  <c r="AU28" i="128"/>
  <c r="AU30" i="128" s="1"/>
  <c r="AT12" i="128"/>
  <c r="M49" i="128"/>
  <c r="AV20" i="128"/>
  <c r="AV24" i="128"/>
  <c r="AF16" i="128"/>
  <c r="AK48" i="128"/>
  <c r="AK49" i="128" s="1"/>
  <c r="AT43" i="128"/>
  <c r="AD43" i="128"/>
  <c r="U48" i="128"/>
  <c r="U49" i="128" s="1"/>
  <c r="N28" i="128"/>
  <c r="AD10" i="128"/>
  <c r="AT10" i="128"/>
  <c r="AT22" i="128"/>
  <c r="AD22" i="128"/>
  <c r="AT14" i="128"/>
  <c r="AD14" i="128"/>
  <c r="AR49" i="128"/>
  <c r="AV36" i="128"/>
  <c r="K49" i="128"/>
  <c r="AV29" i="128"/>
  <c r="AT25" i="128"/>
  <c r="AD25" i="128"/>
  <c r="AV21" i="128"/>
  <c r="AF21" i="128"/>
  <c r="AQ28" i="128"/>
  <c r="AQ30" i="128" s="1"/>
  <c r="AM37" i="128"/>
  <c r="AE28" i="128"/>
  <c r="O30" i="128"/>
  <c r="R48" i="128"/>
  <c r="R49" i="128" s="1"/>
  <c r="AT23" i="128"/>
  <c r="AD23" i="128"/>
  <c r="AT19" i="128"/>
  <c r="AD19" i="128"/>
  <c r="AT15" i="128"/>
  <c r="AD15" i="128"/>
  <c r="AV13" i="128"/>
  <c r="AF13" i="128"/>
  <c r="G49" i="128"/>
  <c r="AV16" i="128"/>
  <c r="AM28" i="128"/>
  <c r="AM30" i="128" s="1"/>
  <c r="C7" i="11"/>
  <c r="C93" i="11"/>
  <c r="D26" i="23"/>
  <c r="AP49" i="128" l="1"/>
  <c r="AE49" i="129"/>
  <c r="AH28" i="129"/>
  <c r="AH30" i="129" s="1"/>
  <c r="D48" i="129"/>
  <c r="G49" i="129"/>
  <c r="T49" i="128"/>
  <c r="AQ49" i="128"/>
  <c r="AU49" i="128"/>
  <c r="AS28" i="128"/>
  <c r="AS30" i="128" s="1"/>
  <c r="AS49" i="128" s="1"/>
  <c r="J49" i="128"/>
  <c r="AM48" i="128"/>
  <c r="N48" i="128"/>
  <c r="AM49" i="128"/>
  <c r="AV28" i="128"/>
  <c r="AV30" i="128" s="1"/>
  <c r="N47" i="130"/>
  <c r="N48" i="130" s="1"/>
  <c r="AJ37" i="129"/>
  <c r="AJ45" i="129"/>
  <c r="T47" i="129"/>
  <c r="T48" i="129" s="1"/>
  <c r="AH47" i="129"/>
  <c r="AG49" i="129"/>
  <c r="AI47" i="129"/>
  <c r="AI37" i="129"/>
  <c r="X49" i="129"/>
  <c r="R48" i="129"/>
  <c r="R49" i="129" s="1"/>
  <c r="T28" i="129"/>
  <c r="T30" i="129" s="1"/>
  <c r="AJ10" i="129"/>
  <c r="S49" i="129"/>
  <c r="J49" i="129"/>
  <c r="D49" i="129"/>
  <c r="AI30" i="129"/>
  <c r="AH37" i="129"/>
  <c r="O49" i="128"/>
  <c r="AE30" i="128"/>
  <c r="AE49" i="128" s="1"/>
  <c r="AT28" i="128"/>
  <c r="AT30" i="128" s="1"/>
  <c r="AV45" i="128"/>
  <c r="P47" i="128"/>
  <c r="AF47" i="128" s="1"/>
  <c r="AF45" i="128"/>
  <c r="AD48" i="128"/>
  <c r="AT47" i="128"/>
  <c r="AT48" i="128" s="1"/>
  <c r="AF10" i="128"/>
  <c r="AD28" i="128"/>
  <c r="N30" i="128"/>
  <c r="AC37" i="128"/>
  <c r="AC48" i="128" s="1"/>
  <c r="AV33" i="128"/>
  <c r="AV37" i="128" s="1"/>
  <c r="AF33" i="128"/>
  <c r="AF46" i="128"/>
  <c r="AV46" i="128"/>
  <c r="AC28" i="128"/>
  <c r="AC30" i="128" s="1"/>
  <c r="P30" i="128"/>
  <c r="J57" i="2"/>
  <c r="I57" i="2"/>
  <c r="K56" i="2"/>
  <c r="E57" i="2"/>
  <c r="D57" i="2"/>
  <c r="F56" i="2"/>
  <c r="J22" i="2"/>
  <c r="I22" i="2"/>
  <c r="K17" i="2"/>
  <c r="C55" i="11"/>
  <c r="C12" i="14"/>
  <c r="E21" i="54"/>
  <c r="H107" i="52"/>
  <c r="G108" i="52"/>
  <c r="H86" i="52"/>
  <c r="H87" i="52"/>
  <c r="H88" i="52"/>
  <c r="H72" i="52"/>
  <c r="H85" i="52"/>
  <c r="H89" i="52"/>
  <c r="H64" i="52"/>
  <c r="H47" i="52"/>
  <c r="C7" i="6"/>
  <c r="C8" i="6"/>
  <c r="C23" i="11"/>
  <c r="C6" i="11"/>
  <c r="C8" i="7"/>
  <c r="C7" i="8"/>
  <c r="C9" i="8"/>
  <c r="C22" i="8"/>
  <c r="C42" i="8"/>
  <c r="C7" i="10"/>
  <c r="C16" i="10"/>
  <c r="D32" i="8"/>
  <c r="D25" i="14"/>
  <c r="C34" i="6"/>
  <c r="C23" i="14"/>
  <c r="E11" i="23"/>
  <c r="D33" i="8"/>
  <c r="P48" i="128" l="1"/>
  <c r="AC49" i="128"/>
  <c r="AF28" i="128"/>
  <c r="AI48" i="129"/>
  <c r="AI49" i="129" s="1"/>
  <c r="AJ28" i="129"/>
  <c r="AH48" i="129"/>
  <c r="T49" i="129"/>
  <c r="AJ47" i="129"/>
  <c r="AT49" i="128"/>
  <c r="P49" i="128"/>
  <c r="AF30" i="128"/>
  <c r="AF37" i="128"/>
  <c r="AF48" i="128" s="1"/>
  <c r="N49" i="128"/>
  <c r="AD30" i="128"/>
  <c r="AD49" i="128" s="1"/>
  <c r="AV47" i="128"/>
  <c r="AV48" i="128" s="1"/>
  <c r="AV49" i="128" s="1"/>
  <c r="C9" i="17"/>
  <c r="K50" i="2"/>
  <c r="F51" i="2"/>
  <c r="H48" i="52"/>
  <c r="C74" i="7"/>
  <c r="C10" i="7"/>
  <c r="G22" i="52"/>
  <c r="F22" i="52"/>
  <c r="H21" i="52"/>
  <c r="G14" i="52"/>
  <c r="G12" i="52"/>
  <c r="G10" i="52"/>
  <c r="AH49" i="129" l="1"/>
  <c r="AJ48" i="129"/>
  <c r="AF49" i="128"/>
  <c r="AJ30" i="129"/>
  <c r="H46" i="52"/>
  <c r="J7" i="64"/>
  <c r="J9" i="64" s="1"/>
  <c r="I7" i="64"/>
  <c r="I9" i="64"/>
  <c r="I11" i="64" s="1"/>
  <c r="D21" i="64" s="1"/>
  <c r="H7" i="64"/>
  <c r="H9" i="64" s="1"/>
  <c r="H11" i="64" s="1"/>
  <c r="D20" i="64" s="1"/>
  <c r="K8" i="64"/>
  <c r="K9" i="64" s="1"/>
  <c r="K11" i="64" s="1"/>
  <c r="D23" i="64" s="1"/>
  <c r="J10" i="64"/>
  <c r="J7" i="63"/>
  <c r="J9" i="63" s="1"/>
  <c r="J11" i="63" s="1"/>
  <c r="C22" i="64" s="1"/>
  <c r="I7" i="63"/>
  <c r="I9" i="63" s="1"/>
  <c r="I11" i="63" s="1"/>
  <c r="C21" i="64" s="1"/>
  <c r="H7" i="63"/>
  <c r="H9" i="63" s="1"/>
  <c r="H11" i="63" s="1"/>
  <c r="C20" i="64" s="1"/>
  <c r="K17" i="77"/>
  <c r="G7" i="64"/>
  <c r="L7" i="64"/>
  <c r="L9" i="64" s="1"/>
  <c r="L11" i="64" s="1"/>
  <c r="D24" i="64" s="1"/>
  <c r="M7" i="64"/>
  <c r="M9" i="64" s="1"/>
  <c r="M11" i="64" s="1"/>
  <c r="D25" i="64" s="1"/>
  <c r="G8" i="64"/>
  <c r="N9" i="64"/>
  <c r="N11" i="64" s="1"/>
  <c r="D26" i="64" s="1"/>
  <c r="C9" i="64"/>
  <c r="D9" i="64"/>
  <c r="D11" i="64" s="1"/>
  <c r="D16" i="64" s="1"/>
  <c r="E9" i="64"/>
  <c r="E11" i="64" s="1"/>
  <c r="D17" i="64" s="1"/>
  <c r="F9" i="64"/>
  <c r="F11" i="64" s="1"/>
  <c r="D18" i="64" s="1"/>
  <c r="C10" i="64"/>
  <c r="E7" i="63"/>
  <c r="F7" i="63"/>
  <c r="F9" i="63" s="1"/>
  <c r="F11" i="63" s="1"/>
  <c r="C18" i="64" s="1"/>
  <c r="G7" i="63"/>
  <c r="G9" i="63" s="1"/>
  <c r="G11" i="63" s="1"/>
  <c r="C19" i="64" s="1"/>
  <c r="K7" i="63"/>
  <c r="K9" i="63" s="1"/>
  <c r="K11" i="63" s="1"/>
  <c r="C23" i="64" s="1"/>
  <c r="L7" i="63"/>
  <c r="L9" i="63" s="1"/>
  <c r="L11" i="63" s="1"/>
  <c r="C24" i="64" s="1"/>
  <c r="M7" i="63"/>
  <c r="M9" i="63" s="1"/>
  <c r="M11" i="63" s="1"/>
  <c r="C25" i="64" s="1"/>
  <c r="N9" i="63"/>
  <c r="N11" i="63" s="1"/>
  <c r="C26" i="64" s="1"/>
  <c r="C8" i="63"/>
  <c r="C9" i="63" s="1"/>
  <c r="C11" i="63" s="1"/>
  <c r="C15" i="64" s="1"/>
  <c r="E8" i="63"/>
  <c r="D9" i="63"/>
  <c r="D11" i="63" s="1"/>
  <c r="C16" i="64" s="1"/>
  <c r="E7" i="23"/>
  <c r="E8" i="23"/>
  <c r="E9" i="23"/>
  <c r="E10" i="23"/>
  <c r="E12" i="23"/>
  <c r="C13" i="23"/>
  <c r="D13" i="23"/>
  <c r="E15" i="23"/>
  <c r="E16" i="23" s="1"/>
  <c r="K37" i="2" s="1"/>
  <c r="C16" i="23"/>
  <c r="D16" i="23"/>
  <c r="J37" i="2" s="1"/>
  <c r="E18" i="23"/>
  <c r="E19" i="23" s="1"/>
  <c r="K38" i="2" s="1"/>
  <c r="C19" i="23"/>
  <c r="I38" i="2" s="1"/>
  <c r="D19" i="23"/>
  <c r="J38" i="2" s="1"/>
  <c r="E21" i="23"/>
  <c r="E22" i="23"/>
  <c r="C23" i="23"/>
  <c r="D23" i="23"/>
  <c r="E26" i="23"/>
  <c r="E27" i="23"/>
  <c r="E28" i="23"/>
  <c r="E30" i="23"/>
  <c r="E31" i="23"/>
  <c r="E32" i="23"/>
  <c r="E33" i="23"/>
  <c r="E34" i="23"/>
  <c r="E35" i="23"/>
  <c r="E36" i="23"/>
  <c r="E37" i="23"/>
  <c r="E38" i="23"/>
  <c r="E40" i="23"/>
  <c r="E41" i="23"/>
  <c r="E42" i="23"/>
  <c r="E43" i="23"/>
  <c r="E44" i="23"/>
  <c r="E45" i="23"/>
  <c r="E46" i="23"/>
  <c r="E47" i="23"/>
  <c r="E48" i="23"/>
  <c r="E49" i="23"/>
  <c r="E51" i="23"/>
  <c r="E52" i="23"/>
  <c r="E53" i="23"/>
  <c r="E54" i="23"/>
  <c r="E55" i="23"/>
  <c r="E57" i="23"/>
  <c r="E58" i="23"/>
  <c r="E59" i="23"/>
  <c r="E60" i="23"/>
  <c r="E61" i="23"/>
  <c r="E62" i="23"/>
  <c r="E63" i="23"/>
  <c r="E64" i="23"/>
  <c r="E65" i="23"/>
  <c r="E66" i="23"/>
  <c r="E67" i="23"/>
  <c r="C68" i="23"/>
  <c r="I40" i="2" s="1"/>
  <c r="D68" i="23"/>
  <c r="J40" i="2" s="1"/>
  <c r="E70" i="23"/>
  <c r="E71" i="23" s="1"/>
  <c r="K41" i="2" s="1"/>
  <c r="C71" i="23"/>
  <c r="D71" i="23"/>
  <c r="E72" i="23"/>
  <c r="K42" i="2" s="1"/>
  <c r="E6" i="54"/>
  <c r="C8" i="54"/>
  <c r="D8" i="54"/>
  <c r="E8" i="54"/>
  <c r="E9" i="54"/>
  <c r="E10" i="54" s="1"/>
  <c r="C10" i="54"/>
  <c r="D10" i="54"/>
  <c r="E13" i="54"/>
  <c r="E14" i="54"/>
  <c r="E15" i="54"/>
  <c r="E16" i="54"/>
  <c r="C17" i="54"/>
  <c r="D29" i="2" s="1"/>
  <c r="D17" i="54"/>
  <c r="E29" i="2" s="1"/>
  <c r="E20" i="54"/>
  <c r="E23" i="54"/>
  <c r="C24" i="54"/>
  <c r="D30" i="2" s="1"/>
  <c r="D24" i="54"/>
  <c r="E30" i="2" s="1"/>
  <c r="E26" i="54"/>
  <c r="E27" i="54"/>
  <c r="E28" i="54"/>
  <c r="E29" i="54"/>
  <c r="E30" i="54"/>
  <c r="E31" i="54"/>
  <c r="E32" i="54"/>
  <c r="E33" i="54"/>
  <c r="E34" i="54"/>
  <c r="E35" i="54"/>
  <c r="E36" i="54"/>
  <c r="C37" i="54"/>
  <c r="D37" i="54"/>
  <c r="E31" i="2" s="1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B34" i="17"/>
  <c r="C34" i="17"/>
  <c r="J15" i="2" s="1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B21" i="16"/>
  <c r="B29" i="16" s="1"/>
  <c r="I14" i="2" s="1"/>
  <c r="C21" i="16"/>
  <c r="C29" i="16" s="1"/>
  <c r="J14" i="2" s="1"/>
  <c r="D22" i="16"/>
  <c r="D23" i="16"/>
  <c r="D24" i="16"/>
  <c r="D25" i="16"/>
  <c r="D26" i="16"/>
  <c r="D27" i="16"/>
  <c r="D28" i="16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6" i="14"/>
  <c r="B27" i="14"/>
  <c r="I13" i="2" s="1"/>
  <c r="C27" i="14"/>
  <c r="J13" i="2" s="1"/>
  <c r="D6" i="11"/>
  <c r="D7" i="11"/>
  <c r="B8" i="11"/>
  <c r="C8" i="11"/>
  <c r="D10" i="11"/>
  <c r="D11" i="11"/>
  <c r="D12" i="11"/>
  <c r="D13" i="11"/>
  <c r="D14" i="11"/>
  <c r="D15" i="11"/>
  <c r="B16" i="11"/>
  <c r="C16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2" i="11"/>
  <c r="D43" i="11"/>
  <c r="D45" i="11"/>
  <c r="D46" i="11"/>
  <c r="D47" i="11"/>
  <c r="D48" i="11"/>
  <c r="D49" i="11"/>
  <c r="D51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1" i="11"/>
  <c r="D82" i="11"/>
  <c r="D83" i="11"/>
  <c r="D84" i="11"/>
  <c r="D85" i="11"/>
  <c r="D87" i="11"/>
  <c r="B88" i="11"/>
  <c r="C88" i="11"/>
  <c r="D90" i="11"/>
  <c r="D91" i="11"/>
  <c r="D92" i="11"/>
  <c r="D93" i="11"/>
  <c r="D94" i="11"/>
  <c r="D95" i="11"/>
  <c r="D96" i="11"/>
  <c r="D97" i="11"/>
  <c r="D98" i="11"/>
  <c r="B99" i="11"/>
  <c r="C99" i="11"/>
  <c r="D106" i="11"/>
  <c r="D107" i="11"/>
  <c r="B108" i="11"/>
  <c r="C108" i="11"/>
  <c r="J34" i="2" s="1"/>
  <c r="D7" i="10"/>
  <c r="D8" i="10"/>
  <c r="D9" i="10"/>
  <c r="B10" i="10"/>
  <c r="B11" i="10" s="1"/>
  <c r="C10" i="10"/>
  <c r="C11" i="10" s="1"/>
  <c r="J11" i="2" s="1"/>
  <c r="D16" i="10"/>
  <c r="K33" i="2" s="1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B20" i="9"/>
  <c r="B21" i="9" s="1"/>
  <c r="I10" i="2" s="1"/>
  <c r="C20" i="9"/>
  <c r="C21" i="9" s="1"/>
  <c r="D27" i="9"/>
  <c r="K32" i="2" s="1"/>
  <c r="D7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4" i="8"/>
  <c r="B35" i="8"/>
  <c r="B36" i="8" s="1"/>
  <c r="B37" i="8" s="1"/>
  <c r="C35" i="8"/>
  <c r="C36" i="8" s="1"/>
  <c r="C37" i="8" s="1"/>
  <c r="D42" i="8"/>
  <c r="K31" i="2" s="1"/>
  <c r="D8" i="7"/>
  <c r="D9" i="7"/>
  <c r="D10" i="7"/>
  <c r="D11" i="7"/>
  <c r="B12" i="7"/>
  <c r="C12" i="7"/>
  <c r="D14" i="7"/>
  <c r="D15" i="7"/>
  <c r="B16" i="7"/>
  <c r="B19" i="7" s="1"/>
  <c r="C16" i="7"/>
  <c r="C19" i="7" s="1"/>
  <c r="D17" i="7"/>
  <c r="D18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B45" i="7"/>
  <c r="B47" i="7" s="1"/>
  <c r="C45" i="7"/>
  <c r="C47" i="7" s="1"/>
  <c r="D46" i="7"/>
  <c r="D48" i="7"/>
  <c r="D50" i="7"/>
  <c r="D51" i="7"/>
  <c r="D52" i="7"/>
  <c r="B53" i="7"/>
  <c r="B54" i="7" s="1"/>
  <c r="C53" i="7"/>
  <c r="C54" i="7" s="1"/>
  <c r="D57" i="7"/>
  <c r="D58" i="7"/>
  <c r="D59" i="7"/>
  <c r="B60" i="7"/>
  <c r="C60" i="7"/>
  <c r="D62" i="7"/>
  <c r="D63" i="7"/>
  <c r="B64" i="7"/>
  <c r="B65" i="7" s="1"/>
  <c r="C64" i="7"/>
  <c r="D72" i="7"/>
  <c r="D73" i="7"/>
  <c r="D74" i="7"/>
  <c r="D75" i="7"/>
  <c r="B76" i="7"/>
  <c r="I30" i="2" s="1"/>
  <c r="C76" i="7"/>
  <c r="J30" i="2" s="1"/>
  <c r="D7" i="6"/>
  <c r="D8" i="6"/>
  <c r="B9" i="6"/>
  <c r="C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B27" i="6"/>
  <c r="C27" i="6"/>
  <c r="D33" i="6"/>
  <c r="D34" i="6"/>
  <c r="B35" i="6"/>
  <c r="I29" i="2" s="1"/>
  <c r="C35" i="6"/>
  <c r="J29" i="2" s="1"/>
  <c r="H8" i="52"/>
  <c r="H10" i="52"/>
  <c r="H12" i="52"/>
  <c r="H14" i="52"/>
  <c r="G15" i="52"/>
  <c r="G18" i="52" s="1"/>
  <c r="H16" i="52"/>
  <c r="H17" i="52"/>
  <c r="F18" i="52"/>
  <c r="H20" i="52"/>
  <c r="H22" i="52" s="1"/>
  <c r="H24" i="52"/>
  <c r="H25" i="52"/>
  <c r="H26" i="52"/>
  <c r="H27" i="52"/>
  <c r="H28" i="52"/>
  <c r="F29" i="52"/>
  <c r="G29" i="52"/>
  <c r="H31" i="52"/>
  <c r="H32" i="52"/>
  <c r="F33" i="52"/>
  <c r="G33" i="52"/>
  <c r="H36" i="52"/>
  <c r="H37" i="52" s="1"/>
  <c r="F37" i="52"/>
  <c r="G37" i="52"/>
  <c r="H39" i="52"/>
  <c r="F40" i="52"/>
  <c r="G40" i="52"/>
  <c r="H41" i="52"/>
  <c r="H42" i="52"/>
  <c r="H43" i="52"/>
  <c r="H44" i="52"/>
  <c r="H45" i="52"/>
  <c r="H50" i="52"/>
  <c r="F51" i="52"/>
  <c r="G51" i="52"/>
  <c r="H55" i="52"/>
  <c r="H57" i="52"/>
  <c r="H59" i="52"/>
  <c r="H60" i="52"/>
  <c r="H62" i="52"/>
  <c r="H63" i="52"/>
  <c r="H65" i="52"/>
  <c r="F66" i="52"/>
  <c r="G66" i="52"/>
  <c r="E8" i="2" s="1"/>
  <c r="H68" i="52"/>
  <c r="H69" i="52"/>
  <c r="H70" i="52"/>
  <c r="H71" i="52"/>
  <c r="H73" i="52"/>
  <c r="H74" i="52"/>
  <c r="H75" i="52"/>
  <c r="H76" i="52"/>
  <c r="H77" i="52"/>
  <c r="H78" i="52"/>
  <c r="H79" i="52"/>
  <c r="H80" i="52"/>
  <c r="H81" i="52"/>
  <c r="H82" i="52"/>
  <c r="H83" i="52"/>
  <c r="H84" i="52"/>
  <c r="H91" i="52"/>
  <c r="H92" i="52"/>
  <c r="H93" i="52"/>
  <c r="H94" i="52"/>
  <c r="H95" i="52"/>
  <c r="H96" i="52"/>
  <c r="H98" i="52"/>
  <c r="H99" i="52"/>
  <c r="F100" i="52"/>
  <c r="D9" i="2" s="1"/>
  <c r="G100" i="52"/>
  <c r="E9" i="2" s="1"/>
  <c r="H103" i="52"/>
  <c r="H104" i="52"/>
  <c r="H105" i="52"/>
  <c r="H108" i="52"/>
  <c r="H109" i="52"/>
  <c r="H110" i="52"/>
  <c r="H111" i="52"/>
  <c r="H112" i="52"/>
  <c r="H113" i="52"/>
  <c r="H114" i="52"/>
  <c r="H115" i="52"/>
  <c r="H116" i="52"/>
  <c r="H117" i="52"/>
  <c r="F118" i="52"/>
  <c r="D10" i="2" s="1"/>
  <c r="G118" i="52"/>
  <c r="E10" i="2" s="1"/>
  <c r="H120" i="52"/>
  <c r="H121" i="52"/>
  <c r="H122" i="52"/>
  <c r="H123" i="52"/>
  <c r="H124" i="52"/>
  <c r="H125" i="52"/>
  <c r="H126" i="52"/>
  <c r="H127" i="52"/>
  <c r="H128" i="52"/>
  <c r="H129" i="52"/>
  <c r="H130" i="52"/>
  <c r="F131" i="52"/>
  <c r="D11" i="2" s="1"/>
  <c r="G131" i="52"/>
  <c r="E11" i="2" s="1"/>
  <c r="D8" i="2"/>
  <c r="I15" i="2"/>
  <c r="K18" i="2"/>
  <c r="K19" i="2"/>
  <c r="K20" i="2"/>
  <c r="K21" i="2"/>
  <c r="D31" i="2"/>
  <c r="I31" i="2"/>
  <c r="J31" i="2"/>
  <c r="I32" i="2"/>
  <c r="J32" i="2"/>
  <c r="I33" i="2"/>
  <c r="J33" i="2"/>
  <c r="I34" i="2"/>
  <c r="I36" i="2"/>
  <c r="J36" i="2"/>
  <c r="J39" i="2"/>
  <c r="I41" i="2"/>
  <c r="J41" i="2"/>
  <c r="I42" i="2"/>
  <c r="J42" i="2"/>
  <c r="F47" i="2"/>
  <c r="F48" i="2"/>
  <c r="K48" i="2"/>
  <c r="F49" i="2"/>
  <c r="K49" i="2"/>
  <c r="F50" i="2"/>
  <c r="F52" i="2"/>
  <c r="F53" i="2"/>
  <c r="F54" i="2"/>
  <c r="F55" i="2"/>
  <c r="F8" i="77"/>
  <c r="G8" i="77" s="1"/>
  <c r="M8" i="77"/>
  <c r="N8" i="77" s="1"/>
  <c r="F9" i="77"/>
  <c r="G9" i="77" s="1"/>
  <c r="M9" i="77"/>
  <c r="N9" i="77" s="1"/>
  <c r="F10" i="77"/>
  <c r="G10" i="77" s="1"/>
  <c r="M10" i="77"/>
  <c r="N10" i="77" s="1"/>
  <c r="F11" i="77"/>
  <c r="G11" i="77" s="1"/>
  <c r="M11" i="77"/>
  <c r="N11" i="77" s="1"/>
  <c r="F12" i="77"/>
  <c r="G12" i="77" s="1"/>
  <c r="M12" i="77"/>
  <c r="N12" i="77" s="1"/>
  <c r="C13" i="77"/>
  <c r="D13" i="77"/>
  <c r="E13" i="77"/>
  <c r="J13" i="77"/>
  <c r="K13" i="77"/>
  <c r="K18" i="77" s="1"/>
  <c r="K20" i="77" s="1"/>
  <c r="L13" i="77"/>
  <c r="F14" i="77"/>
  <c r="G14" i="77" s="1"/>
  <c r="M14" i="77"/>
  <c r="N14" i="77" s="1"/>
  <c r="F15" i="77"/>
  <c r="G15" i="77" s="1"/>
  <c r="M15" i="77"/>
  <c r="N15" i="77" s="1"/>
  <c r="F16" i="77"/>
  <c r="G16" i="77" s="1"/>
  <c r="M16" i="77"/>
  <c r="N16" i="77" s="1"/>
  <c r="C17" i="77"/>
  <c r="D17" i="77"/>
  <c r="E17" i="77"/>
  <c r="J17" i="77"/>
  <c r="L17" i="77"/>
  <c r="F19" i="77"/>
  <c r="G19" i="77" s="1"/>
  <c r="B10" i="63" s="1"/>
  <c r="M19" i="77"/>
  <c r="N19" i="77" s="1"/>
  <c r="C11" i="54"/>
  <c r="D28" i="2" s="1"/>
  <c r="I37" i="2"/>
  <c r="I7" i="2" l="1"/>
  <c r="AJ49" i="129"/>
  <c r="D8" i="11"/>
  <c r="D16" i="11"/>
  <c r="E13" i="23"/>
  <c r="K36" i="2" s="1"/>
  <c r="K57" i="2"/>
  <c r="J18" i="77"/>
  <c r="J20" i="77" s="1"/>
  <c r="F57" i="2"/>
  <c r="E9" i="63"/>
  <c r="E11" i="63" s="1"/>
  <c r="C17" i="64" s="1"/>
  <c r="C27" i="64" s="1"/>
  <c r="K22" i="2"/>
  <c r="E24" i="54"/>
  <c r="F30" i="2" s="1"/>
  <c r="H15" i="52"/>
  <c r="D20" i="9"/>
  <c r="D21" i="9" s="1"/>
  <c r="K10" i="2" s="1"/>
  <c r="D27" i="6"/>
  <c r="C73" i="23"/>
  <c r="E23" i="23"/>
  <c r="K39" i="2" s="1"/>
  <c r="D34" i="17"/>
  <c r="K15" i="2" s="1"/>
  <c r="D99" i="11"/>
  <c r="D9" i="6"/>
  <c r="D35" i="6"/>
  <c r="C18" i="10"/>
  <c r="D12" i="7"/>
  <c r="C28" i="6"/>
  <c r="C37" i="6" s="1"/>
  <c r="J7" i="2"/>
  <c r="D76" i="7"/>
  <c r="K30" i="2" s="1"/>
  <c r="C100" i="11"/>
  <c r="C101" i="11" s="1"/>
  <c r="J12" i="2" s="1"/>
  <c r="G9" i="64"/>
  <c r="G11" i="64" s="1"/>
  <c r="D19" i="64" s="1"/>
  <c r="H29" i="52"/>
  <c r="C18" i="77"/>
  <c r="C20" i="77" s="1"/>
  <c r="I39" i="2"/>
  <c r="I43" i="2" s="1"/>
  <c r="J11" i="64"/>
  <c r="D22" i="64" s="1"/>
  <c r="D44" i="2"/>
  <c r="L18" i="77"/>
  <c r="L20" i="77" s="1"/>
  <c r="E37" i="54"/>
  <c r="F31" i="2" s="1"/>
  <c r="D88" i="11"/>
  <c r="D27" i="14"/>
  <c r="K13" i="2" s="1"/>
  <c r="D21" i="16"/>
  <c r="D29" i="16" s="1"/>
  <c r="K14" i="2" s="1"/>
  <c r="D35" i="8"/>
  <c r="D36" i="8" s="1"/>
  <c r="D37" i="8" s="1"/>
  <c r="K9" i="2" s="1"/>
  <c r="C38" i="54"/>
  <c r="E18" i="77"/>
  <c r="E20" i="77" s="1"/>
  <c r="C65" i="7"/>
  <c r="C66" i="7" s="1"/>
  <c r="C20" i="7"/>
  <c r="C11" i="64"/>
  <c r="D15" i="64" s="1"/>
  <c r="G17" i="77"/>
  <c r="B8" i="63" s="1"/>
  <c r="D18" i="77"/>
  <c r="D20" i="77" s="1"/>
  <c r="B20" i="7"/>
  <c r="E11" i="54"/>
  <c r="F28" i="2" s="1"/>
  <c r="E68" i="23"/>
  <c r="K40" i="2" s="1"/>
  <c r="D73" i="23"/>
  <c r="N17" i="77"/>
  <c r="B8" i="64" s="1"/>
  <c r="D60" i="7"/>
  <c r="D53" i="7"/>
  <c r="D54" i="7" s="1"/>
  <c r="D45" i="7"/>
  <c r="D47" i="7" s="1"/>
  <c r="D11" i="54"/>
  <c r="E28" i="2" s="1"/>
  <c r="E44" i="2" s="1"/>
  <c r="H131" i="52"/>
  <c r="F11" i="2" s="1"/>
  <c r="F34" i="52"/>
  <c r="F38" i="52" s="1"/>
  <c r="F52" i="52" s="1"/>
  <c r="F132" i="52" s="1"/>
  <c r="H51" i="52"/>
  <c r="H118" i="52"/>
  <c r="F10" i="2" s="1"/>
  <c r="G34" i="52"/>
  <c r="G38" i="52" s="1"/>
  <c r="G52" i="52" s="1"/>
  <c r="E7" i="2" s="1"/>
  <c r="E23" i="2" s="1"/>
  <c r="H66" i="52"/>
  <c r="F8" i="2" s="1"/>
  <c r="H18" i="52"/>
  <c r="H100" i="52"/>
  <c r="F9" i="2" s="1"/>
  <c r="B29" i="9"/>
  <c r="B10" i="64"/>
  <c r="C29" i="9"/>
  <c r="J10" i="2"/>
  <c r="G13" i="77"/>
  <c r="M13" i="77"/>
  <c r="F17" i="77"/>
  <c r="N13" i="77"/>
  <c r="B7" i="64" s="1"/>
  <c r="D16" i="7"/>
  <c r="D19" i="7" s="1"/>
  <c r="B28" i="6"/>
  <c r="B37" i="6" s="1"/>
  <c r="D64" i="7"/>
  <c r="D10" i="10"/>
  <c r="D11" i="10" s="1"/>
  <c r="D18" i="10" s="1"/>
  <c r="B100" i="11"/>
  <c r="B101" i="11" s="1"/>
  <c r="F13" i="77"/>
  <c r="B66" i="7"/>
  <c r="B67" i="7" s="1"/>
  <c r="B78" i="7" s="1"/>
  <c r="H33" i="52"/>
  <c r="D108" i="11"/>
  <c r="K34" i="2" s="1"/>
  <c r="E17" i="54"/>
  <c r="F29" i="2" s="1"/>
  <c r="J43" i="2"/>
  <c r="B44" i="8"/>
  <c r="I9" i="2"/>
  <c r="E15" i="64"/>
  <c r="E16" i="64" s="1"/>
  <c r="E17" i="64" s="1"/>
  <c r="E18" i="64" s="1"/>
  <c r="M17" i="77"/>
  <c r="I11" i="2"/>
  <c r="B18" i="10"/>
  <c r="I35" i="2"/>
  <c r="K29" i="2"/>
  <c r="J35" i="2"/>
  <c r="J9" i="2"/>
  <c r="C44" i="8"/>
  <c r="G18" i="77" l="1"/>
  <c r="G20" i="77" s="1"/>
  <c r="D38" i="54"/>
  <c r="D100" i="11"/>
  <c r="D101" i="11" s="1"/>
  <c r="K12" i="2" s="1"/>
  <c r="E73" i="23"/>
  <c r="K7" i="2"/>
  <c r="D28" i="6"/>
  <c r="D37" i="6" s="1"/>
  <c r="K43" i="2"/>
  <c r="C110" i="11"/>
  <c r="D20" i="7"/>
  <c r="E60" i="2"/>
  <c r="K11" i="2"/>
  <c r="D44" i="8"/>
  <c r="D7" i="2"/>
  <c r="D23" i="2" s="1"/>
  <c r="G132" i="52"/>
  <c r="E19" i="64"/>
  <c r="E20" i="64" s="1"/>
  <c r="E21" i="64" s="1"/>
  <c r="E22" i="64" s="1"/>
  <c r="E23" i="64" s="1"/>
  <c r="E24" i="64" s="1"/>
  <c r="E25" i="64" s="1"/>
  <c r="E26" i="64" s="1"/>
  <c r="B7" i="63"/>
  <c r="B9" i="63" s="1"/>
  <c r="D27" i="64"/>
  <c r="E27" i="64" s="1"/>
  <c r="E38" i="54"/>
  <c r="D65" i="7"/>
  <c r="D66" i="7" s="1"/>
  <c r="D29" i="9"/>
  <c r="M18" i="77"/>
  <c r="M20" i="77" s="1"/>
  <c r="C67" i="7"/>
  <c r="J8" i="2" s="1"/>
  <c r="J23" i="2" s="1"/>
  <c r="H34" i="52"/>
  <c r="H38" i="52" s="1"/>
  <c r="H52" i="52" s="1"/>
  <c r="H132" i="52" s="1"/>
  <c r="I8" i="2"/>
  <c r="K35" i="2"/>
  <c r="N18" i="77"/>
  <c r="N20" i="77" s="1"/>
  <c r="F18" i="77"/>
  <c r="F20" i="77" s="1"/>
  <c r="B110" i="11"/>
  <c r="I12" i="2"/>
  <c r="I44" i="2"/>
  <c r="B9" i="64"/>
  <c r="F44" i="2"/>
  <c r="J44" i="2"/>
  <c r="D110" i="11" l="1"/>
  <c r="K44" i="2"/>
  <c r="D67" i="7"/>
  <c r="K8" i="2" s="1"/>
  <c r="C78" i="7"/>
  <c r="F7" i="2"/>
  <c r="F23" i="2" s="1"/>
  <c r="I23" i="2"/>
  <c r="J60" i="2"/>
  <c r="B11" i="64"/>
  <c r="D60" i="2"/>
  <c r="B11" i="63"/>
  <c r="D78" i="7" l="1"/>
  <c r="K23" i="2"/>
  <c r="K60" i="2" s="1"/>
  <c r="B12" i="64" s="1"/>
  <c r="F60" i="2"/>
  <c r="I60" i="2"/>
  <c r="B13" i="63" l="1"/>
</calcChain>
</file>

<file path=xl/sharedStrings.xml><?xml version="1.0" encoding="utf-8"?>
<sst xmlns="http://schemas.openxmlformats.org/spreadsheetml/2006/main" count="1535" uniqueCount="856">
  <si>
    <t>Lakás bérleti díj támogatás</t>
  </si>
  <si>
    <t>Hézagkiöntés</t>
  </si>
  <si>
    <t>Hídfenntartás</t>
  </si>
  <si>
    <t>Idegenforgalmi adó</t>
  </si>
  <si>
    <t>Polgármesteri Hivatal</t>
  </si>
  <si>
    <t>Önkormányzat egyéb kiadásai</t>
  </si>
  <si>
    <t>Önkormányzat egyéb kiadásai (Főépítészi kiadások)</t>
  </si>
  <si>
    <t>Önkormányzat egyéb kiadásai (Hatósági kiadások)</t>
  </si>
  <si>
    <t>Önkormányzat egyéb kiadásai (informatikai kiadások)</t>
  </si>
  <si>
    <t>Környezetvédelmi birság</t>
  </si>
  <si>
    <t>Tartalékok</t>
  </si>
  <si>
    <t xml:space="preserve"> </t>
  </si>
  <si>
    <t>Egyesített Bölcsődei Intézmény</t>
  </si>
  <si>
    <t>Önkormányzati bevételekkel fedezett kiadások összesen intézményi kiadások nélkül</t>
  </si>
  <si>
    <t>MŰKÖDÉSI BEVÉTELEK</t>
  </si>
  <si>
    <t>MŰKÖDÉSI KIADÁSOK</t>
  </si>
  <si>
    <t>Egyéb fejlesztések</t>
  </si>
  <si>
    <t>Egyéb adó és bírságok, pótlékok</t>
  </si>
  <si>
    <t>Szociális hét</t>
  </si>
  <si>
    <t>Nagyprojektek, projektek</t>
  </si>
  <si>
    <t>Posta költség</t>
  </si>
  <si>
    <t>TERMÉK ÉS SZOLGÁLTATÁSOK ADÓI</t>
  </si>
  <si>
    <t>JÖVEDELEMADÓK</t>
  </si>
  <si>
    <t>VAGYONI TÍPUSÚ ADÓK</t>
  </si>
  <si>
    <t>EGYÉB KÖZHATALMI BEVÉTELEK</t>
  </si>
  <si>
    <t>ÖNKORMÁNYZATOK MŰKÖDÉSI TÁMOGATÁSAI</t>
  </si>
  <si>
    <t>Kiszámlázott általános forgalmi adó és áfa visszatérítése</t>
  </si>
  <si>
    <t>Kamatbevételek</t>
  </si>
  <si>
    <t xml:space="preserve">Felhalmozási célú önkormányzati támogatások </t>
  </si>
  <si>
    <t>Egyéb felhalmozási célú támogatások bevételei államháztartáson belülről</t>
  </si>
  <si>
    <t>Office 365 rendszer működtetése</t>
  </si>
  <si>
    <t>Felhalmozási célú visszatérítendő támogatások, kölcsönök visszatérülése államháztartáson kívülről</t>
  </si>
  <si>
    <t>Egyéb felhalmozási célú átvett pénzeszközök</t>
  </si>
  <si>
    <t>Működési célú visszatérítendő támogatások, kölcsönök visszatérülése államháztartáson kívülről</t>
  </si>
  <si>
    <t>Egyéb működési célú átvett pénzeszközök</t>
  </si>
  <si>
    <t>Munkáltató kölcsön</t>
  </si>
  <si>
    <t>Munkáltatói kölcsön</t>
  </si>
  <si>
    <t>Állami és önkormányzati adatbázisok használati, továbbvezetési, karbantartási és szolgáltatási díja</t>
  </si>
  <si>
    <t>Működési kiadások</t>
  </si>
  <si>
    <t>Tartalékok össszesen</t>
  </si>
  <si>
    <t>Gyöngyöshermán-Szentkirályi Polgári Kör</t>
  </si>
  <si>
    <t>Herényi Kulturális és Sportegyesület</t>
  </si>
  <si>
    <t>Petőfi Telepért Egyesület</t>
  </si>
  <si>
    <t>Vásárok, rendezvények, karácsonyi díszkivilágítás</t>
  </si>
  <si>
    <t xml:space="preserve">Önkormányzati oktatási kiadások összesen </t>
  </si>
  <si>
    <t>Egyéb feladatok</t>
  </si>
  <si>
    <t>Kátyúkár - önerő biztosítása</t>
  </si>
  <si>
    <t>EGYÉB MŰKÖDÉSI CÉLÚ TÁMOGATÁSOK BEVÉTELEI ÁLLAMHÁZTARTÁSON BELÜLRŐL</t>
  </si>
  <si>
    <t>ELVONÁSOK ÉS BEFIZETÉSEK BEVÉTELEI</t>
  </si>
  <si>
    <t>Internet alapú városi hálózat</t>
  </si>
  <si>
    <t>Gyermek és ifjúsági sport támogatása</t>
  </si>
  <si>
    <t>FALCO KC Kft. támogatása</t>
  </si>
  <si>
    <t>Önkormányzati sport kitüntetések</t>
  </si>
  <si>
    <t>Víziközmű és szennyvízközmű használati díjbevételhez kapcsolódó áfa visszaigénylés</t>
  </si>
  <si>
    <t>Működési célú költségvetési támogatások és kiegészítő támogatások</t>
  </si>
  <si>
    <t>Köztemetés költségeinek megtérítése</t>
  </si>
  <si>
    <t>Felhalmozási célú visszatérítendő támogatások, kölcsönök visszatérülése államháztartáson belülről</t>
  </si>
  <si>
    <t>Működési bevételek</t>
  </si>
  <si>
    <t>Oktatási ágazat kiadásai</t>
  </si>
  <si>
    <t>Szociális ágazat kiadásai</t>
  </si>
  <si>
    <t>Egészségügyi ágazat kiadásai</t>
  </si>
  <si>
    <t>Arany János ösztöndíj</t>
  </si>
  <si>
    <t>Capella Savaria</t>
  </si>
  <si>
    <t>Ferrum Színházi Társulat</t>
  </si>
  <si>
    <t>FELHALMOZÁSI BEVÉTELEK</t>
  </si>
  <si>
    <t>FELHALMOZÁSI BEVÉTELEK ÖSSZESEN</t>
  </si>
  <si>
    <t>FELHALMZÁSI CÉLÚ TÁMOGATÁSOK ÁLLAMHÁZTARTÁSON BELÜLRŐL</t>
  </si>
  <si>
    <t>KÖLTSÉGVETÉSI SZERVEK MŰKÖDÉSI BEVÉTELEI</t>
  </si>
  <si>
    <t>KÖLTSÉGVETÉSI SZERVEK MŰKÖDÉSI BEVÉTELEI ÖSSZESEN</t>
  </si>
  <si>
    <t>KÖLTSÉGVETÉSI SZERVEK FELHALMOZÁSI BEVÉTELEI ÖSSZESEN</t>
  </si>
  <si>
    <t>FELHALMZÁSI CÉLÚ TÁMOGATÁSOK ÁLLAMHÁZTARTÁSON BELÜLRŐL ÖSSZESEN</t>
  </si>
  <si>
    <t>FELHALMOZÁSI CÉLÚ ÁTVETT PÉNZESZKÖZÖK</t>
  </si>
  <si>
    <t>FELHALMOZÁSI CÉLÚ ÁTVETT PÉNZESZKÖZÖK ÖSSZESEN</t>
  </si>
  <si>
    <t>Felhalmozási bevételek</t>
  </si>
  <si>
    <t>Felhalmozási célú támogatások államháztartáson belülről</t>
  </si>
  <si>
    <t>Felhalmozási célú átvett péneszközök</t>
  </si>
  <si>
    <t>FELHALMOZÁSI KIADÁSOK</t>
  </si>
  <si>
    <t xml:space="preserve">" Szombathely visszavár" ösztöndíjrendszer </t>
  </si>
  <si>
    <t>Pálos K. Szociális Szolgáltató Központ és Gyermekjóléti Szolgálat</t>
  </si>
  <si>
    <t>Kötelező feladat</t>
  </si>
  <si>
    <t>Nem kötelező feladat</t>
  </si>
  <si>
    <t>Csaba úti felüljáró fenntartása, karbantartása</t>
  </si>
  <si>
    <t>Burkolati jelek festése</t>
  </si>
  <si>
    <t xml:space="preserve">Egészségügyi civil szervezetek támogatása </t>
  </si>
  <si>
    <t>Helyiségek és lakások bérleti díja</t>
  </si>
  <si>
    <t>Földhaszonbérlet</t>
  </si>
  <si>
    <t xml:space="preserve">Polgárőr szervezetek támogatása </t>
  </si>
  <si>
    <t>Felhalmozási kiadások</t>
  </si>
  <si>
    <t>Szombathelyi Köznevelési Gamesz</t>
  </si>
  <si>
    <t>Áfa visszaigénylés</t>
  </si>
  <si>
    <t>Vagyongazdálkodási kiadások - szakértők igénybevétele, ügyvédi munkadíj, egyéb kiadások</t>
  </si>
  <si>
    <t>Folyékony hulladékgyűjtés</t>
  </si>
  <si>
    <t>Költségvetési szervek működési bevételei</t>
  </si>
  <si>
    <t>Költségvetési szervek felhalmozási bevételei</t>
  </si>
  <si>
    <t>Víziközmű és szennyvízközmű használati díjbevétel</t>
  </si>
  <si>
    <t>Jelzőtáblák (forgalmi rend változás)</t>
  </si>
  <si>
    <t>Zárt csapadék csatorna fenntartása</t>
  </si>
  <si>
    <t xml:space="preserve">Kommunális, városüzemeltetési és környezetvédelmi kiadások  </t>
  </si>
  <si>
    <t>Kommunális és városüzemeltetési kiadások összesen</t>
  </si>
  <si>
    <t>Környezetvédelmi kiadások</t>
  </si>
  <si>
    <t>Kommunális, városüzemeltetési és környezetvédelmi kiadások</t>
  </si>
  <si>
    <t>Esőemberke Alapítvány támogatása</t>
  </si>
  <si>
    <t>Működési célú nagyprojektek, projektek</t>
  </si>
  <si>
    <t>Éves hídvizsgálat</t>
  </si>
  <si>
    <t>Működési célú maradvány</t>
  </si>
  <si>
    <t>Mesebolt Bábszínház</t>
  </si>
  <si>
    <t>Szombathelyi Szimfónikus Zenekar</t>
  </si>
  <si>
    <t>MŰKÖDÉSI CÉLÚ TÁMOGATÁSOK ÁLLAMHÁZTARTÁSON BELÜLRŐL</t>
  </si>
  <si>
    <t>MŰKÖDÉSI CÉLÚ ÁTVETT PÉNZESZKÖZÖK</t>
  </si>
  <si>
    <t>KÖZHATALMI BEVÉTELEK</t>
  </si>
  <si>
    <t>Út-híd fenntartási kiadások</t>
  </si>
  <si>
    <t>KÖLTSÉGVETÉSI SZERVEK BEVÉTELEI</t>
  </si>
  <si>
    <t>MŰKÖDÉSI BEVÉTELEK ÖSSZESEN</t>
  </si>
  <si>
    <t>Költségvetési működési bevételek</t>
  </si>
  <si>
    <t>Működési célú támogatások ÁH-on belülről</t>
  </si>
  <si>
    <t>Működési célú átvett pénzeszközök</t>
  </si>
  <si>
    <t xml:space="preserve">Savaria Múzeum </t>
  </si>
  <si>
    <t>Versenyek, rendezvények, támogatások</t>
  </si>
  <si>
    <t>Önkormányzati napközis tábor megszervezése</t>
  </si>
  <si>
    <t>Könyvvizsgálói költség</t>
  </si>
  <si>
    <t>Bérleti díj</t>
  </si>
  <si>
    <t>Szolgalmi joggal terhelt épületrész karbantartása</t>
  </si>
  <si>
    <t>Önkormányzati szociális kiadások összesen</t>
  </si>
  <si>
    <t>Önkormányzati egészségügyi kiadások összesen</t>
  </si>
  <si>
    <t>Önkormányzati gyermekvédelmi kiadások összesen</t>
  </si>
  <si>
    <t>Városfejlesztési alap</t>
  </si>
  <si>
    <t>Egyéb, más ágazathoz nem sorolható intézmények összesen</t>
  </si>
  <si>
    <t>Önkormányzati egyéb, más ágazathoz nem sorolható kiadások összesen</t>
  </si>
  <si>
    <t xml:space="preserve">  Kiadások és finanszírozási műveletek összesen</t>
  </si>
  <si>
    <t>Finanszírozási műveletek összesen</t>
  </si>
  <si>
    <t>Rendőrség támogatása</t>
  </si>
  <si>
    <t>SOS Gyermekfalu Magyarországi Alapítvány támogatása (átmeneti vagy tartós nevelésbe vett gyermekek, fiatal felnőttek gyermekvédelmi szakellátása)</t>
  </si>
  <si>
    <t>Egyéb, más ágazathoz nem sorolható intézmények és feladatok kiadásai</t>
  </si>
  <si>
    <t>Nemzetiségi Önkormányzatok támogatása</t>
  </si>
  <si>
    <t>Integrált pénzügyi rendszer üzemeltetés az intézményekben</t>
  </si>
  <si>
    <t>Költségvetési szervek beruházásai és felújításai összesen:</t>
  </si>
  <si>
    <t>ISIS Big Band támogatása</t>
  </si>
  <si>
    <t>Parkolásgazdálkodási kiadás</t>
  </si>
  <si>
    <t>Vagyongazdálkodásból származó bevétel</t>
  </si>
  <si>
    <t>Pénzeszközátadás</t>
  </si>
  <si>
    <t>Munkáltatói kölcsön visszatérülése</t>
  </si>
  <si>
    <t xml:space="preserve"> Működési célú bevételek összesen :</t>
  </si>
  <si>
    <t>Petz ösztöndíj</t>
  </si>
  <si>
    <t>Felhalmozási célú bevételek</t>
  </si>
  <si>
    <t>Ungaresca Táncegyüttes</t>
  </si>
  <si>
    <t>Polgármesteri keret</t>
  </si>
  <si>
    <t>Általános tartalék</t>
  </si>
  <si>
    <t>Egészség-hét</t>
  </si>
  <si>
    <t>Közbeszerzési kiadások</t>
  </si>
  <si>
    <t>Lakásalap összesen:</t>
  </si>
  <si>
    <t>Vagyongazdálkodás összesen</t>
  </si>
  <si>
    <t>Beruházások</t>
  </si>
  <si>
    <t>Szombathelyi Hospice Alapítvány</t>
  </si>
  <si>
    <t>Egészségügyi ágazat</t>
  </si>
  <si>
    <t>Vásárcsarnok</t>
  </si>
  <si>
    <t>Útigénybevételi díj</t>
  </si>
  <si>
    <t>Finanszírozási műveletek</t>
  </si>
  <si>
    <t xml:space="preserve">  Bevételek és finanszírozási műveletek összesen</t>
  </si>
  <si>
    <t>Szociális ágazat</t>
  </si>
  <si>
    <t xml:space="preserve">Önkormányzat </t>
  </si>
  <si>
    <t>Közművelődési kiegészítő támogatás - Berzsenyi D. Könyvtár</t>
  </si>
  <si>
    <t>Horvát nemzetiségi nap támogatás</t>
  </si>
  <si>
    <t>Közterület foglalás</t>
  </si>
  <si>
    <t>Sport ágazat kiadásai</t>
  </si>
  <si>
    <t xml:space="preserve"> Működési célú kiadások összesen :</t>
  </si>
  <si>
    <t xml:space="preserve">      Felhalmozási célú bevételek összesen :</t>
  </si>
  <si>
    <t xml:space="preserve">      Felhalmozási célú kiadások összesen :</t>
  </si>
  <si>
    <t>Sport</t>
  </si>
  <si>
    <t>Pénzeszközátadás összesen:</t>
  </si>
  <si>
    <t>Költségvetési szervek beruházásai és felújításai</t>
  </si>
  <si>
    <t>Megnevezés</t>
  </si>
  <si>
    <t>Épitményadó</t>
  </si>
  <si>
    <t xml:space="preserve">Önkormányzati felhalmozási kiadások </t>
  </si>
  <si>
    <t>Intézményi felhalmozási kiadások</t>
  </si>
  <si>
    <t>Intézményi felhalmozási kiadások össszesen</t>
  </si>
  <si>
    <t>Önkormányzati felhalmozási kiadások össszesen</t>
  </si>
  <si>
    <t>MŰKÖDÉSI CÉLÚ ÁTVETT PÉNZESZKÖZÖK ÖSSZESEN</t>
  </si>
  <si>
    <t>KÖZHATALMI BEVÉTELEK ÖSSZESEN</t>
  </si>
  <si>
    <t xml:space="preserve">Közlekedés, útépítés, közvilágítás, hídfelújítás </t>
  </si>
  <si>
    <t>Közművesítés</t>
  </si>
  <si>
    <t>Egyéb beruházások</t>
  </si>
  <si>
    <t>Lakásalap</t>
  </si>
  <si>
    <t>1.</t>
  </si>
  <si>
    <t>2.</t>
  </si>
  <si>
    <t>3.</t>
  </si>
  <si>
    <t>4.</t>
  </si>
  <si>
    <t>Vagyongazdálkodás</t>
  </si>
  <si>
    <t>5.</t>
  </si>
  <si>
    <t>6.</t>
  </si>
  <si>
    <t>7.</t>
  </si>
  <si>
    <t>8.</t>
  </si>
  <si>
    <t xml:space="preserve">Technikai, bevétellel 100%-ig fedezett tételek </t>
  </si>
  <si>
    <t>Kiszámlázott és befizetendő áfa</t>
  </si>
  <si>
    <t>Helyreállítások (teljes pályaszerkezet csere)</t>
  </si>
  <si>
    <t>Járdafenntartás</t>
  </si>
  <si>
    <t>Óvodák</t>
  </si>
  <si>
    <t>Közhatalmi bevételek</t>
  </si>
  <si>
    <t xml:space="preserve">Háziorvosi rendelők karbantartása </t>
  </si>
  <si>
    <t>Szökőkutak előre nem látható hibaelhárítása</t>
  </si>
  <si>
    <t>Termőföld bérbeadásából szárm.jöv.adó</t>
  </si>
  <si>
    <t>Helyi iparűzési adó</t>
  </si>
  <si>
    <t>Hemo épülétenek bérbeadása</t>
  </si>
  <si>
    <t>Egyéb működési célú bevétel</t>
  </si>
  <si>
    <t>összesen</t>
  </si>
  <si>
    <t>Út-híd fenntartás</t>
  </si>
  <si>
    <t>Szombathelyi Egészségügyi és Kulturális Intézmények GESZ</t>
  </si>
  <si>
    <t>Önkormányzati bevételekkel fedezett kiadások</t>
  </si>
  <si>
    <t>Önkormányzati konferenciák, rendezvények, fogadások</t>
  </si>
  <si>
    <t xml:space="preserve">     Beruházások  összesen</t>
  </si>
  <si>
    <t>Áfa befizetés (saját bevételből)</t>
  </si>
  <si>
    <t>Intézményi vagyonbiztosítások</t>
  </si>
  <si>
    <t>Oktatási intézmények összesen:</t>
  </si>
  <si>
    <t>Szombathelyi Civil Kerekasztal támogatása</t>
  </si>
  <si>
    <t>Vas megye és Szombathely Megyei Jogú Város Nyugdíjas Közösségeinek Szövetsége támogatása</t>
  </si>
  <si>
    <t>Szombathely Város Fúvószenekar támogatása</t>
  </si>
  <si>
    <t xml:space="preserve">Oktatási ágazat </t>
  </si>
  <si>
    <t>Lakás és helyiségüzemeltetés (bevétellel)</t>
  </si>
  <si>
    <t xml:space="preserve">Egyéb tagdijak </t>
  </si>
  <si>
    <t xml:space="preserve">Egyéb önkormányzati kitüntetések </t>
  </si>
  <si>
    <t xml:space="preserve"> összesen</t>
  </si>
  <si>
    <t>BEVÉTELEK</t>
  </si>
  <si>
    <t>Megyei hatókörű városi múzeumok feladatainak támogatása - Savaria Múzeum feladatainak támogatása</t>
  </si>
  <si>
    <t>Megyeszékhely megyei jogú városok közművelődési feladatainak támogatása</t>
  </si>
  <si>
    <t>Berzsenyi Dániel megyei könyvtár kistelepülési könyvtári célú kiegészítő támogatása</t>
  </si>
  <si>
    <t>ezer forintban</t>
  </si>
  <si>
    <t>március</t>
  </si>
  <si>
    <t>április</t>
  </si>
  <si>
    <t>május</t>
  </si>
  <si>
    <t>szeptember</t>
  </si>
  <si>
    <t>Egyéb kiadások</t>
  </si>
  <si>
    <t>október</t>
  </si>
  <si>
    <t>Szombathely Megyei Jogú Város Önkormányzata</t>
  </si>
  <si>
    <t>9.</t>
  </si>
  <si>
    <t>10.</t>
  </si>
  <si>
    <t>11.</t>
  </si>
  <si>
    <t>12.</t>
  </si>
  <si>
    <t>Közterület-felügyelet átjátszó bérleti díj</t>
  </si>
  <si>
    <t>Víznyelők tisztítása</t>
  </si>
  <si>
    <t>Mindösszesen</t>
  </si>
  <si>
    <t>bevételek</t>
  </si>
  <si>
    <t>hónap</t>
  </si>
  <si>
    <t>Működési bevételek összesen</t>
  </si>
  <si>
    <t>Felhalmozási bevételek összesen</t>
  </si>
  <si>
    <t>KÖLTSÉGVETÉSI BEVÉTELEK ÖSSZESEN</t>
  </si>
  <si>
    <t>Finanszírozási bevételek</t>
  </si>
  <si>
    <t>MINDÖSSZESEN BEVÉTELEK</t>
  </si>
  <si>
    <t>KIADÁSOK</t>
  </si>
  <si>
    <t>kiadások</t>
  </si>
  <si>
    <t>Működési kiadások összesen</t>
  </si>
  <si>
    <t>Felhalmozási kiadások összesen</t>
  </si>
  <si>
    <t>KÖLTSÉGVETÉSI KIADÁSOK ÖSSZESEN</t>
  </si>
  <si>
    <t>Finanszírozási kiadások</t>
  </si>
  <si>
    <t>MINDÖSSZESEN KIADÁSOK</t>
  </si>
  <si>
    <t>pénzfogalmi bevételek</t>
  </si>
  <si>
    <t>pénzfogalmi kiadások</t>
  </si>
  <si>
    <t>időszaki pénzkészlet</t>
  </si>
  <si>
    <t>január</t>
  </si>
  <si>
    <t>február</t>
  </si>
  <si>
    <t>június</t>
  </si>
  <si>
    <t>július</t>
  </si>
  <si>
    <t>augusztus</t>
  </si>
  <si>
    <t>november</t>
  </si>
  <si>
    <t>december</t>
  </si>
  <si>
    <t>Működési célú támogatások államháztartáson belülről</t>
  </si>
  <si>
    <t>Személyi juttatások</t>
  </si>
  <si>
    <t>Munkaadókat terhelő járulékok és szociális hozzájárulási adó</t>
  </si>
  <si>
    <t>Dologi kiadások</t>
  </si>
  <si>
    <t>Ellátottak pénzbeli juttatásai</t>
  </si>
  <si>
    <t>Felújítások</t>
  </si>
  <si>
    <t>Felhalmozási célú átvett pénzeszközök</t>
  </si>
  <si>
    <t>Egyéb felhalmozási célú kiadások</t>
  </si>
  <si>
    <t>Környezetállapot értékelés (talaj, víz, levegő)</t>
  </si>
  <si>
    <t>Lakás és helyiségüzemeltetés veszteségpótlás</t>
  </si>
  <si>
    <t>Szünidei gyermekétkeztetés</t>
  </si>
  <si>
    <t xml:space="preserve">Egészségügyi dolgozók kitüntetése </t>
  </si>
  <si>
    <t>Gyermek és ifjúsági kitüntetések</t>
  </si>
  <si>
    <t>Szociális önkormányzati kitüntetések</t>
  </si>
  <si>
    <t>Intézményi működési maradvány</t>
  </si>
  <si>
    <t>Érzékenyítő programok - Helyi esélyegyenlőségi program keretében</t>
  </si>
  <si>
    <t>Elvonások és befizetések bevételei</t>
  </si>
  <si>
    <t>Működési célú költségvetési támogatások és kiegészítő támogatások össszesen</t>
  </si>
  <si>
    <t>Elszámolásból származó bevételek összesen</t>
  </si>
  <si>
    <t xml:space="preserve">Elszámolásból származó bevételek </t>
  </si>
  <si>
    <t>a.)</t>
  </si>
  <si>
    <t>b.)</t>
  </si>
  <si>
    <t>c.)</t>
  </si>
  <si>
    <t>MŰKÖDÉSI CÉLÚ TÁMOGATÁSOK ÁLLAMHÁZTARTÁSON BELÜLRŐL ÖSSZESEN (a.) + b.) + c.))</t>
  </si>
  <si>
    <t>Szombathelyi Kézilabda Klub és Akadémia támogatása</t>
  </si>
  <si>
    <t>Vízközmű- és szennyvízközmű használati díj terhére végzett beruházás</t>
  </si>
  <si>
    <t>SNI gyermekek (Óvoda) szakszolgálati ellátása</t>
  </si>
  <si>
    <t>I. Helyi önkormányzatok működésének általános támogatása</t>
  </si>
  <si>
    <t>Településrendezési terv felülvizsgálata</t>
  </si>
  <si>
    <t>II. Települési önkormányzatok egyes köznevelési feladatainak támogatása</t>
  </si>
  <si>
    <t>OKTATÁSI MŰKÖDÉSI CÉLÚ KIADÁSOK ÖSSZESEN</t>
  </si>
  <si>
    <t>OKTATÁSI FELHALMOZÁSI CÉLÚ KIADÁSOK ÖSSZESEN</t>
  </si>
  <si>
    <t>OKTATÁSI ÁGAZAT KIADÁSAI MINDÖSSZESEN</t>
  </si>
  <si>
    <t>Kulturális ágazat, média kiadásai</t>
  </si>
  <si>
    <t>Kulturális ágazat, média</t>
  </si>
  <si>
    <t>SZOCIÁLIS MŰKÖDÉSI CÉLÚ KIADÁSOK ÖSSZESEN</t>
  </si>
  <si>
    <t>SZOCIÁLIS ÁGAZAT KIADÁSAI MINDÖSSZESEN</t>
  </si>
  <si>
    <t>KULTURÁLIS ÁGAZAT, MÉDAI KIADÁSAI MINDÖSSZESEN</t>
  </si>
  <si>
    <t>EGÉSZSÉGÜGYI MŰKÖDÉSI CÉLÚ KIADÁSOK ÖSSZESEN</t>
  </si>
  <si>
    <t>EGÉSZSÉGÜGYI ÁGAZAT KIADÁSAI MINDÖSSZESEN</t>
  </si>
  <si>
    <t>GYERMEKVÉDELMI MŰKÖDÉSI CÉLÚ KIADÁSOK ÖSSZESEN</t>
  </si>
  <si>
    <t>GYERMEKVÉDELMI ÁGAZAT KIADÁSAI MINDÖSSZESEN</t>
  </si>
  <si>
    <t>Gyermekvédelmi ágazat kiadásai</t>
  </si>
  <si>
    <t>Gyermekvédelemi ágazat</t>
  </si>
  <si>
    <t>Egyéb más ágazathoz nem sorolható intézmények és feladatok</t>
  </si>
  <si>
    <t>EGYÉB, MÁS ÁGAZATHOZ NEM SOROLHATÓ INTÉZMÉNYEK ÉS FELADATOK FELHALMOZÁSI CÉLÚ KIADÁSAI ÖSSZESEN</t>
  </si>
  <si>
    <t>EGYÉB, MÁS ÁGAZATHOZ NEM SOROLHATÓ INTÉZMÉNYEK ÉS FELADATOK MŰKÖDÉSI CÉLÚ KIADÁSAI ÖSSZESEN</t>
  </si>
  <si>
    <t>EGYÉB, MÁS ÁGAZATHOZ NEM SOROLHATÓ INÉTZMÉNYEK ÉS FELADATOK KIADÁSAI MINDÖSSZESEN</t>
  </si>
  <si>
    <t>SPORT ÁGAZAT KIADÁSAI MINDÖSSZESEN</t>
  </si>
  <si>
    <t>KOMMUNÁLIS, VÁROSÜZEMELTETÉSI ÉS KÖRNYEZETVÉDELMI KIADÁSOK MINDÖSSZESEN</t>
  </si>
  <si>
    <t>ÚT-HÍD FENNTARTÁSI KIADÁSOK MINDÖSSZESEN</t>
  </si>
  <si>
    <t>FELHALMOZÁSI CÉLÚ BEVÉTELEK MINDÖSSZESEN</t>
  </si>
  <si>
    <t>ÖNKORMÁNYZATI FELHALMOZÁSI KIADÁSOK MINDÖSSZESEN</t>
  </si>
  <si>
    <t>Kerékpárút fenntartás</t>
  </si>
  <si>
    <t>Nyílt árok tisztítás, árokrendezés (árvízvédelmi művek, berendezések, karbantartása)</t>
  </si>
  <si>
    <t>KULTURÁLIS INTÉZMÉNYEK FELHALMOZÁSI KIADÁSAI ÖSSZESEN</t>
  </si>
  <si>
    <t>Jedlik Ányos Terv - "A" típusú elektromos autótöltő állomások telepítése pályázat (támogatás+önrész)</t>
  </si>
  <si>
    <t>Szent Márton Esélyegyenlőségi Támogatási Program</t>
  </si>
  <si>
    <t>KÖLTSÉGVETÉSI MŰKÖDÉSI BEVÉTELEK MINDÖSSZESEN</t>
  </si>
  <si>
    <t>Illegális hulladéklerakás</t>
  </si>
  <si>
    <t xml:space="preserve">Költségvetési </t>
  </si>
  <si>
    <t>Önkormányzat</t>
  </si>
  <si>
    <t>szervek bevételei</t>
  </si>
  <si>
    <t>szervek kiadásai</t>
  </si>
  <si>
    <t>bevételei</t>
  </si>
  <si>
    <t>Kiemelt előirányzatok átcsoportosítása számviteli változások miatt</t>
  </si>
  <si>
    <t>kiadásai</t>
  </si>
  <si>
    <t xml:space="preserve">KÖLTSÉGVETÉSI BEVÉTELEK </t>
  </si>
  <si>
    <t>KÖLTSÉGVETÉSI KIADÁSOK</t>
  </si>
  <si>
    <t>B1</t>
  </si>
  <si>
    <t>K1</t>
  </si>
  <si>
    <t>B3</t>
  </si>
  <si>
    <t>K2</t>
  </si>
  <si>
    <t>B4</t>
  </si>
  <si>
    <t>Működési bevétel</t>
  </si>
  <si>
    <t>K3</t>
  </si>
  <si>
    <t>B6</t>
  </si>
  <si>
    <t>K4</t>
  </si>
  <si>
    <t>K5</t>
  </si>
  <si>
    <t>Egyéb működési célú kiadások</t>
  </si>
  <si>
    <t>B2</t>
  </si>
  <si>
    <t>K6</t>
  </si>
  <si>
    <t>B5</t>
  </si>
  <si>
    <t>K7</t>
  </si>
  <si>
    <t>B7</t>
  </si>
  <si>
    <t>K8</t>
  </si>
  <si>
    <t>B8</t>
  </si>
  <si>
    <t>K9</t>
  </si>
  <si>
    <t>Joskar-Ola Alapítvány</t>
  </si>
  <si>
    <t>Vasi Honvéd Bajtársi Egyesület támogatása</t>
  </si>
  <si>
    <t>Kátyúzás</t>
  </si>
  <si>
    <t xml:space="preserve">Berzsenyi Dániel Könyvtár </t>
  </si>
  <si>
    <t>Köznevelési feladatellátásra átadott vagyon ellenőrzése</t>
  </si>
  <si>
    <t>SZMJV Diákönkormányzat - rendezvények, programok, támogatások, egyéb kiadások</t>
  </si>
  <si>
    <t>Herényi temető bővítés, növénytelepítés</t>
  </si>
  <si>
    <t>Olad Városrészért Egyesület</t>
  </si>
  <si>
    <t>Hátrányos Helyzetű Roma Fiatalokat Támogató Közhasznú Egyesület támogatása</t>
  </si>
  <si>
    <t>Térfigyelő kamerarendszer üzemeltetése és adatátviteli hálózat üzemeltetése</t>
  </si>
  <si>
    <t>Önkormányzati pavilonok tárolása, felújítása</t>
  </si>
  <si>
    <t>Önkormányzati tulajdonú területek kaszálása</t>
  </si>
  <si>
    <t>Vízközmű- és szennyvízközmű használati díj terhére végzett beruházás - fordított áfa</t>
  </si>
  <si>
    <t>Vas Megyei Tudományos Ismeretterjesztő Egyesület támogatása - közművelődési megállapodás</t>
  </si>
  <si>
    <t>Savaria Városfejlesztési Nonprofit Kft. támogatása</t>
  </si>
  <si>
    <t>Települési hulladékkezelés és köztisztasági tevékenység, és hó eltakarítás</t>
  </si>
  <si>
    <t>Óvoda intézményi karbantartás</t>
  </si>
  <si>
    <t>Egységes ügyiratkezelő szoftver az önkormányzat által müködtetett intézményekben</t>
  </si>
  <si>
    <t>ÖSSZESEN</t>
  </si>
  <si>
    <t>Vagyongazdálkodási kiadások (ingatlan kisajátítás, vásárlás)</t>
  </si>
  <si>
    <t>HÁROFIT Közhasznú Egyesület - közfoglalkoztatás támogatása</t>
  </si>
  <si>
    <t>módosított előirányzat</t>
  </si>
  <si>
    <t>ezer Ft-ban</t>
  </si>
  <si>
    <t>Közvilágítás pénzügyi lízing - kamat</t>
  </si>
  <si>
    <t>Közvilágítás díja</t>
  </si>
  <si>
    <t>Állatvédők Vasi Egyesülete és a Kutyamenhely Alapítvány által közösen működtetett állatmenhely fenntartási költségei, 1 fő alkalmazott bér és járulékainak költsége a Kutyamenhely Alapítvány részére</t>
  </si>
  <si>
    <t>Szombathelyi  Asztalitenisz Klub támogatása - asztalitenisz csarnok éves bérleti díj finanszírozására</t>
  </si>
  <si>
    <t>Szombathelyi Vívó Akadémia Egyesület támogatása - vívócsarnok éves bérleti díj finanszírozására</t>
  </si>
  <si>
    <t>Bursa Hungarica felsőoktatási ösztöndíj</t>
  </si>
  <si>
    <t>Köznevelési GAMESZ</t>
  </si>
  <si>
    <t xml:space="preserve">Közösségi Bérlakás Rendszer                               </t>
  </si>
  <si>
    <t>Kariatida tanulmányi támogatás rendszerének működtetése - "Szombathely Szent Márton városa" Gyebrovszki János Alapítvány</t>
  </si>
  <si>
    <t>"Szombathely Szent Márton városa " Gyebrovszki János Alapítvány támogatása</t>
  </si>
  <si>
    <t>Hatósági díjak, egyéb kiadások, szakértői feladatok</t>
  </si>
  <si>
    <t>Aktív időskor Szombathelyen program</t>
  </si>
  <si>
    <t>Tervezések hatósági díja lejáró engedélyekhez, egyéb díjak</t>
  </si>
  <si>
    <t>Szent Márton plasztik kártya készítés</t>
  </si>
  <si>
    <t>Háziorvosi életpálya modell</t>
  </si>
  <si>
    <t>Bankköltség</t>
  </si>
  <si>
    <t>Komplex akadálymentesítés - Helyi esélyegyenlőségi program keretében</t>
  </si>
  <si>
    <t>Víz használati dij</t>
  </si>
  <si>
    <t>Bűnmegelőzési és katasztrófavédelmi kiadások</t>
  </si>
  <si>
    <t>Szombathely, a segítés városa program</t>
  </si>
  <si>
    <t>ELTE támogatás és gazdaságfejlesztés</t>
  </si>
  <si>
    <t>Padkarendezés</t>
  </si>
  <si>
    <t>Szegélyek javítása, akadálymentesítés</t>
  </si>
  <si>
    <t>ELTE támogatás</t>
  </si>
  <si>
    <t>Finanszírozási kiadás - közvilágítás pénzügyi lízing tőke</t>
  </si>
  <si>
    <t>Önkormányzati fenntartású Weöres Sándor Színház közös működtetési támogatása</t>
  </si>
  <si>
    <t>Önkormányzati fenntartású Mesebolt Bábszínház közös működtetési támogatása</t>
  </si>
  <si>
    <t>Önkormányzat egyéb kiadásai (Városüzemeltetési, vagyongazdálkodási kiadások)</t>
  </si>
  <si>
    <t>TOP-6.1.5-2019-00002 Ferenczy u. hiányzó szakaszának építése</t>
  </si>
  <si>
    <t>Cserkészház  - bérleti díj támogatás - Boldogulás Ösvényein Alapítvány részére</t>
  </si>
  <si>
    <t>Városi pedagógus nap, tanévnyitó ünnepség</t>
  </si>
  <si>
    <t>SZOVA Zrt. parkolásgazdálkodásból származó bevétel</t>
  </si>
  <si>
    <t>SZOVA Zrt. parkolásgazdálkodásból származó ÁFA visszatérülés</t>
  </si>
  <si>
    <t>Önkormányzati nagyrendezvények</t>
  </si>
  <si>
    <t>Sport nagyrendezvények</t>
  </si>
  <si>
    <t>Szombathelyi Sportközpont és Sportiskola Nonprofit Kft. támogatása</t>
  </si>
  <si>
    <t>Szent Márton Smartcity városkártya és portálrendszer üzemeltetése</t>
  </si>
  <si>
    <t>Felhalmozási tartalék</t>
  </si>
  <si>
    <t xml:space="preserve">Felhalmozási tartalék </t>
  </si>
  <si>
    <t>Felhalmozási tartalék összesen</t>
  </si>
  <si>
    <t>Köztemetés költségeinek megtérítése más önkormányzatoktól</t>
  </si>
  <si>
    <t>Közösségi Bérlakás Rendszer lakbér bevétele</t>
  </si>
  <si>
    <t xml:space="preserve">Ernuszt kripta felújításához felmérés és értékeltár készítés </t>
  </si>
  <si>
    <t>Parkfenntartás - SZOMPARK Kft.</t>
  </si>
  <si>
    <t>Előző évi maradvány terhére teljesíthető működési célú projekt kiadások</t>
  </si>
  <si>
    <t>Előző évi maradvány terhére teljesíthető felhalmozási célú projekt kiadások</t>
  </si>
  <si>
    <t xml:space="preserve">Pedagógus kitüntetések </t>
  </si>
  <si>
    <t>Közösségi közlekedés (buszmegállók kialakítása, leszálló szigetek helyreállítása, kialakítás)</t>
  </si>
  <si>
    <t xml:space="preserve">KISZ Lakótelepért Egyesület </t>
  </si>
  <si>
    <t xml:space="preserve">SZOMBATHELY MEGYEI JOGÚ VÁROS ÖNKORMÁNYZATÁNAK  PÉNZÜGYI  MÉRLEGE        </t>
  </si>
  <si>
    <t xml:space="preserve">III. </t>
  </si>
  <si>
    <t xml:space="preserve">IV. </t>
  </si>
  <si>
    <t>Települési önkormányzatok gyermekétkeztetési  feladatainak támogatása</t>
  </si>
  <si>
    <t>V. Települési önkormányzatok kulturális feladatainak támogatása</t>
  </si>
  <si>
    <t>ÖSSZESEN (I.+II.+III.+IV.+V.)</t>
  </si>
  <si>
    <t>Megyei hatókörű városi könyvtárak feladatainak támogatása - Berzsenyi Dániel könyvtár feladatainak támogatása</t>
  </si>
  <si>
    <t>Zeneművészeti szervek támogatása - Savaria Szimfónikus zenekar központi támogatása</t>
  </si>
  <si>
    <t>Helyi önkormányzatok kiegészítő támogatásai összesen</t>
  </si>
  <si>
    <t>VOLÁNBUSZ  Zrt. - megállapodás alapján helyközi autóbuszjáratok helyi tarifával történő igénybevétele-Szombathely, Petőfi telep</t>
  </si>
  <si>
    <t>Helyi önkormányzatok kiegészítő támogatásai</t>
  </si>
  <si>
    <t>Települési önkormányzatok kulturális feladatainak támogatásai összesen</t>
  </si>
  <si>
    <t>Települési önkormányzatok kulturális feladatainak támogatása</t>
  </si>
  <si>
    <t>Települési önkormányzatok egyes szociális és gyermekjóléti feladatainak támogatása</t>
  </si>
  <si>
    <t>Szociális ágazati összevont pótlék</t>
  </si>
  <si>
    <t>Biztosító térítése, egyéb kártérítés, kötbér</t>
  </si>
  <si>
    <t>Ipari park tudományos technológiai parkká minősítés</t>
  </si>
  <si>
    <t xml:space="preserve">TOP-6.1.5-2019-00002 Ferenczy u. hiányzó szakaszának építése - fordított áfa </t>
  </si>
  <si>
    <t>Közszolgáltatási szerződés helyi közlekedés</t>
  </si>
  <si>
    <t>akadálymentesítési koncepció - szakmérnöki vélemények</t>
  </si>
  <si>
    <t>Zanati Kulturális Egyesület</t>
  </si>
  <si>
    <t>Óvodai ellátó rendszerben prognosztizált munkaerő-hiány kezelése</t>
  </si>
  <si>
    <t>Nemzetközi Diákjátékok</t>
  </si>
  <si>
    <t>Szociális és köznevelési intézmények év végi karácsonyi ajándékozás és rászoruló kiskorú gyermekeket nevelő családok év végi karácsonyi ajándékozása</t>
  </si>
  <si>
    <t>Szombathelyi Neumann J.Ált.Isk.területén 3 db műfüves labdarúgó pálya éves karbantartás</t>
  </si>
  <si>
    <t>Szombathelyi Pingvinek Jégkorong Klub támogatása</t>
  </si>
  <si>
    <t>JUSTNature projekt</t>
  </si>
  <si>
    <t>Egyéb kulturális rendezvények</t>
  </si>
  <si>
    <t>Citylight hirdetőtáblák karbantartása, javítása</t>
  </si>
  <si>
    <t>Egyéb lakásgazdálkodási és szociális kiadások</t>
  </si>
  <si>
    <t>Szombathelyi Szabadidősport rendezvények</t>
  </si>
  <si>
    <t>Évközi tervezések, útfelújítás tervezések, egyéb tervezések</t>
  </si>
  <si>
    <t>Analóg térfigyelő kamerák cseréje</t>
  </si>
  <si>
    <t>Tűzoltó nap - "Tűzoltás-mentés" Alapítvány támogatása</t>
  </si>
  <si>
    <t>Állatvédők Vasi Egyesülete működési támogatás</t>
  </si>
  <si>
    <t xml:space="preserve">Vas megyei Szakképzési Centrum működési hozzájárulás </t>
  </si>
  <si>
    <t>Nemzetközi kapcsolatok</t>
  </si>
  <si>
    <t>Lelkisegély szolgálat támogatása (szerződés) - Telehumanitas Szombathelyi Mentálhigiénés Egyesület</t>
  </si>
  <si>
    <t xml:space="preserve">Szombathelyi Nemzetiségi nap </t>
  </si>
  <si>
    <t>Laktanya terület út építési kötelezettség</t>
  </si>
  <si>
    <t>Veszélyhelyzet ideje alatt a szomszédos országban fennálló humanitárius katasztrófára tekintettel érkező személyek elhelyezésének támogatása</t>
  </si>
  <si>
    <t>Országos tanulmányi versenyeken eredményesen szereplő diákok és tanáraik jutalmazása</t>
  </si>
  <si>
    <t>ELAMEN Zrt. részére támogatás biztosítása</t>
  </si>
  <si>
    <t>Veszélyhelyzet ideje alatt a szomszédos országban fennálló humanitárius katasztrófára tekintettel érkező személyek elhelyezésének támogatása (központi támogatásból)</t>
  </si>
  <si>
    <t>Savaria Karnevál megrendezése, kulturális rendezvények, fesztiválok megrendezése (Savaria Turizmus Nkft., egyéb kiadások, stb.)</t>
  </si>
  <si>
    <t>VASIVÍZ ZRt.-Uszoda fenntartás- központi támogatásból</t>
  </si>
  <si>
    <t>Csapadékvíz elvezetés (üzemeltetés)</t>
  </si>
  <si>
    <t>RRF-1.1.2-21-2021-0007 Demográfiai és köznevelési bölcsődei nevelés fejlesztése - Új bölcsőde építése Szombathely Szentkirályi városrészen</t>
  </si>
  <si>
    <t>Erdei iskola utcai csapadékcsatorna építése</t>
  </si>
  <si>
    <t>Északi iparterület - közművesítések finanszírozása, fejlesztések finanszírozása, tanulmányterv készítése</t>
  </si>
  <si>
    <t>Költségvetési intézmények informatikai fejlesztése</t>
  </si>
  <si>
    <t>ITM támogatás - Zanati kerékpárút fejlesztése - hozzájárulás</t>
  </si>
  <si>
    <t xml:space="preserve">Körforgalom (Markusovszky u. - Sugár u. - Horváth Boldizsár krt. - Dr. István Lajos krt.) </t>
  </si>
  <si>
    <t>Stromfeld lakótelepen parkoló építés</t>
  </si>
  <si>
    <t>TOP-6.1.5-2019-00002 Ferenczy u. hiányzó szakaszának építése - hozzájárulás</t>
  </si>
  <si>
    <t>Fogyatékkal Élőket és Hajléktalanokat Ellátó Nkft. támogatása</t>
  </si>
  <si>
    <t>Egyedi önkormányzati informatikai fejlesztések</t>
  </si>
  <si>
    <t xml:space="preserve">Vasi Tekesportért Alapítvány </t>
  </si>
  <si>
    <t>Tartalék -kulturális bérpótlék év közbeni biztosítására központi támogatásból</t>
  </si>
  <si>
    <t>Fáklyavívők Egyesülete támogatás - Szombathelyi Alkotótábor megrendezése</t>
  </si>
  <si>
    <t>Könyvkiadás</t>
  </si>
  <si>
    <t>Erdő és vadgazdálkodási költség</t>
  </si>
  <si>
    <t>SZOVA, Szompark, AGORA, Turizmus Kft, Sportközpont Kft közös raktározás</t>
  </si>
  <si>
    <t>Fonyódi gyermektábor</t>
  </si>
  <si>
    <t>Csatorna fedél javítások</t>
  </si>
  <si>
    <t xml:space="preserve">Kormányzati támogatás </t>
  </si>
  <si>
    <t xml:space="preserve">Szombathelyi Haladás Labdarúgó és Sportszolgáltató Kft. </t>
  </si>
  <si>
    <t>Nemzeti Tudósképző Akadémia program</t>
  </si>
  <si>
    <t>Derkovits Városrészért Egyesület</t>
  </si>
  <si>
    <t>Központi támogatás elszámolás alapján</t>
  </si>
  <si>
    <t>TOP Plusz 1.3.1.-00001 Fenntartható városfejlesztés</t>
  </si>
  <si>
    <t>Áfa visszaigénylés - Zöld hidrogénen alapuló ökoszisztéma fejlesztése Szhelyen</t>
  </si>
  <si>
    <t>EIT Urban Mobility TICER pályázat</t>
  </si>
  <si>
    <t>INTERREG Europe OD4GROWTH pályázat</t>
  </si>
  <si>
    <t>Kalandváros óvodai és iskolai csoportok által történő szervezett látogatásának támogatása</t>
  </si>
  <si>
    <t xml:space="preserve">Identitás program </t>
  </si>
  <si>
    <t xml:space="preserve">INTERREG Europe OD4GROWTH pályázat </t>
  </si>
  <si>
    <t>Rumi Rajki István utca burkolat felújítására</t>
  </si>
  <si>
    <t>Derkovits lakótelepen parkoló kialakítása</t>
  </si>
  <si>
    <t>Jégpince utca és a Bartók B. körűt körforgalom fordított ÁFA</t>
  </si>
  <si>
    <t>Körforgalom (Markusovszky u. - Sugár u. - Horváth Boldizsár krt. - Dr. István Lajos krt.) fordított ÁFA</t>
  </si>
  <si>
    <t>Trafiboxok beszerzése, telepítése</t>
  </si>
  <si>
    <t>Északi iparterület - közművesítések finanszírozása, fejlesztések finanszírozása, tanulmányterv készítése - fordított ÁFA</t>
  </si>
  <si>
    <t>Hajdú utca burkolat javítás</t>
  </si>
  <si>
    <t>Ekata rendszer havi díj</t>
  </si>
  <si>
    <t>Önkéntes rendszer üzemeltetési díja</t>
  </si>
  <si>
    <t>VDKSZ  működtetés</t>
  </si>
  <si>
    <t>Szombathelypont működtetés</t>
  </si>
  <si>
    <t>eKata vagyongazdálkodási rendszer intézményi kiterjesztés</t>
  </si>
  <si>
    <t>Összesen</t>
  </si>
  <si>
    <t>Szociális térkép</t>
  </si>
  <si>
    <t>Egyéb rendezvények</t>
  </si>
  <si>
    <t>Vásárok, rendezvények, karácsonyi díszkivilágítás - fordított áfa</t>
  </si>
  <si>
    <t>Parkolók kialakítása, javítása (Éhen Gyula téri, Szürcsapó u. 6-8. mögötti, Barátság u. 17-19. melletti, Bartók Béla krt. 40. előtti)</t>
  </si>
  <si>
    <t>2024. évi útfelújítási program</t>
  </si>
  <si>
    <t>Nyugíjas Bérlők Háza befizetés</t>
  </si>
  <si>
    <t>MVP ügyleti kamatfizetési kötelezettésg</t>
  </si>
  <si>
    <t>Egyéb finanszírozási célú kiadás - 2024.évi költségvetési támogatási előleg</t>
  </si>
  <si>
    <t>Olimpikonok támogatása</t>
  </si>
  <si>
    <t xml:space="preserve">1000 fa program </t>
  </si>
  <si>
    <t>Vas Megyei Temetkezési Kft. támogatása</t>
  </si>
  <si>
    <t>Önkéntes Stratégia végrehajtása</t>
  </si>
  <si>
    <t>Fenntarthatósági és klímapolitikai célok megvalósulása</t>
  </si>
  <si>
    <t>Jelzőlámpák üzemeltetése és cseréje</t>
  </si>
  <si>
    <t>Közvilágítási elemek karbantartása, kiegészítése</t>
  </si>
  <si>
    <t>Közvilágítási elemek karbantartása és kiegészítése fordított áfa</t>
  </si>
  <si>
    <t>Szombathelyi Egyházmegyei Karitász - Hársfa-ház Pszichiátriai- és Szenvedélybetegek Nappali Ellátója és Átmeneti Otthona, RÉV Szenvedélybeteg-segítő Szolgálat és Közösségi Gondozó</t>
  </si>
  <si>
    <t>Projektek - önerő, hozzájárulás, előkészítés, egyéb beruházási feladatok</t>
  </si>
  <si>
    <t>Vas Vármegyei Markusovszky Egyetemi Oktatókórház (parkoló bérlet díj támogatás)</t>
  </si>
  <si>
    <t>Táncverseny</t>
  </si>
  <si>
    <t>Működési célú maradvány - 2024.évi útfelújítási programhoz</t>
  </si>
  <si>
    <t>Felhalmozási célú maradvány - 2024. évi útfelújítási programhoz</t>
  </si>
  <si>
    <t xml:space="preserve">Szombathelyi Szépítő Egyesület támogatása </t>
  </si>
  <si>
    <t>Ingatlancseréből származó bevétel</t>
  </si>
  <si>
    <t>Ingatlancsere</t>
  </si>
  <si>
    <t>Japán nap támogatása</t>
  </si>
  <si>
    <t>2024.évi energiaköltségekre</t>
  </si>
  <si>
    <t xml:space="preserve">City-to-City Exchanges (Városok közötti csereprogram) projekt </t>
  </si>
  <si>
    <t>Működési célú maradvány - projektekhez</t>
  </si>
  <si>
    <t>Felhalmozási célú maradvány - projektekhez</t>
  </si>
  <si>
    <t>Alapellátás háziorvosai és fogorvosai részére rezsikompenzáció</t>
  </si>
  <si>
    <t>VASIVÍZ ZRt. - elsődleges tevékenység támogatása</t>
  </si>
  <si>
    <t>VASIVÍZ ZRt.- Uszoda működési támogatás</t>
  </si>
  <si>
    <t>Tartalék - közétkeztetési  rezsi kulcs emelésből adódó többletkiadások fedezetére</t>
  </si>
  <si>
    <t xml:space="preserve">Segély önkormányzati támogatásból </t>
  </si>
  <si>
    <t>Vas Vármegyei Katasztrófavédelmi Igazgatóság - Tűzoltóság támogatása</t>
  </si>
  <si>
    <t xml:space="preserve">2024. évi bevételei  kiemelt előirányzatonként </t>
  </si>
  <si>
    <t xml:space="preserve">2024. évi  kiadásai kiemelt előirányzatonként </t>
  </si>
  <si>
    <t>Pálos Károly Szociális Szolgáltató Központ és Gyermekjóléti Szolgálat</t>
  </si>
  <si>
    <t>Szombathelyi Egyesített Bölcsődei Intézmény</t>
  </si>
  <si>
    <t>Szombathely Városi Vásárcsarnok</t>
  </si>
  <si>
    <t>Fekete István Állatvédő Egyesület támogatása</t>
  </si>
  <si>
    <t>Weöres Sándor Színház Nkft. összesen</t>
  </si>
  <si>
    <t>Herényi Kulturális és Sportegyesület - 30 éves jubileumi év</t>
  </si>
  <si>
    <t>Javasolt</t>
  </si>
  <si>
    <t>módosítás</t>
  </si>
  <si>
    <t>Kulturális kitüntetés díja, Év Civil Szervezete díja</t>
  </si>
  <si>
    <t>2. Önkormányzati gazdasági társaságok összesen</t>
  </si>
  <si>
    <t>5. Városi nagyrendezvények</t>
  </si>
  <si>
    <t>4. Kulturális és civil alap</t>
  </si>
  <si>
    <r>
      <t>Weöres Sándor Színház Nkft.</t>
    </r>
    <r>
      <rPr>
        <b/>
        <i/>
        <sz val="12"/>
        <rFont val="Calibri"/>
        <family val="2"/>
        <charset val="238"/>
      </rPr>
      <t xml:space="preserve"> önkormányzati támogatása</t>
    </r>
  </si>
  <si>
    <r>
      <t xml:space="preserve">Önkormányzati fenntartású Weöres Sándor Színház Nkft. </t>
    </r>
    <r>
      <rPr>
        <i/>
        <sz val="12"/>
        <rFont val="Calibri"/>
        <family val="2"/>
        <charset val="238"/>
      </rPr>
      <t>közös működtetési támogatása</t>
    </r>
  </si>
  <si>
    <t>3. Kulturális és civil szervezetek támogatása összesen</t>
  </si>
  <si>
    <t>I. VÁROSI KULTURÁLIS INTÉZMÉNYEK ÉS ÖNKORMÁNYZATI GAZDASÁGI TÁRSASÁGOK MINDÖSSZESEN (1+2)</t>
  </si>
  <si>
    <t>II. KULTURÁLIS ÉS CIVIL SZERVEZETEK TÁMOGATÁSA ÉS KULTURÁLIS ÉS CIVIL ALAP MINDÖSSZESEN (3+4)</t>
  </si>
  <si>
    <t>V. ÖNKORMÁNYZATI KULTURÁLIS KIADÁSOK MINDÖSSZESEN (II+III+IV)</t>
  </si>
  <si>
    <t>Savaria Történelmi Karnevál Közhasznú Közalapítvány támogatása</t>
  </si>
  <si>
    <t>8. Közhasznú információk támogatása összesen</t>
  </si>
  <si>
    <t>IV. EGYÉB KULTURÁLIS KIADÁSOK MINDÖSSSZESEN (7+8)</t>
  </si>
  <si>
    <t>6. Egyéb kulturális rendezvények, programok összesen</t>
  </si>
  <si>
    <t>III. KULTURÁLIS RENDEZVÉNYEK MINDÖSSZESEN (5+6)</t>
  </si>
  <si>
    <t>7.  Egyéb kulturális szervezetek támogatása ÖSSZESEN</t>
  </si>
  <si>
    <t>AGORA Savaria Kulturális és Médiaközpont Nkft. támogatása</t>
  </si>
  <si>
    <t>Sebészeti kongresszus</t>
  </si>
  <si>
    <t>HÁROFIT Közhasznú Egyesület -Családok húsvéti ajándékozása</t>
  </si>
  <si>
    <t>Zanati városrész útjainak felújításához (Áfonya u., Eper u., Korpás u., Fenyő u.) terület vásárlás, járda felújítás, csapadékvíz szikkasztó medence átalakítása, vízjogi és üzemeltetési engedélyek stb.</t>
  </si>
  <si>
    <t>Zöld hidrogénen alapuló ökoszisztéma fejlesztése Szombathelyen</t>
  </si>
  <si>
    <t>Vízközmű- és szennyvízközmű beruházáshoz kapcsolódóan - gördülő fejlesztési tervmódosítás költségei</t>
  </si>
  <si>
    <t>Továbbszámlázandó-Megvalósíthatósági tanulmány kidolgozása - Zöld hidrogénen alapuló ökoszisztéma fejlesztés Szombathelyen</t>
  </si>
  <si>
    <t>Energiaközösség megvalósításának vizsgálata</t>
  </si>
  <si>
    <t>Felhalmozási célú maradvány</t>
  </si>
  <si>
    <t>Települési önkormányzatok kulturális feladatainak bérjellegű támogatása (bérfejlesztéshez) (682/2021.(XII.6.) korm.rend.)</t>
  </si>
  <si>
    <t>Települési önkormányzatok kulturális feladatainak bérjellegű támogatása (kulturális területen biztosítandó kiegészítő támogatás) (68/2023.(III.10.) korm.rend.) - minimálbér és garantált bérminimum emelés</t>
  </si>
  <si>
    <t>RRF-1.1.2-21-2021-0007 Demográfiai és köznevelési bölcsődei nevelés fejlesztése - Új bölcsőde építése Szombathely Szentkirályi városrészen - fordított áfa</t>
  </si>
  <si>
    <t>RRF-1.1.2-21-2021-0007 Demográfiai és köznevelési bölcsődei nevelés fejlesztése - Új bölcsőde építése Szombathely Szentkirályi városrészen - hozzájárulás</t>
  </si>
  <si>
    <t>Bűnmegelőzési és katasztrófavédelmi kiadások, egyéb kiadások, támogatások</t>
  </si>
  <si>
    <t>Kéményseprő ipari közszolgáltatási támogatás visszafizetése</t>
  </si>
  <si>
    <t xml:space="preserve">Központi költségvetés részére visszafizetési kötelezettség </t>
  </si>
  <si>
    <t>Nyugdíjas Bérlők Háza - használatba vételi díj visszafizetése</t>
  </si>
  <si>
    <t>Megyei Jogú Városok Szövetsége támogatás</t>
  </si>
  <si>
    <t>Szombathelyi Futóklub Szabadidő Sport Egyesület támogatása</t>
  </si>
  <si>
    <t>Árkádia Üzletház Társasház részére a Dolgozók útja 1/A. előtt buszmegálló felújításához nyújtott támogatás</t>
  </si>
  <si>
    <t>Kukullói Kertbarátok Társasága részére külterületi utak burkolat kialakításához és karbantartáshoz nyújtott tám.</t>
  </si>
  <si>
    <t xml:space="preserve">Savaria Turizmus Nkft.  támogatása </t>
  </si>
  <si>
    <t>1. Városi kulturális intézmények működési kiadásai össezesen</t>
  </si>
  <si>
    <t>1. Városi kulturális intézmények</t>
  </si>
  <si>
    <t>2. Önkormányzati gazdasági társaságok</t>
  </si>
  <si>
    <t>ÖNKORMÁNYZATI KULTURÁLIS KIADÁSOK</t>
  </si>
  <si>
    <t>3. Kulturális és civil szervezetek támogatása</t>
  </si>
  <si>
    <t>6. Egyéb kulturális rendezvények, programok</t>
  </si>
  <si>
    <t>EGYÉB KULTURÁLIS KIADÁSOK</t>
  </si>
  <si>
    <t>7. Egyéb kulturális szervezetek támogatása</t>
  </si>
  <si>
    <t>8. Közhasznú információk támogatása</t>
  </si>
  <si>
    <t>VI. KULTURÁLIS ÁGAZAT MŰKÖDÉSI CÉLÚ KIADÁSOK MINDÖSSZESEN (I+V)</t>
  </si>
  <si>
    <t>JustClimate projekt</t>
  </si>
  <si>
    <t>Interreg CE Program - Green LaMiS projekt</t>
  </si>
  <si>
    <t>Hulladékgazdálkodáshoz kapcsolódó környezetvédelmi kiadások</t>
  </si>
  <si>
    <t>Fenntartható Energia és Klímavédelmi Cselekvési Terv felülvizsgálata (SECAP)</t>
  </si>
  <si>
    <t xml:space="preserve">Nyugat-dunántúli Regionális Hulladékgazdálkodási Önkormányzati Társulástól támogatás </t>
  </si>
  <si>
    <t>Nyugat-dunántúli Regionális Hulladékgazdálkodási Önkormányzati Társulás működési hozzájárulás</t>
  </si>
  <si>
    <t>Vadvirág utcai Polgárjogi Társaság támogatása - Vadvirág u. helyreállítása céljából</t>
  </si>
  <si>
    <t>2024. évi II.sz.</t>
  </si>
  <si>
    <t xml:space="preserve">Mesebolt Bábszínház </t>
  </si>
  <si>
    <t xml:space="preserve">Savaria Szimfonikus Zenekar </t>
  </si>
  <si>
    <t>Savaria Múzeum</t>
  </si>
  <si>
    <r>
      <t>Szombathelyi Egészségügyi és Kulturális Intézmények GESZ</t>
    </r>
    <r>
      <rPr>
        <b/>
        <sz val="12"/>
        <rFont val="Calibri"/>
        <family val="2"/>
        <charset val="238"/>
      </rPr>
      <t xml:space="preserve"> </t>
    </r>
  </si>
  <si>
    <t xml:space="preserve">Szombathelyi Egyesített Bölcsődei Intézmény </t>
  </si>
  <si>
    <t xml:space="preserve">Szombathely Városi Vásárcsarnok </t>
  </si>
  <si>
    <t>Szalézi Rendház Szombathely támogatása (nyári napközis tábor)</t>
  </si>
  <si>
    <t>Kéményseprő ipari közszolgáltatás ellátásának támogatása</t>
  </si>
  <si>
    <t>Magyar - magyar közösségi tevékenységek támogatása - Közös értékek találkozása Vajdahunyadon projekt</t>
  </si>
  <si>
    <t xml:space="preserve">Söpte Önkormányzatának járó juttatás SZMJV önkormányzati terület értékesítés után </t>
  </si>
  <si>
    <t>Szolidarítási hozzájárulás</t>
  </si>
  <si>
    <t>Vásárok bevétele</t>
  </si>
  <si>
    <t>Vásárokhoz kapcsolódó közterületfoglalási díjbevétel</t>
  </si>
  <si>
    <t>Adventi vásár díszkivilágításának támogatása</t>
  </si>
  <si>
    <t>Háziorvosi életpálya modellhez kapcsolódó visszafizetés</t>
  </si>
  <si>
    <t>Árfolyam nyereség - JUSTNature projekthez kapcsolódóan</t>
  </si>
  <si>
    <t xml:space="preserve">Szombathelyi Turisztikai és Testvérvárosi Egyesület </t>
  </si>
  <si>
    <t xml:space="preserve">Viktória FC támogatása </t>
  </si>
  <si>
    <t>HÁROFIT Közhasznú Egyesület -Rászoruló családoknak nyújtott tanévkezdési támogatás</t>
  </si>
  <si>
    <t>Fogyatékkal Élőket és Hajléktalanokat Ellátó Nkft. (rászoruló családok részére tűzifa vásárlás)</t>
  </si>
  <si>
    <t>CERV-2023-CITIZENS-TOWN-TT projekt - Testre szabott energia</t>
  </si>
  <si>
    <t>PRENOR Kft.bérleti díj megtérítése 2022-20023. évekre</t>
  </si>
  <si>
    <t xml:space="preserve">Kiszámlázott és befizetendő áfa bevétel (PRENOR Kft. bérleti díj után) </t>
  </si>
  <si>
    <t>PRENOR Kft.tagi kölcsön, bérleti díj után járó kamatbevétel</t>
  </si>
  <si>
    <t>Prenor Kft.tagi kölcsön nyújtása</t>
  </si>
  <si>
    <t>2024. évi útfelújítási program fordíott áfa kiadás</t>
  </si>
  <si>
    <t>Parkolók kialakítása, javítása (Éhen Gyula téri, Szürcsapó u. 6-8. mögötti, Barátság u. 17-19. melletti, Bartók Béla krt. 40. előtti) - fordított áfa kiadás</t>
  </si>
  <si>
    <t>Támogatások elszámolása államháztartáson kívülről</t>
  </si>
  <si>
    <t>PRENOR Kft.tagi kölcsön visszatérülése</t>
  </si>
  <si>
    <t>Szombathelyért Közalapítvány tagi kölcsön visszatérülése</t>
  </si>
  <si>
    <t>Savaria Városfejlesztési Kft. tagi kölcsön visszatérülése</t>
  </si>
  <si>
    <t>HVSE támogatás</t>
  </si>
  <si>
    <t>Pécsi Tudományegyetem támogatás</t>
  </si>
  <si>
    <t>Szombathelyi Szabadidősport Szövetség támogatása - Városi Kispályás Labdarúgó Bajnokság, Városi Tekebajnokság, Nyári lábtenisz bajnokság, Kispályás labdarúgó bajnokság</t>
  </si>
  <si>
    <t>Horizon Europe WeGenerate ("Társ város") projekt</t>
  </si>
  <si>
    <t>Egyéb sportcélú kiadások és támogatások</t>
  </si>
  <si>
    <t>2024. évi III.sz.</t>
  </si>
  <si>
    <t>Szombathely Megyei  Jogú Város Önkormányzata 2024. évi III. sz. módosított előirányzat felhasználási terve</t>
  </si>
  <si>
    <t>Egyéb közhatalmi bevételek</t>
  </si>
  <si>
    <t>Tavak haszonbérbe adása</t>
  </si>
  <si>
    <t>Szombathelyi Neumann J.Ált.Isk.területén 3 db műfüves labdarúgó pálya éves karbantartási, továbbszámlázott költségének megtérítése</t>
  </si>
  <si>
    <t>Szent Márton kártya értékesítése</t>
  </si>
  <si>
    <t>Lakáskölcsöntörlesztés</t>
  </si>
  <si>
    <t>Képviselő testület tagjai és a bizottsági tagok jogszabály szerinti juttatásai</t>
  </si>
  <si>
    <t>JustNature projekt</t>
  </si>
  <si>
    <t>JustNature projekt-fordított Áfa kiadás</t>
  </si>
  <si>
    <t>Támogatások elszámolása államháztartáson belülről</t>
  </si>
  <si>
    <t>ELAMEN Zrt bérleti díj és egyéb  bérleti díjak</t>
  </si>
  <si>
    <t>iSi Automotive Hungary Kft. támogatása a 3H jelű autóbusz járat működtetéséhez</t>
  </si>
  <si>
    <t>Szociális Szolgáltatók Közhasznú Egyesület részére támogatás (rászorulók karácsonyi ajándékozása)</t>
  </si>
  <si>
    <t>Könyvtári érdekeltségnövelő támogatás</t>
  </si>
  <si>
    <t>Energiaügyi Minisztérium - "Zöld óvoda" program támogatás</t>
  </si>
  <si>
    <t>Alpokalja Nagycsaládos Egyesület Szombathely részére támogatás</t>
  </si>
  <si>
    <t>Tömjénhegy Utcai Úttársaság támogatása (Tömjénhegy u. felújítás)</t>
  </si>
  <si>
    <t>Halaldás 1919 Labdarúgó Kft. támogatása</t>
  </si>
  <si>
    <t>Interreg CE Program - Green LaMiS projekt - hazai támogatás</t>
  </si>
  <si>
    <t>Interreg CE Program - Green LaMiS projekt - ERFA támogatás</t>
  </si>
  <si>
    <t>Egyéb különféle működési célú bevétel</t>
  </si>
  <si>
    <t>Továbbszámlázott költségek megtérítése</t>
  </si>
  <si>
    <t>Tartalék - a 2025. évi költségvetéshez</t>
  </si>
  <si>
    <t>Egyéb - finanszírozási célú bevétel - Lekötött bankbetét feloldása</t>
  </si>
  <si>
    <t>Egyéb finanszírozási célú kiadás - Lekötött bankbetét elhelyezése</t>
  </si>
  <si>
    <t>Egyéb finanszírozási célú kiadás - 2025.évi költségvetési támogatási előleg</t>
  </si>
  <si>
    <t>Egyéb finanszírozási célú bevétel a 2024. évi költségvetési támogatási előleg</t>
  </si>
  <si>
    <t>Egyéb finanszírozási célú bevétel a 2025. évi költségvetési támogatási előleg</t>
  </si>
  <si>
    <t>Költségvetési szervek 2024. évi bevételei</t>
  </si>
  <si>
    <t xml:space="preserve">I N T É Z M É N Y                               </t>
  </si>
  <si>
    <t>Működési célú átvett  pénzeszközök</t>
  </si>
  <si>
    <t>Saját bevételek összesen</t>
  </si>
  <si>
    <t>Előző év költségvetési maradványának igénybevétele</t>
  </si>
  <si>
    <t>Központi irányítószervtől kapott támogatás</t>
  </si>
  <si>
    <t>Központi irányítószervtől kapott támogatás összesen</t>
  </si>
  <si>
    <t xml:space="preserve">     Költségvetési bevételek összesen</t>
  </si>
  <si>
    <t>2024.</t>
  </si>
  <si>
    <t>Működési</t>
  </si>
  <si>
    <t>Felhalmozási</t>
  </si>
  <si>
    <t>2024. évi II. sz. módosított előirányzat</t>
  </si>
  <si>
    <t>Javasolt módosítás</t>
  </si>
  <si>
    <t>2024. évi III. sz. módosított előirányzat</t>
  </si>
  <si>
    <t>Ó v o d á k</t>
  </si>
  <si>
    <t>Aréna Óvoda</t>
  </si>
  <si>
    <t>Barátság  Óvoda</t>
  </si>
  <si>
    <t xml:space="preserve">Pipitér Óvoda </t>
  </si>
  <si>
    <t xml:space="preserve">Hétszínvirág Óvoda </t>
  </si>
  <si>
    <t xml:space="preserve">Szivárvány Óvoda </t>
  </si>
  <si>
    <t xml:space="preserve">Donászy Magda Óvoda </t>
  </si>
  <si>
    <t xml:space="preserve">Mesevár Óvoda </t>
  </si>
  <si>
    <t xml:space="preserve">Mesevár Ovoda </t>
  </si>
  <si>
    <t xml:space="preserve">Játéksziget  Óvoda </t>
  </si>
  <si>
    <t>Kőrösi Csoma Sándor Utcai Óvoda</t>
  </si>
  <si>
    <t xml:space="preserve">Gazdag Erzsi Óvoda  </t>
  </si>
  <si>
    <t>Maros  Óvoda</t>
  </si>
  <si>
    <t>Vadvirág Óvoda</t>
  </si>
  <si>
    <t xml:space="preserve">Margaréta Óvoda  </t>
  </si>
  <si>
    <t>Napsugár  Óvoda</t>
  </si>
  <si>
    <t>Szűrcsapó Óvoda</t>
  </si>
  <si>
    <t xml:space="preserve">Mocorgó Óvoda </t>
  </si>
  <si>
    <t>Benczúr Gyula Utcai Óvoda</t>
  </si>
  <si>
    <t xml:space="preserve">Weöres Sándor  Óvoda </t>
  </si>
  <si>
    <t>Óvodák  összesen</t>
  </si>
  <si>
    <t>Szombathelyi Köznevelési GAMESZ</t>
  </si>
  <si>
    <t>Oktatási intézmények összesen</t>
  </si>
  <si>
    <t>Nem oktatási intézmények</t>
  </si>
  <si>
    <t>Kulturális intézmények</t>
  </si>
  <si>
    <t>Savaria Szimfonikus Zenekar</t>
  </si>
  <si>
    <t>Berzsenyi Dániel Könyvtár</t>
  </si>
  <si>
    <t xml:space="preserve">Összesen                             </t>
  </si>
  <si>
    <t>Szociális intézmény</t>
  </si>
  <si>
    <t>Egészségügyi intézmény</t>
  </si>
  <si>
    <t>Szombathelyi Egészségügyi és Kulturális GESZ</t>
  </si>
  <si>
    <t>Gyermekvédelmi intézmény</t>
  </si>
  <si>
    <t>Egyéb intézmények</t>
  </si>
  <si>
    <t xml:space="preserve">Összesen                                 </t>
  </si>
  <si>
    <t>Nem oktatási intézmények összesen</t>
  </si>
  <si>
    <t>Intézmények mindösszesen</t>
  </si>
  <si>
    <t>Költségvetési szervek 2024. évi kiadásai</t>
  </si>
  <si>
    <t>I N T É Z M É N Y</t>
  </si>
  <si>
    <t>Beruházás</t>
  </si>
  <si>
    <t>Felújítás</t>
  </si>
  <si>
    <t>Költségvetési kiadások összesen</t>
  </si>
  <si>
    <t>Szociális intézmények</t>
  </si>
  <si>
    <t>Egyéb intézmény</t>
  </si>
  <si>
    <t>Szombathelyi Városi Vásárcsarnok</t>
  </si>
  <si>
    <t>Szombathely Megyei Jogú Város Önkormányzatának</t>
  </si>
  <si>
    <t>2024. évi  engedélyezett létszámelőirányzata</t>
  </si>
  <si>
    <t>2024. évi</t>
  </si>
  <si>
    <t>2024.évi III. sz. módosított engedélyezett létszám  előirányzat összesen</t>
  </si>
  <si>
    <t>Intézmény</t>
  </si>
  <si>
    <t>SZAKMAI LÉTSZÁM</t>
  </si>
  <si>
    <t>INTÉZMÉNY ÜZEMELTETÉSI LÉTSZÁM</t>
  </si>
  <si>
    <t>átszámítás nélküli</t>
  </si>
  <si>
    <t xml:space="preserve">   kerekített</t>
  </si>
  <si>
    <t>kerekített</t>
  </si>
  <si>
    <t>Ó v o d á k :</t>
  </si>
  <si>
    <t>238/2024.(X.10.) Kgy.sz. hat.</t>
  </si>
  <si>
    <t>277/2024.(X.22.) Kgy.sz. hat.</t>
  </si>
  <si>
    <t>Kőrösi Csoma Sándor utcai Óvoda</t>
  </si>
  <si>
    <t>Óvodák  összesen:</t>
  </si>
  <si>
    <t xml:space="preserve">Oktatási intézmények összesen:                                       </t>
  </si>
  <si>
    <t>Nem oktatási intézmények:</t>
  </si>
  <si>
    <t>Kulturális intézmény</t>
  </si>
  <si>
    <t xml:space="preserve">Összesen:                                       </t>
  </si>
  <si>
    <t xml:space="preserve">Összesen                                       </t>
  </si>
  <si>
    <t>Szombathely Megyei Jogú Város Önkormányzata általános működésének és ágazati feladatainak támogatása</t>
  </si>
  <si>
    <t>és a helyi önkormányzatok kiegészítő támogatásai</t>
  </si>
  <si>
    <t>Önkormányzat általános működésének és ágazati feladatainak támogatása (Kvtv.2024. 2. melléklet)</t>
  </si>
  <si>
    <t>2024. évi II.sz. módosított előirányzat</t>
  </si>
  <si>
    <t>2024. évi III.sz. módosított előirányzat</t>
  </si>
  <si>
    <t>1.1. TELEPÜLÉSI ÖNKORMÁNYZATOK MŰKÖDÉSÉNEK ÁLTALÁNOS TÁMOGATÁSA</t>
  </si>
  <si>
    <t>1.1.1.1. Önkormányzati hivatal működésének támogatása</t>
  </si>
  <si>
    <t>1.1.1.2. Településüzemeltetés - zöldterület gazdálkodás támogatása</t>
  </si>
  <si>
    <t>1.1.1.3. Településüzemeltetés - közvilágítás támogatása</t>
  </si>
  <si>
    <t>1.1.1.4. Településüzemeltetés - köztemető támogatása</t>
  </si>
  <si>
    <t>1.1.1.5. Településüzemeltetés - közutak támogatása</t>
  </si>
  <si>
    <t>1.1.1.6. Egyéb önkormányzati feladatok támogatása</t>
  </si>
  <si>
    <t>1.1.1.7. Lakott külterülettel kapcsolatos feladatok támogatása</t>
  </si>
  <si>
    <t>1.1.2. Nem közművel összegyűjtött háztartási szennyvíz ártalmatlanítása</t>
  </si>
  <si>
    <t>A HELYI ÖNKORMÁNYZATOK MŰKÖDÉSÉNEK ÁLTALÁNOS TÁMOGATÁSA ÖSSZESEN</t>
  </si>
  <si>
    <t>1.2. A TELEPÜLÉSI ÖNKORMÁNYZATOK EGYES KÖZNEVELÉSI FELADATAINAK TÁMOGATÁSA</t>
  </si>
  <si>
    <t>1.2.1. Óvodaműködtetési támogatás</t>
  </si>
  <si>
    <t>1.2.1.1. Óvoda működtetési támogatás - Óvoda napi nyitvatartási ideje eléri a 8 órát</t>
  </si>
  <si>
    <t>1.2.2. Az óvodában foglalkoztatott pedagógusok átlagbéralapú támogatása</t>
  </si>
  <si>
    <t>1.2.2.1 Pedagógusok átlagbéralapú támogatása</t>
  </si>
  <si>
    <t>1.2.4. Nemzetiségi pótlék</t>
  </si>
  <si>
    <t>1.2.4.1. Napi 8 órát elérő nyitvatartási idővel rendelkező óvodában foglalkoztatott</t>
  </si>
  <si>
    <t>1.2.4.1.1.A köznevelési Kjtvhr.16 §.(6) a)pont ac) alpontja éa b) pontja alapján nemzetisgi pótlékban részesülő pedagógus</t>
  </si>
  <si>
    <t>1.2.5. Az óvodában foglalkoztatott pedagógusok nevelőmunkáját közvetlenül segítők átlagbéralapú támogatása</t>
  </si>
  <si>
    <t>1.2.5.1. Napi 8 órát elérő nyitvatartási idővel rendelkező óvodában foglalkoztatott</t>
  </si>
  <si>
    <t>1.2.5.1.1.pedagógus szakképzettséggel nem rendelkező segítők átlagbéralapú támogatása</t>
  </si>
  <si>
    <t>1.2.5.1.2.pedagógus szakképzettséggel rendelkező segítők átlagbéralapú támogatása</t>
  </si>
  <si>
    <t>1.2.3. Kiegészítő támogatás a pedagógusok és a pedagógus szakképzettséggel rendelkező segítők  minosítésébol adódó többletkiadásaihoz</t>
  </si>
  <si>
    <t>1.2.3.1. Minősítést 2023.január 1-jéig történő átsorolással megszerző</t>
  </si>
  <si>
    <t>1.2.3.1.1. Napi 8 órát elérő nyitvatartási idővel rendelkező óvodában foglalkoztatott</t>
  </si>
  <si>
    <t>1.2.3.1.1.1.Alapfokozatú végzettségű</t>
  </si>
  <si>
    <t>1.2.3.1.1.1. Pedagógus II.kategóriába sorolt pedagógusok,ped.szakképzettséggel rendekkező segtők kiegészítő támogatása</t>
  </si>
  <si>
    <t>1.2.3.1.1.2. Mestertanár,kutatótanár kategóriába sorolt pedagógusok kiegészítő támogatása</t>
  </si>
  <si>
    <t>1.2.3.1.1.2. Mesterfokú végzettségű</t>
  </si>
  <si>
    <t>1.2.3.1.2.1. Pedagógus II.kategóriába sorolt pedagógusok,ped.szakképzettséggel rendekkező segtők kiegészítő támogatása</t>
  </si>
  <si>
    <t>1.2.3.1.2.2. Mestertanár,kutatótanár kategóriába sorolt pedagósusok kiegészítő támogatása</t>
  </si>
  <si>
    <t>1.2.3.2. Minősítést 2024.január 1-jéig történő átsorolással megszerző</t>
  </si>
  <si>
    <t>1.2.3.2.1. Napi 8 órát elérő nyitvatartási idővel rendelkező óvodában foglalkoztatott</t>
  </si>
  <si>
    <t>1.2.3.2.1.1.Alapfokozatú végzettségű</t>
  </si>
  <si>
    <t>1.2.3.2.1.1.1. Pedagógus II.kategóriába sorolt pedagógusok,ped.szakképzettséggel rendekkező segtők kiegészítő támogatása</t>
  </si>
  <si>
    <t>1.2.3.2.1.1.2. Mestertanár,kutatótanár kategóriába sorolt pedagógusok kiegészítő támogatása</t>
  </si>
  <si>
    <t>1.2.3.2.1.2. Mesterfokú végzettségű</t>
  </si>
  <si>
    <t>1.2.3.2.1.2.1. Pedagógus II.kategóriába sorolt pedagógusok,ped.szakképzettséggel rendekkező segtők kiegészítő támogatása</t>
  </si>
  <si>
    <t>1.2.3.2.1.2.2. Mestertanár,kutatótanár kategóriába sorolt pedagógusok kiegészítő támogatása</t>
  </si>
  <si>
    <t>1.2.7. Diabétesz ellátási pótlék</t>
  </si>
  <si>
    <t>1.2. A TELEPÜLÉSI ÖNKORMÁNYZATOK EGYES KÖZNEVELÉSI FELADATAINAK TÁMOGATÁSA ÖSSZESEN</t>
  </si>
  <si>
    <t>1.3. TELEPÜLÉSI ÖNKORMÁNYZATOK EGYES SZOCIÁLIS ÉS GYERMEKJÓLÉTI FELADATAINAK TÁMOGATÁSA</t>
  </si>
  <si>
    <t>1.3.2. Egyes szociális és gyermekjóléti feladatok támogatása</t>
  </si>
  <si>
    <t xml:space="preserve">1.3.2.1.Család- és gyermekjóléti szolgálat </t>
  </si>
  <si>
    <t>1.3.2.2.1.Család- és gyermekjóléti központ</t>
  </si>
  <si>
    <t>1.3.2.2.2.Család- és gyermekjóléti központ-óvodai és iskolai szociális segítő tevékenység támogatása</t>
  </si>
  <si>
    <t>1.3.2.3.1. Szociális étkeztetés - önálló feladat ellátás</t>
  </si>
  <si>
    <t xml:space="preserve">1.3.2.4.1. Házi segítségnyújtás- szociális segítés </t>
  </si>
  <si>
    <t xml:space="preserve">1.3.2.4.2. Házi segítségnyújtás- személyi gondozás </t>
  </si>
  <si>
    <t>1.3.2.6.1. Időskorúak nappali intézményi ellátása  - önálló feladat ellátás</t>
  </si>
  <si>
    <t>1.3.2.8.1. Demens személyek nappali intézményi ellátása - önálló feladat ellátás</t>
  </si>
  <si>
    <t>1.3.3. Bölcsőde, mini bölcsőde támogatása</t>
  </si>
  <si>
    <t>1.3.3.1. Bölcsődei támogatás</t>
  </si>
  <si>
    <t>1.3.3.1.1. Felsőfokú végzettségű kisgyermeknevelők, szaktanácsadók bértámogatása</t>
  </si>
  <si>
    <t>1.3.3.1.2. Bölcsődei dajkák, középfokú végzettségű kisgyermeknevelők, szaktanácsadók bértámogatása</t>
  </si>
  <si>
    <t>1.3.3.2. Bölcsőde üzemeltetési támogatás</t>
  </si>
  <si>
    <t>1.3.3. Bölcsőde, mini bölcsőde támogatása összesen</t>
  </si>
  <si>
    <t>1.3.4. Települési önkormányzatok által biztosított szoc.szakosított ellátsok, valamint a gyermekek átmeneti gondozásával kapcsolatos feladatok támogatása</t>
  </si>
  <si>
    <t>1.3.4.1. Bértámogatás</t>
  </si>
  <si>
    <t>1.3.4.2. Intézményüzemeltetési támogatás</t>
  </si>
  <si>
    <t>1.3.4. Települési önkormányzatok által biztosított szociális szakosított ellátsok, valamint a gyermekek átmeneti gondozásával kapcsolatos feladatok támogatása</t>
  </si>
  <si>
    <t>1.3. TELEPÜLÉSI ÖNKORMÁNYZATOK EGYES SZOCIÁLIS ÉS GYERMEKJÓLÉTI FELADATAINAK TÁMOGATÁSA ÖSSZESEN</t>
  </si>
  <si>
    <t>1.4. TELEPÜLÉSI ÖNKORMÁNYZATOK GYERMEKÉTKEZTETÉS FELADATAINAK TÁMOGATÁSA</t>
  </si>
  <si>
    <t>1.4.1. Intézményi gyermekétkeztetés támogatása</t>
  </si>
  <si>
    <t>1.4.1.1. Intézményi gyermekétkeztetés - bértámogatás</t>
  </si>
  <si>
    <t xml:space="preserve">1.4.1.2. Intézményi gyermekétkeztetés - üzemeltetési támogatása </t>
  </si>
  <si>
    <t>1.4.2. Szünidei étkeztetés támogatása</t>
  </si>
  <si>
    <t>1.4. TELEPÜLÉSI ÖNKORMÁNYZATOK GYERMEKÉTKEZTETÉS FELADATAINAK TÁMOGATÁSA ÖSSZESEN</t>
  </si>
  <si>
    <t xml:space="preserve">1.5. A TELEPÜLÉSI ÖNKORMÁNYZATOK KULTURÁLIS FELADATAINAK TÁMOGATÁSA </t>
  </si>
  <si>
    <t>1.5.1. Megyeszékhely megyei jogú városok közművelődési feladatainak támogatása</t>
  </si>
  <si>
    <t>1.5.5. Megyei hatókörű városi könyvtár kistelepülési célú kiegészítő támogatása</t>
  </si>
  <si>
    <t>1.5. A TELEPÜLÉSI ÖNKORMÁNYZATOK KULTURÁLIS FELADATAINAK TÁMOGATÁSA ÖSSZESEN</t>
  </si>
  <si>
    <t>TELEPÜLÉSI ÖNKORMÁNYZATOK ÁLTALÁNOS MŰKÖDÉSÉNEK ÉS ÁGAZATI FELADATAINAK TÁMOGATÁSA MINDÖSSZESEN</t>
  </si>
  <si>
    <t>Helyi önkormányzatok kiegészítő támogatásai (Kvtv.2024. 3. melléklet)</t>
  </si>
  <si>
    <t>2.2.2. Szociális ágazati összevont pótlék és egészségügyi kiegészítő pótlék</t>
  </si>
  <si>
    <t>2.2.3.Óvodai és iskolai szociális segítő tevékenység támogatása</t>
  </si>
  <si>
    <t>Összesen - kiegtámogatás</t>
  </si>
  <si>
    <t>2.3.2.1. Megyei hatókörű városi múzeumok feladatainak támogatása</t>
  </si>
  <si>
    <t>2.3.2.2. Megyei hatókörű városi  könyvtárak feladatainak támogatása</t>
  </si>
  <si>
    <t>2.3.2.4. Könyvtári érdekeltségnövelő támogatás</t>
  </si>
  <si>
    <t>2.3.2.6. Zeneművészeti szervezetek támogatása</t>
  </si>
  <si>
    <t>2.3.3.  Települési önkormányzatok kulturális feladatainak bérjellegű támogatása (bérfejlesztéshez) (682/2021.(XII.6.) korm.rend.)</t>
  </si>
  <si>
    <t>2.3.3.  Települési önkormányzatok kulturális feladatainak bérjellegű támogatása (kulturális területen biztosítandó kiegészítő támogatás) (68/2023.(III.10.) korm.rend. 3.melléklet) - minimálbér és garantált bérminimum emelés</t>
  </si>
  <si>
    <t>Kulturális feladatok támogatása összesen</t>
  </si>
  <si>
    <t xml:space="preserve">A kéményseprő-ipari közszolgáltatás helyi önkormányzat általi ellátásának támogatása </t>
  </si>
  <si>
    <t>Működési célú költségvetési támogatások és kiegészítő támogatások összesen</t>
  </si>
  <si>
    <t>HELYI ÖNKORMÁNYZATOK KIEGÉSZÍTŐ TÁMOGATÁSAI MINDÖSSZESEN</t>
  </si>
  <si>
    <t>KVTV. 2. ÉS 3. MELLÉKLETE SZERINTI TÁMOGATÁSOK MINDÖSSZESEN</t>
  </si>
  <si>
    <t>TÁJÉKOZTATÓ ADAT</t>
  </si>
  <si>
    <t>Közös működtetési támogatás</t>
  </si>
  <si>
    <t xml:space="preserve">                            Mesebolt Bábszínház</t>
  </si>
  <si>
    <t xml:space="preserve">                            Weöres Sándor Színház Nonprofit Kft.</t>
  </si>
  <si>
    <t>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</si>
</sst>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_ ;\-#,##0\ "/>
  </numFmts>
  <fonts count="103" x14ac:knownFonts="1">
    <font>
      <sz val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8"/>
      <name val="Times New Roman CE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2"/>
      <color indexed="8"/>
      <name val="garamond"/>
      <family val="2"/>
      <charset val="238"/>
    </font>
    <font>
      <sz val="12"/>
      <color indexed="9"/>
      <name val="garamond"/>
      <family val="2"/>
      <charset val="238"/>
    </font>
    <font>
      <b/>
      <sz val="15"/>
      <color indexed="56"/>
      <name val="garamond"/>
      <family val="2"/>
      <charset val="238"/>
    </font>
    <font>
      <b/>
      <sz val="13"/>
      <color indexed="56"/>
      <name val="garamond"/>
      <family val="2"/>
      <charset val="238"/>
    </font>
    <font>
      <b/>
      <sz val="11"/>
      <color indexed="56"/>
      <name val="garamond"/>
      <family val="2"/>
      <charset val="238"/>
    </font>
    <font>
      <sz val="12"/>
      <color indexed="62"/>
      <name val="garamond"/>
      <family val="2"/>
      <charset val="238"/>
    </font>
    <font>
      <sz val="12"/>
      <color indexed="52"/>
      <name val="garamond"/>
      <family val="2"/>
      <charset val="238"/>
    </font>
    <font>
      <b/>
      <sz val="12"/>
      <color indexed="63"/>
      <name val="garamond"/>
      <family val="2"/>
      <charset val="238"/>
    </font>
    <font>
      <b/>
      <sz val="18"/>
      <color indexed="56"/>
      <name val="Cambria"/>
      <family val="2"/>
      <charset val="238"/>
    </font>
    <font>
      <b/>
      <sz val="12"/>
      <color indexed="8"/>
      <name val="garamond"/>
      <family val="2"/>
      <charset val="238"/>
    </font>
    <font>
      <sz val="12"/>
      <color indexed="10"/>
      <name val="garamond"/>
      <family val="2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i/>
      <sz val="20"/>
      <name val="Arial"/>
      <family val="2"/>
      <charset val="238"/>
    </font>
    <font>
      <sz val="14"/>
      <name val="Calibri"/>
      <family val="2"/>
      <charset val="238"/>
    </font>
    <font>
      <b/>
      <sz val="12"/>
      <name val="Calibri"/>
      <family val="2"/>
      <charset val="238"/>
    </font>
    <font>
      <sz val="12"/>
      <name val="Times New Roman CE"/>
      <charset val="238"/>
    </font>
    <font>
      <b/>
      <sz val="18"/>
      <name val="Arial"/>
      <family val="2"/>
      <charset val="238"/>
    </font>
    <font>
      <b/>
      <sz val="24"/>
      <name val="Arial"/>
      <family val="2"/>
      <charset val="238"/>
    </font>
    <font>
      <b/>
      <i/>
      <sz val="12"/>
      <name val="Calibri"/>
      <family val="2"/>
      <charset val="238"/>
    </font>
    <font>
      <i/>
      <sz val="12"/>
      <name val="Calibri"/>
      <family val="2"/>
      <charset val="238"/>
    </font>
    <font>
      <b/>
      <i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u/>
      <sz val="12"/>
      <name val="Calibri"/>
      <family val="2"/>
      <charset val="238"/>
      <scheme val="minor"/>
    </font>
    <font>
      <i/>
      <u/>
      <sz val="16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36"/>
      <name val="Arial CE"/>
      <charset val="238"/>
    </font>
    <font>
      <b/>
      <sz val="30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i/>
      <sz val="36"/>
      <name val="Calibri"/>
      <family val="2"/>
      <charset val="238"/>
      <scheme val="minor"/>
    </font>
    <font>
      <b/>
      <sz val="28"/>
      <name val="Arial CE"/>
      <charset val="238"/>
    </font>
    <font>
      <sz val="36"/>
      <name val="Arial CE"/>
      <family val="2"/>
      <charset val="238"/>
    </font>
    <font>
      <b/>
      <sz val="36"/>
      <name val="Arial CE"/>
      <family val="2"/>
      <charset val="238"/>
    </font>
    <font>
      <sz val="36"/>
      <color rgb="FFFF0000"/>
      <name val="Calibri"/>
      <family val="2"/>
      <charset val="238"/>
      <scheme val="minor"/>
    </font>
    <font>
      <sz val="28"/>
      <color indexed="10"/>
      <name val="Calibri"/>
      <family val="2"/>
      <charset val="238"/>
      <scheme val="minor"/>
    </font>
    <font>
      <b/>
      <sz val="26"/>
      <name val="Arial CE"/>
      <family val="2"/>
      <charset val="238"/>
    </font>
    <font>
      <sz val="26"/>
      <name val="Times New Roman CE"/>
      <charset val="238"/>
    </font>
    <font>
      <b/>
      <sz val="26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28"/>
      <name val="Calibri"/>
      <family val="2"/>
      <charset val="238"/>
      <scheme val="minor"/>
    </font>
    <font>
      <b/>
      <sz val="26"/>
      <name val="Times New Roman CE"/>
      <charset val="238"/>
    </font>
    <font>
      <b/>
      <u/>
      <sz val="26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26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sz val="16"/>
      <name val="Times New Roman CE"/>
      <charset val="238"/>
    </font>
    <font>
      <b/>
      <sz val="16"/>
      <color theme="1"/>
      <name val="Arial"/>
      <family val="2"/>
      <charset val="238"/>
    </font>
    <font>
      <b/>
      <sz val="20"/>
      <color indexed="8"/>
      <name val="Arial"/>
      <family val="2"/>
      <charset val="238"/>
    </font>
    <font>
      <sz val="16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26"/>
      <name val="Arial"/>
      <family val="2"/>
      <charset val="238"/>
    </font>
    <font>
      <b/>
      <sz val="24"/>
      <color theme="1"/>
      <name val="Arial"/>
      <family val="2"/>
      <charset val="238"/>
    </font>
    <font>
      <b/>
      <sz val="24"/>
      <color indexed="8"/>
      <name val="Arial"/>
      <family val="2"/>
      <charset val="238"/>
    </font>
    <font>
      <sz val="24"/>
      <color indexed="8"/>
      <name val="Arial"/>
      <family val="2"/>
      <charset val="238"/>
    </font>
    <font>
      <b/>
      <sz val="26"/>
      <color indexed="8"/>
      <name val="Arial"/>
      <family val="2"/>
      <charset val="238"/>
    </font>
    <font>
      <sz val="24"/>
      <name val="Arial"/>
      <family val="2"/>
      <charset val="238"/>
    </font>
    <font>
      <b/>
      <sz val="22"/>
      <name val="Arial"/>
      <family val="2"/>
      <charset val="238"/>
    </font>
    <font>
      <sz val="22"/>
      <color theme="1"/>
      <name val="Arial"/>
      <family val="2"/>
      <charset val="238"/>
    </font>
    <font>
      <sz val="24"/>
      <name val="Arial CE"/>
      <charset val="238"/>
    </font>
    <font>
      <b/>
      <i/>
      <sz val="24"/>
      <name val="Arial CE"/>
      <charset val="238"/>
    </font>
    <font>
      <b/>
      <i/>
      <sz val="26"/>
      <name val="Arial"/>
      <family val="2"/>
      <charset val="238"/>
    </font>
    <font>
      <b/>
      <sz val="24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/>
      <diagonal/>
    </border>
  </borders>
  <cellStyleXfs count="61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5" borderId="0" applyNumberFormat="0" applyBorder="0" applyAlignment="0" applyProtection="0"/>
    <xf numFmtId="0" fontId="16" fillId="7" borderId="1" applyNumberFormat="0" applyAlignment="0" applyProtection="0"/>
    <xf numFmtId="0" fontId="10" fillId="20" borderId="1" applyNumberFormat="0" applyAlignment="0" applyProtection="0"/>
    <xf numFmtId="0" fontId="5" fillId="21" borderId="2" applyNumberFormat="0" applyAlignment="0" applyProtection="0"/>
    <xf numFmtId="0" fontId="19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17" fillId="0" borderId="6" applyNumberFormat="0" applyFill="0" applyAlignment="0" applyProtection="0"/>
    <xf numFmtId="0" fontId="11" fillId="22" borderId="7" applyNumberFormat="0" applyFont="0" applyAlignment="0" applyProtection="0"/>
    <xf numFmtId="0" fontId="6" fillId="6" borderId="0" applyNumberFormat="0" applyBorder="0" applyAlignment="0" applyProtection="0"/>
    <xf numFmtId="0" fontId="18" fillId="23" borderId="8" applyNumberFormat="0" applyAlignment="0" applyProtection="0"/>
    <xf numFmtId="0" fontId="7" fillId="0" borderId="0" applyNumberFormat="0" applyFill="0" applyBorder="0" applyAlignment="0" applyProtection="0"/>
    <xf numFmtId="0" fontId="9" fillId="24" borderId="0" applyNumberFormat="0" applyBorder="0" applyAlignment="0" applyProtection="0"/>
    <xf numFmtId="0" fontId="22" fillId="0" borderId="0"/>
    <xf numFmtId="0" fontId="4" fillId="0" borderId="0"/>
    <xf numFmtId="0" fontId="3" fillId="0" borderId="0"/>
    <xf numFmtId="0" fontId="3" fillId="0" borderId="0"/>
    <xf numFmtId="0" fontId="23" fillId="0" borderId="0"/>
    <xf numFmtId="0" fontId="2" fillId="0" borderId="0"/>
    <xf numFmtId="0" fontId="3" fillId="0" borderId="0"/>
    <xf numFmtId="0" fontId="20" fillId="0" borderId="9" applyNumberFormat="0" applyFill="0" applyAlignment="0" applyProtection="0"/>
    <xf numFmtId="0" fontId="8" fillId="5" borderId="0" applyNumberFormat="0" applyBorder="0" applyAlignment="0" applyProtection="0"/>
    <xf numFmtId="0" fontId="9" fillId="24" borderId="0" applyNumberFormat="0" applyBorder="0" applyAlignment="0" applyProtection="0"/>
    <xf numFmtId="0" fontId="10" fillId="20" borderId="1" applyNumberFormat="0" applyAlignment="0" applyProtection="0"/>
    <xf numFmtId="0" fontId="3" fillId="0" borderId="0"/>
    <xf numFmtId="0" fontId="29" fillId="0" borderId="0"/>
    <xf numFmtId="0" fontId="29" fillId="0" borderId="0"/>
    <xf numFmtId="0" fontId="23" fillId="0" borderId="0"/>
    <xf numFmtId="0" fontId="1" fillId="0" borderId="0"/>
  </cellStyleXfs>
  <cellXfs count="991">
    <xf numFmtId="0" fontId="0" fillId="0" borderId="0" xfId="0"/>
    <xf numFmtId="0" fontId="34" fillId="0" borderId="11" xfId="0" applyFont="1" applyBorder="1" applyAlignment="1">
      <alignment wrapText="1"/>
    </xf>
    <xf numFmtId="0" fontId="35" fillId="0" borderId="0" xfId="0" applyFont="1" applyAlignment="1">
      <alignment wrapText="1"/>
    </xf>
    <xf numFmtId="0" fontId="35" fillId="0" borderId="12" xfId="0" applyFont="1" applyBorder="1" applyAlignment="1">
      <alignment wrapText="1"/>
    </xf>
    <xf numFmtId="0" fontId="34" fillId="0" borderId="11" xfId="0" applyFont="1" applyBorder="1"/>
    <xf numFmtId="0" fontId="34" fillId="0" borderId="13" xfId="0" applyFont="1" applyBorder="1"/>
    <xf numFmtId="0" fontId="34" fillId="0" borderId="0" xfId="0" applyFont="1"/>
    <xf numFmtId="0" fontId="35" fillId="0" borderId="11" xfId="0" applyFont="1" applyBorder="1"/>
    <xf numFmtId="0" fontId="35" fillId="0" borderId="0" xfId="0" applyFont="1"/>
    <xf numFmtId="0" fontId="35" fillId="0" borderId="0" xfId="0" applyFont="1" applyAlignment="1">
      <alignment horizontal="left"/>
    </xf>
    <xf numFmtId="0" fontId="36" fillId="0" borderId="14" xfId="0" applyFont="1" applyBorder="1"/>
    <xf numFmtId="0" fontId="37" fillId="0" borderId="0" xfId="0" applyFont="1"/>
    <xf numFmtId="0" fontId="38" fillId="0" borderId="11" xfId="48" applyFont="1" applyBorder="1"/>
    <xf numFmtId="0" fontId="36" fillId="0" borderId="11" xfId="48" applyFont="1" applyBorder="1" applyAlignment="1">
      <alignment horizontal="right"/>
    </xf>
    <xf numFmtId="3" fontId="35" fillId="0" borderId="0" xfId="0" applyNumberFormat="1" applyFont="1"/>
    <xf numFmtId="3" fontId="39" fillId="0" borderId="0" xfId="0" applyNumberFormat="1" applyFont="1" applyAlignment="1">
      <alignment horizontal="center"/>
    </xf>
    <xf numFmtId="3" fontId="35" fillId="0" borderId="0" xfId="0" applyNumberFormat="1" applyFont="1" applyAlignment="1">
      <alignment horizontal="right"/>
    </xf>
    <xf numFmtId="0" fontId="39" fillId="0" borderId="15" xfId="0" applyFont="1" applyBorder="1" applyAlignment="1">
      <alignment horizontal="left"/>
    </xf>
    <xf numFmtId="3" fontId="39" fillId="0" borderId="16" xfId="0" applyNumberFormat="1" applyFont="1" applyBorder="1" applyAlignment="1">
      <alignment horizontal="left"/>
    </xf>
    <xf numFmtId="3" fontId="38" fillId="0" borderId="17" xfId="0" applyNumberFormat="1" applyFont="1" applyBorder="1" applyAlignment="1">
      <alignment horizontal="center"/>
    </xf>
    <xf numFmtId="3" fontId="35" fillId="0" borderId="16" xfId="0" applyNumberFormat="1" applyFont="1" applyBorder="1"/>
    <xf numFmtId="0" fontId="39" fillId="0" borderId="11" xfId="0" applyFont="1" applyBorder="1" applyAlignment="1">
      <alignment horizontal="left"/>
    </xf>
    <xf numFmtId="3" fontId="39" fillId="0" borderId="0" xfId="0" applyNumberFormat="1" applyFont="1" applyAlignment="1">
      <alignment horizontal="left"/>
    </xf>
    <xf numFmtId="3" fontId="38" fillId="0" borderId="18" xfId="0" applyNumberFormat="1" applyFont="1" applyBorder="1" applyAlignment="1">
      <alignment horizontal="center"/>
    </xf>
    <xf numFmtId="3" fontId="39" fillId="0" borderId="19" xfId="0" applyNumberFormat="1" applyFont="1" applyBorder="1" applyAlignment="1">
      <alignment horizontal="centerContinuous"/>
    </xf>
    <xf numFmtId="3" fontId="39" fillId="0" borderId="20" xfId="0" applyNumberFormat="1" applyFont="1" applyBorder="1" applyAlignment="1">
      <alignment horizontal="centerContinuous"/>
    </xf>
    <xf numFmtId="3" fontId="39" fillId="0" borderId="21" xfId="0" applyNumberFormat="1" applyFont="1" applyBorder="1" applyAlignment="1">
      <alignment horizontal="right"/>
    </xf>
    <xf numFmtId="0" fontId="35" fillId="0" borderId="20" xfId="0" applyFont="1" applyBorder="1"/>
    <xf numFmtId="3" fontId="39" fillId="0" borderId="20" xfId="0" applyNumberFormat="1" applyFont="1" applyBorder="1" applyAlignment="1">
      <alignment horizontal="right"/>
    </xf>
    <xf numFmtId="0" fontId="35" fillId="0" borderId="22" xfId="0" applyFont="1" applyBorder="1"/>
    <xf numFmtId="3" fontId="37" fillId="0" borderId="0" xfId="0" applyNumberFormat="1" applyFont="1"/>
    <xf numFmtId="0" fontId="35" fillId="0" borderId="12" xfId="0" applyFont="1" applyBorder="1"/>
    <xf numFmtId="3" fontId="37" fillId="0" borderId="14" xfId="0" applyNumberFormat="1" applyFont="1" applyBorder="1"/>
    <xf numFmtId="3" fontId="37" fillId="0" borderId="14" xfId="0" applyNumberFormat="1" applyFont="1" applyBorder="1" applyAlignment="1">
      <alignment horizontal="right"/>
    </xf>
    <xf numFmtId="0" fontId="35" fillId="0" borderId="23" xfId="0" applyFont="1" applyBorder="1"/>
    <xf numFmtId="3" fontId="37" fillId="0" borderId="24" xfId="0" applyNumberFormat="1" applyFont="1" applyBorder="1"/>
    <xf numFmtId="3" fontId="37" fillId="0" borderId="24" xfId="0" applyNumberFormat="1" applyFont="1" applyBorder="1" applyAlignment="1">
      <alignment horizontal="right"/>
    </xf>
    <xf numFmtId="3" fontId="37" fillId="0" borderId="18" xfId="0" applyNumberFormat="1" applyFont="1" applyBorder="1"/>
    <xf numFmtId="3" fontId="39" fillId="0" borderId="23" xfId="0" applyNumberFormat="1" applyFont="1" applyBorder="1"/>
    <xf numFmtId="0" fontId="37" fillId="0" borderId="18" xfId="0" applyFont="1" applyBorder="1"/>
    <xf numFmtId="3" fontId="37" fillId="0" borderId="25" xfId="0" applyNumberFormat="1" applyFont="1" applyBorder="1"/>
    <xf numFmtId="3" fontId="39" fillId="0" borderId="11" xfId="0" applyNumberFormat="1" applyFont="1" applyBorder="1"/>
    <xf numFmtId="3" fontId="34" fillId="0" borderId="0" xfId="0" applyNumberFormat="1" applyFont="1"/>
    <xf numFmtId="3" fontId="40" fillId="0" borderId="18" xfId="0" applyNumberFormat="1" applyFont="1" applyBorder="1"/>
    <xf numFmtId="3" fontId="41" fillId="0" borderId="26" xfId="0" applyNumberFormat="1" applyFont="1" applyBorder="1"/>
    <xf numFmtId="3" fontId="42" fillId="0" borderId="27" xfId="0" applyNumberFormat="1" applyFont="1" applyBorder="1"/>
    <xf numFmtId="3" fontId="41" fillId="0" borderId="28" xfId="0" applyNumberFormat="1" applyFont="1" applyBorder="1" applyAlignment="1">
      <alignment horizontal="right"/>
    </xf>
    <xf numFmtId="3" fontId="39" fillId="0" borderId="0" xfId="0" applyNumberFormat="1" applyFont="1"/>
    <xf numFmtId="0" fontId="39" fillId="0" borderId="16" xfId="0" applyFont="1" applyBorder="1" applyAlignment="1">
      <alignment horizontal="left"/>
    </xf>
    <xf numFmtId="3" fontId="39" fillId="0" borderId="29" xfId="0" applyNumberFormat="1" applyFont="1" applyBorder="1" applyAlignment="1">
      <alignment horizontal="left"/>
    </xf>
    <xf numFmtId="0" fontId="39" fillId="0" borderId="0" xfId="0" applyFont="1" applyAlignment="1">
      <alignment horizontal="left"/>
    </xf>
    <xf numFmtId="3" fontId="39" fillId="0" borderId="30" xfId="0" applyNumberFormat="1" applyFont="1" applyBorder="1" applyAlignment="1">
      <alignment horizontal="centerContinuous"/>
    </xf>
    <xf numFmtId="3" fontId="37" fillId="0" borderId="17" xfId="0" applyNumberFormat="1" applyFont="1" applyBorder="1" applyAlignment="1">
      <alignment horizontal="right"/>
    </xf>
    <xf numFmtId="3" fontId="41" fillId="0" borderId="17" xfId="0" applyNumberFormat="1" applyFont="1" applyBorder="1" applyAlignment="1">
      <alignment horizontal="right"/>
    </xf>
    <xf numFmtId="3" fontId="37" fillId="0" borderId="18" xfId="0" applyNumberFormat="1" applyFont="1" applyBorder="1" applyAlignment="1">
      <alignment horizontal="right"/>
    </xf>
    <xf numFmtId="0" fontId="39" fillId="0" borderId="31" xfId="0" applyFont="1" applyBorder="1"/>
    <xf numFmtId="0" fontId="35" fillId="0" borderId="0" xfId="48" applyFont="1"/>
    <xf numFmtId="3" fontId="41" fillId="0" borderId="32" xfId="0" applyNumberFormat="1" applyFont="1" applyBorder="1"/>
    <xf numFmtId="3" fontId="41" fillId="0" borderId="28" xfId="0" applyNumberFormat="1" applyFont="1" applyBorder="1"/>
    <xf numFmtId="3" fontId="39" fillId="0" borderId="16" xfId="0" applyNumberFormat="1" applyFont="1" applyBorder="1"/>
    <xf numFmtId="3" fontId="41" fillId="0" borderId="16" xfId="0" applyNumberFormat="1" applyFont="1" applyBorder="1"/>
    <xf numFmtId="3" fontId="41" fillId="0" borderId="16" xfId="0" applyNumberFormat="1" applyFont="1" applyBorder="1" applyAlignment="1">
      <alignment horizontal="left"/>
    </xf>
    <xf numFmtId="3" fontId="39" fillId="0" borderId="33" xfId="0" applyNumberFormat="1" applyFont="1" applyBorder="1"/>
    <xf numFmtId="3" fontId="39" fillId="0" borderId="34" xfId="0" applyNumberFormat="1" applyFont="1" applyBorder="1" applyAlignment="1">
      <alignment horizontal="left"/>
    </xf>
    <xf numFmtId="3" fontId="41" fillId="0" borderId="17" xfId="0" applyNumberFormat="1" applyFont="1" applyBorder="1" applyAlignment="1">
      <alignment horizontal="left"/>
    </xf>
    <xf numFmtId="0" fontId="35" fillId="0" borderId="23" xfId="48" applyFont="1" applyBorder="1" applyAlignment="1">
      <alignment horizontal="justify"/>
    </xf>
    <xf numFmtId="0" fontId="34" fillId="0" borderId="35" xfId="0" applyFont="1" applyBorder="1"/>
    <xf numFmtId="3" fontId="41" fillId="0" borderId="36" xfId="0" applyNumberFormat="1" applyFont="1" applyBorder="1"/>
    <xf numFmtId="3" fontId="39" fillId="0" borderId="19" xfId="0" applyNumberFormat="1" applyFont="1" applyBorder="1"/>
    <xf numFmtId="0" fontId="35" fillId="0" borderId="20" xfId="0" applyFont="1" applyBorder="1" applyAlignment="1">
      <alignment horizontal="left"/>
    </xf>
    <xf numFmtId="3" fontId="41" fillId="0" borderId="0" xfId="0" applyNumberFormat="1" applyFont="1"/>
    <xf numFmtId="3" fontId="35" fillId="0" borderId="37" xfId="0" applyNumberFormat="1" applyFont="1" applyBorder="1"/>
    <xf numFmtId="3" fontId="43" fillId="0" borderId="0" xfId="0" applyNumberFormat="1" applyFont="1"/>
    <xf numFmtId="3" fontId="40" fillId="0" borderId="0" xfId="0" applyNumberFormat="1" applyFont="1"/>
    <xf numFmtId="3" fontId="42" fillId="0" borderId="0" xfId="0" applyNumberFormat="1" applyFont="1"/>
    <xf numFmtId="0" fontId="38" fillId="0" borderId="0" xfId="0" applyFont="1" applyAlignment="1">
      <alignment horizontal="center"/>
    </xf>
    <xf numFmtId="3" fontId="38" fillId="0" borderId="0" xfId="0" applyNumberFormat="1" applyFont="1" applyAlignment="1">
      <alignment horizontal="center"/>
    </xf>
    <xf numFmtId="0" fontId="36" fillId="0" borderId="0" xfId="0" applyFont="1"/>
    <xf numFmtId="3" fontId="36" fillId="0" borderId="0" xfId="0" applyNumberFormat="1" applyFont="1"/>
    <xf numFmtId="0" fontId="36" fillId="0" borderId="20" xfId="0" applyFont="1" applyBorder="1"/>
    <xf numFmtId="0" fontId="38" fillId="0" borderId="20" xfId="0" applyFont="1" applyBorder="1"/>
    <xf numFmtId="0" fontId="38" fillId="0" borderId="0" xfId="0" applyFont="1"/>
    <xf numFmtId="0" fontId="38" fillId="0" borderId="15" xfId="0" applyFont="1" applyBorder="1" applyAlignment="1">
      <alignment horizontal="left"/>
    </xf>
    <xf numFmtId="0" fontId="36" fillId="0" borderId="16" xfId="0" applyFont="1" applyBorder="1"/>
    <xf numFmtId="0" fontId="38" fillId="0" borderId="16" xfId="0" applyFont="1" applyBorder="1"/>
    <xf numFmtId="0" fontId="36" fillId="0" borderId="19" xfId="0" applyFont="1" applyBorder="1"/>
    <xf numFmtId="0" fontId="38" fillId="0" borderId="20" xfId="0" applyFont="1" applyBorder="1" applyAlignment="1">
      <alignment horizontal="left"/>
    </xf>
    <xf numFmtId="0" fontId="38" fillId="0" borderId="20" xfId="0" applyFont="1" applyBorder="1" applyAlignment="1">
      <alignment horizontal="right"/>
    </xf>
    <xf numFmtId="3" fontId="38" fillId="0" borderId="21" xfId="0" applyNumberFormat="1" applyFont="1" applyBorder="1" applyAlignment="1">
      <alignment horizontal="center"/>
    </xf>
    <xf numFmtId="0" fontId="39" fillId="0" borderId="11" xfId="0" applyFont="1" applyBorder="1"/>
    <xf numFmtId="0" fontId="41" fillId="0" borderId="17" xfId="0" applyFont="1" applyBorder="1" applyAlignment="1">
      <alignment horizontal="left"/>
    </xf>
    <xf numFmtId="3" fontId="34" fillId="0" borderId="0" xfId="0" applyNumberFormat="1" applyFont="1" applyProtection="1">
      <protection locked="0"/>
    </xf>
    <xf numFmtId="3" fontId="40" fillId="0" borderId="18" xfId="0" applyNumberFormat="1" applyFont="1" applyBorder="1" applyProtection="1">
      <protection locked="0"/>
    </xf>
    <xf numFmtId="0" fontId="44" fillId="0" borderId="0" xfId="0" applyFont="1"/>
    <xf numFmtId="0" fontId="45" fillId="0" borderId="0" xfId="0" applyFont="1"/>
    <xf numFmtId="3" fontId="42" fillId="0" borderId="18" xfId="0" applyNumberFormat="1" applyFont="1" applyBorder="1"/>
    <xf numFmtId="0" fontId="34" fillId="0" borderId="38" xfId="0" applyFont="1" applyBorder="1"/>
    <xf numFmtId="3" fontId="34" fillId="0" borderId="38" xfId="0" applyNumberFormat="1" applyFont="1" applyBorder="1" applyProtection="1">
      <protection locked="0"/>
    </xf>
    <xf numFmtId="3" fontId="40" fillId="0" borderId="39" xfId="0" applyNumberFormat="1" applyFont="1" applyBorder="1" applyProtection="1">
      <protection locked="0"/>
    </xf>
    <xf numFmtId="0" fontId="45" fillId="0" borderId="10" xfId="0" applyFont="1" applyBorder="1"/>
    <xf numFmtId="0" fontId="34" fillId="0" borderId="0" xfId="0" applyFont="1" applyAlignment="1">
      <alignment wrapText="1"/>
    </xf>
    <xf numFmtId="0" fontId="34" fillId="0" borderId="40" xfId="0" applyFont="1" applyBorder="1"/>
    <xf numFmtId="0" fontId="34" fillId="0" borderId="40" xfId="0" applyFont="1" applyBorder="1" applyAlignment="1">
      <alignment wrapText="1"/>
    </xf>
    <xf numFmtId="3" fontId="40" fillId="0" borderId="41" xfId="0" applyNumberFormat="1" applyFont="1" applyBorder="1" applyProtection="1">
      <protection locked="0"/>
    </xf>
    <xf numFmtId="3" fontId="35" fillId="0" borderId="12" xfId="0" applyNumberFormat="1" applyFont="1" applyBorder="1" applyProtection="1">
      <protection locked="0"/>
    </xf>
    <xf numFmtId="3" fontId="37" fillId="0" borderId="14" xfId="0" applyNumberFormat="1" applyFont="1" applyBorder="1" applyProtection="1">
      <protection locked="0"/>
    </xf>
    <xf numFmtId="0" fontId="35" fillId="0" borderId="13" xfId="0" applyFont="1" applyBorder="1"/>
    <xf numFmtId="0" fontId="35" fillId="0" borderId="42" xfId="0" applyFont="1" applyBorder="1"/>
    <xf numFmtId="3" fontId="35" fillId="0" borderId="43" xfId="0" applyNumberFormat="1" applyFont="1" applyBorder="1" applyProtection="1">
      <protection locked="0"/>
    </xf>
    <xf numFmtId="3" fontId="35" fillId="0" borderId="23" xfId="0" applyNumberFormat="1" applyFont="1" applyBorder="1" applyProtection="1">
      <protection locked="0"/>
    </xf>
    <xf numFmtId="3" fontId="37" fillId="0" borderId="24" xfId="0" applyNumberFormat="1" applyFont="1" applyBorder="1" applyProtection="1">
      <protection locked="0"/>
    </xf>
    <xf numFmtId="3" fontId="34" fillId="0" borderId="38" xfId="0" applyNumberFormat="1" applyFont="1" applyBorder="1"/>
    <xf numFmtId="3" fontId="40" fillId="0" borderId="39" xfId="0" applyNumberFormat="1" applyFont="1" applyBorder="1"/>
    <xf numFmtId="3" fontId="37" fillId="0" borderId="18" xfId="0" applyNumberFormat="1" applyFont="1" applyBorder="1" applyProtection="1">
      <protection locked="0"/>
    </xf>
    <xf numFmtId="3" fontId="34" fillId="0" borderId="40" xfId="0" applyNumberFormat="1" applyFont="1" applyBorder="1" applyProtection="1">
      <protection locked="0"/>
    </xf>
    <xf numFmtId="3" fontId="40" fillId="0" borderId="41" xfId="0" applyNumberFormat="1" applyFont="1" applyBorder="1"/>
    <xf numFmtId="3" fontId="35" fillId="0" borderId="12" xfId="0" applyNumberFormat="1" applyFont="1" applyBorder="1" applyAlignment="1" applyProtection="1">
      <alignment wrapText="1"/>
      <protection locked="0"/>
    </xf>
    <xf numFmtId="0" fontId="34" fillId="0" borderId="42" xfId="0" applyFont="1" applyBorder="1"/>
    <xf numFmtId="3" fontId="37" fillId="0" borderId="39" xfId="0" applyNumberFormat="1" applyFont="1" applyBorder="1"/>
    <xf numFmtId="3" fontId="35" fillId="0" borderId="29" xfId="0" applyNumberFormat="1" applyFont="1" applyBorder="1"/>
    <xf numFmtId="0" fontId="34" fillId="0" borderId="44" xfId="0" applyFont="1" applyBorder="1"/>
    <xf numFmtId="3" fontId="34" fillId="0" borderId="44" xfId="0" applyNumberFormat="1" applyFont="1" applyBorder="1" applyProtection="1">
      <protection locked="0"/>
    </xf>
    <xf numFmtId="3" fontId="40" fillId="0" borderId="32" xfId="0" applyNumberFormat="1" applyFont="1" applyBorder="1"/>
    <xf numFmtId="0" fontId="34" fillId="0" borderId="20" xfId="0" applyFont="1" applyBorder="1" applyAlignment="1">
      <alignment horizontal="left"/>
    </xf>
    <xf numFmtId="0" fontId="39" fillId="0" borderId="20" xfId="0" applyFont="1" applyBorder="1" applyAlignment="1">
      <alignment horizontal="left"/>
    </xf>
    <xf numFmtId="3" fontId="41" fillId="0" borderId="21" xfId="0" applyNumberFormat="1" applyFont="1" applyBorder="1"/>
    <xf numFmtId="0" fontId="35" fillId="0" borderId="31" xfId="0" applyFont="1" applyBorder="1" applyAlignment="1">
      <alignment horizontal="left"/>
    </xf>
    <xf numFmtId="3" fontId="35" fillId="0" borderId="12" xfId="0" applyNumberFormat="1" applyFont="1" applyBorder="1"/>
    <xf numFmtId="0" fontId="39" fillId="0" borderId="11" xfId="0" applyFont="1" applyBorder="1" applyAlignment="1">
      <alignment horizontal="center"/>
    </xf>
    <xf numFmtId="0" fontId="35" fillId="0" borderId="12" xfId="0" applyFont="1" applyBorder="1" applyAlignment="1">
      <alignment horizontal="left"/>
    </xf>
    <xf numFmtId="0" fontId="39" fillId="0" borderId="31" xfId="0" applyFont="1" applyBorder="1" applyAlignment="1">
      <alignment horizontal="left"/>
    </xf>
    <xf numFmtId="0" fontId="39" fillId="0" borderId="45" xfId="0" applyFont="1" applyBorder="1"/>
    <xf numFmtId="0" fontId="34" fillId="0" borderId="44" xfId="0" applyFont="1" applyBorder="1" applyAlignment="1">
      <alignment horizontal="left"/>
    </xf>
    <xf numFmtId="0" fontId="39" fillId="0" borderId="44" xfId="0" applyFont="1" applyBorder="1" applyAlignment="1">
      <alignment horizontal="left"/>
    </xf>
    <xf numFmtId="3" fontId="41" fillId="0" borderId="32" xfId="0" applyNumberFormat="1" applyFont="1" applyBorder="1" applyProtection="1">
      <protection locked="0"/>
    </xf>
    <xf numFmtId="0" fontId="39" fillId="0" borderId="15" xfId="0" applyFont="1" applyBorder="1"/>
    <xf numFmtId="0" fontId="34" fillId="0" borderId="16" xfId="0" applyFont="1" applyBorder="1"/>
    <xf numFmtId="0" fontId="34" fillId="0" borderId="16" xfId="0" applyFont="1" applyBorder="1" applyAlignment="1">
      <alignment horizontal="left"/>
    </xf>
    <xf numFmtId="0" fontId="40" fillId="0" borderId="17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40" fillId="0" borderId="18" xfId="0" applyFont="1" applyBorder="1" applyAlignment="1">
      <alignment horizontal="left"/>
    </xf>
    <xf numFmtId="3" fontId="35" fillId="0" borderId="23" xfId="0" applyNumberFormat="1" applyFont="1" applyBorder="1"/>
    <xf numFmtId="0" fontId="34" fillId="0" borderId="29" xfId="0" applyFont="1" applyBorder="1" applyAlignment="1">
      <alignment horizontal="left"/>
    </xf>
    <xf numFmtId="0" fontId="39" fillId="0" borderId="46" xfId="0" applyFont="1" applyBorder="1" applyAlignment="1">
      <alignment horizontal="left"/>
    </xf>
    <xf numFmtId="0" fontId="39" fillId="0" borderId="0" xfId="48" applyFont="1" applyAlignment="1">
      <alignment horizontal="left"/>
    </xf>
    <xf numFmtId="3" fontId="41" fillId="0" borderId="18" xfId="0" applyNumberFormat="1" applyFont="1" applyBorder="1"/>
    <xf numFmtId="3" fontId="37" fillId="0" borderId="25" xfId="0" applyNumberFormat="1" applyFont="1" applyBorder="1" applyProtection="1">
      <protection locked="0"/>
    </xf>
    <xf numFmtId="0" fontId="39" fillId="0" borderId="35" xfId="0" applyFont="1" applyBorder="1"/>
    <xf numFmtId="0" fontId="34" fillId="0" borderId="31" xfId="0" applyFont="1" applyBorder="1" applyAlignment="1">
      <alignment horizontal="left"/>
    </xf>
    <xf numFmtId="3" fontId="41" fillId="0" borderId="28" xfId="0" applyNumberFormat="1" applyFont="1" applyBorder="1" applyProtection="1">
      <protection locked="0"/>
    </xf>
    <xf numFmtId="0" fontId="35" fillId="0" borderId="16" xfId="0" applyFont="1" applyBorder="1"/>
    <xf numFmtId="0" fontId="37" fillId="0" borderId="17" xfId="0" applyFont="1" applyBorder="1"/>
    <xf numFmtId="0" fontId="34" fillId="0" borderId="11" xfId="0" applyFont="1" applyBorder="1" applyAlignment="1">
      <alignment horizontal="left"/>
    </xf>
    <xf numFmtId="0" fontId="35" fillId="0" borderId="23" xfId="0" applyFont="1" applyBorder="1" applyAlignment="1">
      <alignment horizontal="left"/>
    </xf>
    <xf numFmtId="0" fontId="34" fillId="0" borderId="23" xfId="0" applyFont="1" applyBorder="1" applyAlignment="1">
      <alignment horizontal="left"/>
    </xf>
    <xf numFmtId="3" fontId="36" fillId="0" borderId="0" xfId="0" applyNumberFormat="1" applyFont="1" applyAlignment="1">
      <alignment horizontal="right"/>
    </xf>
    <xf numFmtId="0" fontId="38" fillId="0" borderId="17" xfId="0" applyFont="1" applyBorder="1" applyAlignment="1">
      <alignment horizontal="center"/>
    </xf>
    <xf numFmtId="0" fontId="38" fillId="0" borderId="21" xfId="0" applyFont="1" applyBorder="1" applyAlignment="1">
      <alignment horizontal="center"/>
    </xf>
    <xf numFmtId="0" fontId="36" fillId="26" borderId="47" xfId="0" applyFont="1" applyFill="1" applyBorder="1"/>
    <xf numFmtId="3" fontId="37" fillId="26" borderId="14" xfId="0" applyNumberFormat="1" applyFont="1" applyFill="1" applyBorder="1"/>
    <xf numFmtId="3" fontId="37" fillId="26" borderId="48" xfId="0" applyNumberFormat="1" applyFont="1" applyFill="1" applyBorder="1"/>
    <xf numFmtId="0" fontId="38" fillId="0" borderId="45" xfId="0" applyFont="1" applyBorder="1"/>
    <xf numFmtId="3" fontId="37" fillId="26" borderId="49" xfId="0" applyNumberFormat="1" applyFont="1" applyFill="1" applyBorder="1"/>
    <xf numFmtId="0" fontId="36" fillId="0" borderId="47" xfId="0" applyFont="1" applyBorder="1" applyAlignment="1">
      <alignment wrapText="1"/>
    </xf>
    <xf numFmtId="0" fontId="36" fillId="0" borderId="47" xfId="0" applyFont="1" applyBorder="1"/>
    <xf numFmtId="0" fontId="36" fillId="0" borderId="47" xfId="0" applyFont="1" applyBorder="1" applyAlignment="1">
      <alignment horizontal="justify"/>
    </xf>
    <xf numFmtId="0" fontId="36" fillId="0" borderId="11" xfId="0" applyFont="1" applyBorder="1" applyAlignment="1">
      <alignment horizontal="justify"/>
    </xf>
    <xf numFmtId="0" fontId="36" fillId="0" borderId="24" xfId="0" applyFont="1" applyBorder="1" applyAlignment="1">
      <alignment horizontal="justify"/>
    </xf>
    <xf numFmtId="0" fontId="36" fillId="0" borderId="26" xfId="0" applyFont="1" applyBorder="1" applyAlignment="1">
      <alignment wrapText="1"/>
    </xf>
    <xf numFmtId="0" fontId="38" fillId="0" borderId="32" xfId="0" applyFont="1" applyBorder="1" applyAlignment="1">
      <alignment wrapText="1"/>
    </xf>
    <xf numFmtId="3" fontId="41" fillId="0" borderId="45" xfId="0" applyNumberFormat="1" applyFont="1" applyBorder="1" applyAlignment="1">
      <alignment horizontal="right" wrapText="1"/>
    </xf>
    <xf numFmtId="3" fontId="41" fillId="0" borderId="32" xfId="0" applyNumberFormat="1" applyFont="1" applyBorder="1" applyAlignment="1">
      <alignment horizontal="right" wrapText="1"/>
    </xf>
    <xf numFmtId="3" fontId="38" fillId="0" borderId="0" xfId="0" applyNumberFormat="1" applyFont="1"/>
    <xf numFmtId="0" fontId="38" fillId="0" borderId="15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6" fillId="26" borderId="50" xfId="0" applyFont="1" applyFill="1" applyBorder="1"/>
    <xf numFmtId="3" fontId="37" fillId="26" borderId="18" xfId="0" applyNumberFormat="1" applyFont="1" applyFill="1" applyBorder="1"/>
    <xf numFmtId="3" fontId="41" fillId="0" borderId="45" xfId="0" applyNumberFormat="1" applyFont="1" applyBorder="1"/>
    <xf numFmtId="0" fontId="41" fillId="0" borderId="0" xfId="0" applyFont="1"/>
    <xf numFmtId="3" fontId="36" fillId="26" borderId="0" xfId="0" applyNumberFormat="1" applyFont="1" applyFill="1" applyAlignment="1">
      <alignment horizontal="right"/>
    </xf>
    <xf numFmtId="0" fontId="39" fillId="0" borderId="0" xfId="0" applyFont="1" applyAlignment="1">
      <alignment horizontal="center"/>
    </xf>
    <xf numFmtId="0" fontId="36" fillId="0" borderId="21" xfId="0" applyFont="1" applyBorder="1" applyAlignment="1">
      <alignment horizontal="center"/>
    </xf>
    <xf numFmtId="3" fontId="40" fillId="0" borderId="18" xfId="0" applyNumberFormat="1" applyFont="1" applyBorder="1" applyAlignment="1">
      <alignment horizontal="left"/>
    </xf>
    <xf numFmtId="3" fontId="37" fillId="0" borderId="14" xfId="0" applyNumberFormat="1" applyFont="1" applyBorder="1" applyAlignment="1">
      <alignment wrapText="1"/>
    </xf>
    <xf numFmtId="0" fontId="36" fillId="0" borderId="24" xfId="0" applyFont="1" applyBorder="1"/>
    <xf numFmtId="0" fontId="38" fillId="0" borderId="28" xfId="0" applyFont="1" applyBorder="1" applyAlignment="1">
      <alignment horizontal="justify"/>
    </xf>
    <xf numFmtId="0" fontId="36" fillId="26" borderId="49" xfId="0" applyFont="1" applyFill="1" applyBorder="1"/>
    <xf numFmtId="0" fontId="38" fillId="0" borderId="28" xfId="0" applyFont="1" applyBorder="1"/>
    <xf numFmtId="0" fontId="36" fillId="0" borderId="18" xfId="0" applyFont="1" applyBorder="1" applyAlignment="1">
      <alignment horizontal="justify"/>
    </xf>
    <xf numFmtId="3" fontId="36" fillId="0" borderId="51" xfId="51" applyNumberFormat="1" applyFont="1" applyBorder="1" applyAlignment="1">
      <alignment horizontal="justify" wrapText="1"/>
    </xf>
    <xf numFmtId="3" fontId="36" fillId="0" borderId="24" xfId="51" applyNumberFormat="1" applyFont="1" applyBorder="1" applyAlignment="1">
      <alignment horizontal="justify" vertical="top" wrapText="1"/>
    </xf>
    <xf numFmtId="0" fontId="38" fillId="0" borderId="32" xfId="0" applyFont="1" applyBorder="1"/>
    <xf numFmtId="0" fontId="36" fillId="0" borderId="18" xfId="0" applyFont="1" applyBorder="1"/>
    <xf numFmtId="3" fontId="40" fillId="0" borderId="18" xfId="0" applyNumberFormat="1" applyFont="1" applyBorder="1" applyAlignment="1">
      <alignment horizontal="left" wrapText="1"/>
    </xf>
    <xf numFmtId="3" fontId="36" fillId="0" borderId="14" xfId="51" applyNumberFormat="1" applyFont="1" applyBorder="1" applyAlignment="1">
      <alignment horizontal="justify" vertical="top" wrapText="1"/>
    </xf>
    <xf numFmtId="3" fontId="37" fillId="0" borderId="14" xfId="51" applyNumberFormat="1" applyFont="1" applyBorder="1" applyAlignment="1">
      <alignment horizontal="right" wrapText="1"/>
    </xf>
    <xf numFmtId="3" fontId="36" fillId="0" borderId="51" xfId="51" applyNumberFormat="1" applyFont="1" applyBorder="1" applyAlignment="1">
      <alignment horizontal="justify" vertical="top" wrapText="1"/>
    </xf>
    <xf numFmtId="3" fontId="36" fillId="0" borderId="50" xfId="51" applyNumberFormat="1" applyFont="1" applyBorder="1" applyAlignment="1">
      <alignment horizontal="justify" vertical="top" wrapText="1"/>
    </xf>
    <xf numFmtId="3" fontId="37" fillId="0" borderId="48" xfId="0" applyNumberFormat="1" applyFont="1" applyBorder="1"/>
    <xf numFmtId="0" fontId="38" fillId="26" borderId="28" xfId="0" applyFont="1" applyFill="1" applyBorder="1"/>
    <xf numFmtId="3" fontId="41" fillId="26" borderId="28" xfId="0" applyNumberFormat="1" applyFont="1" applyFill="1" applyBorder="1" applyAlignment="1">
      <alignment horizontal="right"/>
    </xf>
    <xf numFmtId="3" fontId="37" fillId="0" borderId="25" xfId="0" applyNumberFormat="1" applyFont="1" applyBorder="1" applyAlignment="1">
      <alignment horizontal="right"/>
    </xf>
    <xf numFmtId="0" fontId="38" fillId="0" borderId="35" xfId="0" applyFont="1" applyBorder="1"/>
    <xf numFmtId="3" fontId="41" fillId="0" borderId="35" xfId="0" applyNumberFormat="1" applyFont="1" applyBorder="1"/>
    <xf numFmtId="0" fontId="38" fillId="0" borderId="11" xfId="0" applyFont="1" applyBorder="1"/>
    <xf numFmtId="3" fontId="41" fillId="0" borderId="11" xfId="0" applyNumberFormat="1" applyFont="1" applyBorder="1"/>
    <xf numFmtId="0" fontId="39" fillId="0" borderId="28" xfId="0" applyFont="1" applyBorder="1"/>
    <xf numFmtId="3" fontId="36" fillId="0" borderId="0" xfId="51" applyNumberFormat="1" applyFont="1" applyAlignment="1">
      <alignment horizontal="justify" wrapText="1"/>
    </xf>
    <xf numFmtId="0" fontId="38" fillId="0" borderId="0" xfId="0" applyFont="1" applyAlignment="1">
      <alignment horizontal="center" wrapText="1"/>
    </xf>
    <xf numFmtId="0" fontId="36" fillId="0" borderId="0" xfId="0" applyFont="1" applyAlignment="1">
      <alignment wrapText="1"/>
    </xf>
    <xf numFmtId="3" fontId="36" fillId="0" borderId="0" xfId="0" applyNumberFormat="1" applyFont="1" applyAlignment="1">
      <alignment horizontal="right" wrapText="1"/>
    </xf>
    <xf numFmtId="0" fontId="38" fillId="0" borderId="17" xfId="0" applyFont="1" applyBorder="1" applyAlignment="1">
      <alignment horizontal="center" wrapText="1"/>
    </xf>
    <xf numFmtId="0" fontId="38" fillId="0" borderId="21" xfId="0" applyFont="1" applyBorder="1" applyAlignment="1">
      <alignment horizontal="center" wrapText="1"/>
    </xf>
    <xf numFmtId="0" fontId="36" fillId="26" borderId="47" xfId="0" applyFont="1" applyFill="1" applyBorder="1" applyAlignment="1">
      <alignment horizontal="justify" wrapText="1"/>
    </xf>
    <xf numFmtId="0" fontId="44" fillId="0" borderId="15" xfId="0" applyFont="1" applyBorder="1" applyAlignment="1">
      <alignment wrapText="1"/>
    </xf>
    <xf numFmtId="0" fontId="40" fillId="0" borderId="15" xfId="0" applyFont="1" applyBorder="1" applyAlignment="1">
      <alignment wrapText="1"/>
    </xf>
    <xf numFmtId="0" fontId="40" fillId="0" borderId="17" xfId="0" applyFont="1" applyBorder="1" applyAlignment="1">
      <alignment wrapText="1"/>
    </xf>
    <xf numFmtId="3" fontId="37" fillId="26" borderId="14" xfId="0" applyNumberFormat="1" applyFont="1" applyFill="1" applyBorder="1" applyAlignment="1">
      <alignment wrapText="1"/>
    </xf>
    <xf numFmtId="0" fontId="36" fillId="0" borderId="50" xfId="0" applyFont="1" applyBorder="1" applyAlignment="1">
      <alignment wrapText="1"/>
    </xf>
    <xf numFmtId="0" fontId="36" fillId="0" borderId="25" xfId="0" applyFont="1" applyBorder="1" applyAlignment="1">
      <alignment horizontal="justify" wrapText="1"/>
    </xf>
    <xf numFmtId="0" fontId="36" fillId="0" borderId="47" xfId="0" applyFont="1" applyBorder="1" applyAlignment="1">
      <alignment horizontal="justify" wrapText="1"/>
    </xf>
    <xf numFmtId="3" fontId="37" fillId="0" borderId="18" xfId="0" applyNumberFormat="1" applyFont="1" applyBorder="1" applyAlignment="1">
      <alignment wrapText="1"/>
    </xf>
    <xf numFmtId="0" fontId="44" fillId="0" borderId="35" xfId="0" applyFont="1" applyBorder="1" applyAlignment="1">
      <alignment horizontal="justify" wrapText="1"/>
    </xf>
    <xf numFmtId="3" fontId="40" fillId="0" borderId="28" xfId="0" applyNumberFormat="1" applyFont="1" applyBorder="1" applyAlignment="1">
      <alignment wrapText="1"/>
    </xf>
    <xf numFmtId="0" fontId="38" fillId="0" borderId="45" xfId="0" applyFont="1" applyBorder="1" applyAlignment="1">
      <alignment wrapText="1"/>
    </xf>
    <xf numFmtId="3" fontId="41" fillId="0" borderId="32" xfId="0" applyNumberFormat="1" applyFont="1" applyBorder="1" applyAlignment="1">
      <alignment wrapText="1"/>
    </xf>
    <xf numFmtId="0" fontId="38" fillId="0" borderId="19" xfId="0" applyFont="1" applyBorder="1" applyAlignment="1">
      <alignment wrapText="1"/>
    </xf>
    <xf numFmtId="3" fontId="41" fillId="0" borderId="28" xfId="0" applyNumberFormat="1" applyFont="1" applyBorder="1" applyAlignment="1">
      <alignment wrapText="1"/>
    </xf>
    <xf numFmtId="0" fontId="38" fillId="0" borderId="0" xfId="0" applyFont="1" applyAlignment="1">
      <alignment wrapText="1"/>
    </xf>
    <xf numFmtId="0" fontId="38" fillId="0" borderId="15" xfId="0" applyFont="1" applyBorder="1" applyAlignment="1">
      <alignment horizontal="center" wrapText="1"/>
    </xf>
    <xf numFmtId="0" fontId="38" fillId="0" borderId="19" xfId="0" applyFont="1" applyBorder="1" applyAlignment="1">
      <alignment horizontal="center" wrapText="1"/>
    </xf>
    <xf numFmtId="3" fontId="37" fillId="0" borderId="14" xfId="0" applyNumberFormat="1" applyFont="1" applyBorder="1" applyAlignment="1">
      <alignment horizontal="right" wrapText="1"/>
    </xf>
    <xf numFmtId="0" fontId="38" fillId="0" borderId="35" xfId="0" applyFont="1" applyBorder="1" applyAlignment="1">
      <alignment wrapText="1"/>
    </xf>
    <xf numFmtId="0" fontId="41" fillId="0" borderId="31" xfId="0" applyFont="1" applyBorder="1" applyAlignment="1">
      <alignment wrapText="1"/>
    </xf>
    <xf numFmtId="0" fontId="39" fillId="0" borderId="35" xfId="0" applyFont="1" applyBorder="1" applyAlignment="1">
      <alignment wrapText="1"/>
    </xf>
    <xf numFmtId="3" fontId="41" fillId="0" borderId="36" xfId="0" applyNumberFormat="1" applyFont="1" applyBorder="1" applyAlignment="1">
      <alignment wrapText="1"/>
    </xf>
    <xf numFmtId="3" fontId="36" fillId="26" borderId="0" xfId="0" applyNumberFormat="1" applyFont="1" applyFill="1" applyAlignment="1">
      <alignment horizontal="right" wrapText="1"/>
    </xf>
    <xf numFmtId="0" fontId="36" fillId="26" borderId="47" xfId="0" applyFont="1" applyFill="1" applyBorder="1" applyAlignment="1">
      <alignment horizontal="justify"/>
    </xf>
    <xf numFmtId="0" fontId="36" fillId="26" borderId="22" xfId="0" applyFont="1" applyFill="1" applyBorder="1"/>
    <xf numFmtId="0" fontId="36" fillId="0" borderId="24" xfId="0" applyFont="1" applyBorder="1" applyAlignment="1">
      <alignment wrapText="1"/>
    </xf>
    <xf numFmtId="0" fontId="38" fillId="0" borderId="45" xfId="0" applyFont="1" applyBorder="1" applyAlignment="1">
      <alignment horizontal="left"/>
    </xf>
    <xf numFmtId="0" fontId="38" fillId="0" borderId="19" xfId="0" applyFont="1" applyBorder="1" applyAlignment="1">
      <alignment horizontal="left"/>
    </xf>
    <xf numFmtId="0" fontId="37" fillId="0" borderId="24" xfId="0" applyFont="1" applyBorder="1"/>
    <xf numFmtId="0" fontId="37" fillId="0" borderId="47" xfId="0" applyFont="1" applyBorder="1"/>
    <xf numFmtId="0" fontId="38" fillId="0" borderId="19" xfId="0" applyFont="1" applyBorder="1"/>
    <xf numFmtId="3" fontId="41" fillId="0" borderId="53" xfId="0" applyNumberFormat="1" applyFont="1" applyBorder="1"/>
    <xf numFmtId="3" fontId="36" fillId="26" borderId="0" xfId="0" applyNumberFormat="1" applyFont="1" applyFill="1"/>
    <xf numFmtId="0" fontId="36" fillId="0" borderId="0" xfId="0" applyFont="1" applyAlignment="1">
      <alignment horizontal="center" wrapText="1"/>
    </xf>
    <xf numFmtId="0" fontId="34" fillId="0" borderId="0" xfId="0" applyFont="1" applyAlignment="1">
      <alignment horizontal="left" wrapText="1"/>
    </xf>
    <xf numFmtId="0" fontId="45" fillId="0" borderId="0" xfId="0" applyFont="1" applyAlignment="1">
      <alignment horizontal="right" wrapText="1"/>
    </xf>
    <xf numFmtId="3" fontId="35" fillId="0" borderId="0" xfId="0" applyNumberFormat="1" applyFont="1" applyAlignment="1">
      <alignment horizontal="right" wrapText="1"/>
    </xf>
    <xf numFmtId="0" fontId="36" fillId="0" borderId="21" xfId="0" applyFont="1" applyBorder="1" applyAlignment="1">
      <alignment horizontal="left" wrapText="1"/>
    </xf>
    <xf numFmtId="3" fontId="37" fillId="0" borderId="25" xfId="0" applyNumberFormat="1" applyFont="1" applyBorder="1" applyAlignment="1">
      <alignment horizontal="right" wrapText="1"/>
    </xf>
    <xf numFmtId="3" fontId="41" fillId="0" borderId="28" xfId="0" applyNumberFormat="1" applyFont="1" applyBorder="1" applyAlignment="1">
      <alignment horizontal="right" wrapText="1"/>
    </xf>
    <xf numFmtId="0" fontId="36" fillId="26" borderId="14" xfId="0" applyFont="1" applyFill="1" applyBorder="1" applyAlignment="1">
      <alignment horizontal="left" wrapText="1"/>
    </xf>
    <xf numFmtId="0" fontId="38" fillId="0" borderId="32" xfId="0" applyFont="1" applyBorder="1" applyAlignment="1">
      <alignment horizontal="left" wrapText="1"/>
    </xf>
    <xf numFmtId="0" fontId="46" fillId="0" borderId="18" xfId="0" applyFont="1" applyBorder="1" applyAlignment="1">
      <alignment horizontal="left" wrapText="1"/>
    </xf>
    <xf numFmtId="0" fontId="47" fillId="0" borderId="18" xfId="0" applyFont="1" applyBorder="1" applyAlignment="1">
      <alignment horizontal="right" wrapText="1"/>
    </xf>
    <xf numFmtId="3" fontId="37" fillId="26" borderId="14" xfId="0" applyNumberFormat="1" applyFont="1" applyFill="1" applyBorder="1" applyAlignment="1">
      <alignment horizontal="right" wrapText="1"/>
    </xf>
    <xf numFmtId="0" fontId="36" fillId="26" borderId="24" xfId="0" applyFont="1" applyFill="1" applyBorder="1" applyAlignment="1">
      <alignment horizontal="left" wrapText="1"/>
    </xf>
    <xf numFmtId="0" fontId="38" fillId="0" borderId="41" xfId="0" applyFont="1" applyBorder="1" applyAlignment="1">
      <alignment horizontal="left" wrapText="1"/>
    </xf>
    <xf numFmtId="3" fontId="41" fillId="0" borderId="41" xfId="0" applyNumberFormat="1" applyFont="1" applyBorder="1" applyAlignment="1">
      <alignment horizontal="right" wrapText="1"/>
    </xf>
    <xf numFmtId="0" fontId="46" fillId="0" borderId="39" xfId="0" applyFont="1" applyBorder="1" applyAlignment="1">
      <alignment horizontal="left" wrapText="1"/>
    </xf>
    <xf numFmtId="0" fontId="36" fillId="0" borderId="14" xfId="0" applyFont="1" applyBorder="1" applyAlignment="1">
      <alignment horizontal="left" wrapText="1"/>
    </xf>
    <xf numFmtId="0" fontId="36" fillId="0" borderId="24" xfId="0" applyFont="1" applyBorder="1" applyAlignment="1">
      <alignment horizontal="left" wrapText="1"/>
    </xf>
    <xf numFmtId="0" fontId="36" fillId="0" borderId="24" xfId="0" applyFont="1" applyBorder="1" applyAlignment="1">
      <alignment horizontal="left" wrapText="1" shrinkToFit="1"/>
    </xf>
    <xf numFmtId="0" fontId="48" fillId="0" borderId="18" xfId="0" applyFont="1" applyBorder="1" applyAlignment="1">
      <alignment horizontal="left" wrapText="1"/>
    </xf>
    <xf numFmtId="0" fontId="36" fillId="0" borderId="47" xfId="0" applyFont="1" applyBorder="1" applyAlignment="1">
      <alignment horizontal="left" wrapText="1"/>
    </xf>
    <xf numFmtId="3" fontId="37" fillId="0" borderId="18" xfId="0" applyNumberFormat="1" applyFont="1" applyBorder="1" applyAlignment="1">
      <alignment horizontal="right" wrapText="1"/>
    </xf>
    <xf numFmtId="0" fontId="36" fillId="0" borderId="25" xfId="0" applyFont="1" applyBorder="1" applyAlignment="1">
      <alignment horizontal="left" wrapText="1"/>
    </xf>
    <xf numFmtId="0" fontId="36" fillId="0" borderId="11" xfId="0" applyFont="1" applyBorder="1" applyAlignment="1">
      <alignment horizontal="left" wrapText="1"/>
    </xf>
    <xf numFmtId="0" fontId="36" fillId="0" borderId="18" xfId="0" applyFont="1" applyBorder="1" applyAlignment="1">
      <alignment horizontal="left" wrapText="1"/>
    </xf>
    <xf numFmtId="0" fontId="46" fillId="0" borderId="25" xfId="0" applyFont="1" applyBorder="1" applyAlignment="1">
      <alignment horizontal="left" wrapText="1"/>
    </xf>
    <xf numFmtId="0" fontId="46" fillId="0" borderId="17" xfId="0" applyFont="1" applyBorder="1" applyAlignment="1">
      <alignment horizontal="left" wrapText="1"/>
    </xf>
    <xf numFmtId="0" fontId="36" fillId="0" borderId="14" xfId="0" applyFont="1" applyBorder="1" applyAlignment="1">
      <alignment horizontal="left" wrapText="1" shrinkToFit="1"/>
    </xf>
    <xf numFmtId="0" fontId="38" fillId="0" borderId="21" xfId="0" applyFont="1" applyBorder="1" applyAlignment="1">
      <alignment horizontal="left" wrapText="1"/>
    </xf>
    <xf numFmtId="3" fontId="41" fillId="0" borderId="21" xfId="0" applyNumberFormat="1" applyFont="1" applyBorder="1" applyAlignment="1">
      <alignment horizontal="right" wrapText="1"/>
    </xf>
    <xf numFmtId="0" fontId="44" fillId="0" borderId="21" xfId="0" applyFont="1" applyBorder="1" applyAlignment="1">
      <alignment horizontal="left" wrapText="1"/>
    </xf>
    <xf numFmtId="3" fontId="40" fillId="0" borderId="21" xfId="0" applyNumberFormat="1" applyFont="1" applyBorder="1" applyAlignment="1">
      <alignment horizontal="right" wrapText="1"/>
    </xf>
    <xf numFmtId="0" fontId="44" fillId="0" borderId="0" xfId="0" applyFont="1" applyAlignment="1">
      <alignment horizontal="center" wrapText="1"/>
    </xf>
    <xf numFmtId="0" fontId="36" fillId="0" borderId="0" xfId="0" applyFont="1" applyAlignment="1">
      <alignment horizontal="left" wrapText="1"/>
    </xf>
    <xf numFmtId="0" fontId="36" fillId="0" borderId="0" xfId="0" applyFont="1" applyAlignment="1">
      <alignment horizontal="right" wrapText="1"/>
    </xf>
    <xf numFmtId="0" fontId="49" fillId="0" borderId="0" xfId="0" applyFont="1" applyAlignment="1">
      <alignment horizontal="right" wrapText="1"/>
    </xf>
    <xf numFmtId="3" fontId="49" fillId="0" borderId="0" xfId="0" applyNumberFormat="1" applyFont="1" applyAlignment="1">
      <alignment horizontal="right" wrapText="1"/>
    </xf>
    <xf numFmtId="0" fontId="36" fillId="0" borderId="19" xfId="0" applyFont="1" applyBorder="1" applyAlignment="1">
      <alignment horizontal="left" wrapText="1"/>
    </xf>
    <xf numFmtId="0" fontId="37" fillId="0" borderId="0" xfId="0" applyFont="1" applyAlignment="1">
      <alignment horizontal="right" wrapText="1"/>
    </xf>
    <xf numFmtId="0" fontId="39" fillId="0" borderId="35" xfId="0" applyFont="1" applyBorder="1" applyAlignment="1">
      <alignment horizontal="left" wrapText="1"/>
    </xf>
    <xf numFmtId="3" fontId="35" fillId="26" borderId="0" xfId="0" applyNumberFormat="1" applyFont="1" applyFill="1" applyAlignment="1">
      <alignment horizontal="right" wrapText="1"/>
    </xf>
    <xf numFmtId="3" fontId="50" fillId="0" borderId="0" xfId="0" applyNumberFormat="1" applyFont="1"/>
    <xf numFmtId="0" fontId="36" fillId="0" borderId="0" xfId="0" applyFont="1" applyAlignment="1">
      <alignment horizontal="right"/>
    </xf>
    <xf numFmtId="0" fontId="35" fillId="26" borderId="49" xfId="0" applyFont="1" applyFill="1" applyBorder="1"/>
    <xf numFmtId="3" fontId="37" fillId="26" borderId="14" xfId="0" applyNumberFormat="1" applyFont="1" applyFill="1" applyBorder="1" applyProtection="1">
      <protection locked="0"/>
    </xf>
    <xf numFmtId="0" fontId="35" fillId="26" borderId="55" xfId="0" applyFont="1" applyFill="1" applyBorder="1"/>
    <xf numFmtId="0" fontId="35" fillId="0" borderId="47" xfId="0" applyFont="1" applyBorder="1" applyAlignment="1">
      <alignment wrapText="1"/>
    </xf>
    <xf numFmtId="0" fontId="35" fillId="26" borderId="47" xfId="0" applyFont="1" applyFill="1" applyBorder="1"/>
    <xf numFmtId="0" fontId="34" fillId="0" borderId="35" xfId="0" applyFont="1" applyBorder="1" applyAlignment="1">
      <alignment horizontal="left"/>
    </xf>
    <xf numFmtId="3" fontId="37" fillId="0" borderId="49" xfId="0" applyNumberFormat="1" applyFont="1" applyBorder="1" applyProtection="1">
      <protection locked="0"/>
    </xf>
    <xf numFmtId="3" fontId="37" fillId="0" borderId="56" xfId="0" applyNumberFormat="1" applyFont="1" applyBorder="1" applyProtection="1">
      <protection locked="0"/>
    </xf>
    <xf numFmtId="0" fontId="36" fillId="26" borderId="0" xfId="0" applyFont="1" applyFill="1"/>
    <xf numFmtId="3" fontId="38" fillId="0" borderId="17" xfId="0" applyNumberFormat="1" applyFont="1" applyBorder="1" applyAlignment="1">
      <alignment horizontal="center" wrapText="1"/>
    </xf>
    <xf numFmtId="3" fontId="38" fillId="0" borderId="21" xfId="0" applyNumberFormat="1" applyFont="1" applyBorder="1" applyAlignment="1">
      <alignment horizontal="center" wrapText="1"/>
    </xf>
    <xf numFmtId="3" fontId="36" fillId="26" borderId="14" xfId="0" applyNumberFormat="1" applyFont="1" applyFill="1" applyBorder="1" applyProtection="1">
      <protection locked="0"/>
    </xf>
    <xf numFmtId="3" fontId="37" fillId="26" borderId="24" xfId="0" applyNumberFormat="1" applyFont="1" applyFill="1" applyBorder="1" applyProtection="1">
      <protection locked="0"/>
    </xf>
    <xf numFmtId="3" fontId="37" fillId="26" borderId="24" xfId="46" applyNumberFormat="1" applyFont="1" applyFill="1" applyBorder="1" applyProtection="1">
      <protection locked="0"/>
    </xf>
    <xf numFmtId="0" fontId="36" fillId="26" borderId="47" xfId="0" applyFont="1" applyFill="1" applyBorder="1" applyAlignment="1">
      <alignment horizontal="left"/>
    </xf>
    <xf numFmtId="0" fontId="36" fillId="26" borderId="47" xfId="0" applyFont="1" applyFill="1" applyBorder="1" applyAlignment="1">
      <alignment horizontal="left" vertical="center" wrapText="1"/>
    </xf>
    <xf numFmtId="0" fontId="36" fillId="26" borderId="47" xfId="0" applyFont="1" applyFill="1" applyBorder="1" applyAlignment="1">
      <alignment horizontal="left" wrapText="1"/>
    </xf>
    <xf numFmtId="0" fontId="36" fillId="26" borderId="11" xfId="0" applyFont="1" applyFill="1" applyBorder="1" applyAlignment="1">
      <alignment horizontal="left" wrapText="1"/>
    </xf>
    <xf numFmtId="3" fontId="37" fillId="26" borderId="18" xfId="0" applyNumberFormat="1" applyFont="1" applyFill="1" applyBorder="1" applyProtection="1">
      <protection locked="0"/>
    </xf>
    <xf numFmtId="0" fontId="39" fillId="0" borderId="35" xfId="0" applyFont="1" applyBorder="1" applyAlignment="1">
      <alignment horizontal="left"/>
    </xf>
    <xf numFmtId="3" fontId="35" fillId="26" borderId="0" xfId="0" applyNumberFormat="1" applyFont="1" applyFill="1" applyProtection="1">
      <protection locked="0"/>
    </xf>
    <xf numFmtId="3" fontId="36" fillId="0" borderId="0" xfId="0" applyNumberFormat="1" applyFont="1" applyAlignment="1">
      <alignment wrapText="1"/>
    </xf>
    <xf numFmtId="0" fontId="36" fillId="0" borderId="0" xfId="48" applyFont="1"/>
    <xf numFmtId="0" fontId="51" fillId="0" borderId="0" xfId="48" applyFont="1"/>
    <xf numFmtId="0" fontId="36" fillId="0" borderId="15" xfId="48" applyFont="1" applyBorder="1"/>
    <xf numFmtId="0" fontId="38" fillId="0" borderId="16" xfId="48" applyFont="1" applyBorder="1" applyAlignment="1">
      <alignment horizontal="center"/>
    </xf>
    <xf numFmtId="0" fontId="36" fillId="0" borderId="19" xfId="48" applyFont="1" applyBorder="1"/>
    <xf numFmtId="0" fontId="36" fillId="0" borderId="20" xfId="48" applyFont="1" applyBorder="1" applyAlignment="1">
      <alignment horizontal="center"/>
    </xf>
    <xf numFmtId="0" fontId="38" fillId="0" borderId="15" xfId="48" applyFont="1" applyBorder="1"/>
    <xf numFmtId="0" fontId="36" fillId="0" borderId="16" xfId="48" applyFont="1" applyBorder="1" applyAlignment="1">
      <alignment horizontal="center"/>
    </xf>
    <xf numFmtId="0" fontId="36" fillId="0" borderId="17" xfId="48" applyFont="1" applyBorder="1" applyAlignment="1">
      <alignment horizontal="center"/>
    </xf>
    <xf numFmtId="3" fontId="37" fillId="0" borderId="14" xfId="48" applyNumberFormat="1" applyFont="1" applyBorder="1"/>
    <xf numFmtId="3" fontId="37" fillId="0" borderId="24" xfId="48" applyNumberFormat="1" applyFont="1" applyBorder="1"/>
    <xf numFmtId="0" fontId="44" fillId="0" borderId="40" xfId="48" applyFont="1" applyBorder="1" applyAlignment="1">
      <alignment horizontal="left"/>
    </xf>
    <xf numFmtId="3" fontId="40" fillId="0" borderId="41" xfId="0" applyNumberFormat="1" applyFont="1" applyBorder="1" applyAlignment="1">
      <alignment horizontal="right"/>
    </xf>
    <xf numFmtId="0" fontId="36" fillId="0" borderId="18" xfId="0" applyFont="1" applyBorder="1" applyAlignment="1">
      <alignment wrapText="1"/>
    </xf>
    <xf numFmtId="0" fontId="36" fillId="0" borderId="11" xfId="48" applyFont="1" applyBorder="1"/>
    <xf numFmtId="0" fontId="38" fillId="0" borderId="40" xfId="48" applyFont="1" applyBorder="1" applyAlignment="1">
      <alignment horizontal="justify"/>
    </xf>
    <xf numFmtId="0" fontId="36" fillId="0" borderId="23" xfId="48" applyFont="1" applyBorder="1" applyAlignment="1">
      <alignment horizontal="left" wrapText="1"/>
    </xf>
    <xf numFmtId="0" fontId="38" fillId="0" borderId="19" xfId="48" applyFont="1" applyBorder="1"/>
    <xf numFmtId="0" fontId="44" fillId="0" borderId="44" xfId="48" applyFont="1" applyBorder="1" applyAlignment="1">
      <alignment horizontal="left" wrapText="1"/>
    </xf>
    <xf numFmtId="3" fontId="40" fillId="0" borderId="32" xfId="0" applyNumberFormat="1" applyFont="1" applyBorder="1" applyAlignment="1">
      <alignment horizontal="right"/>
    </xf>
    <xf numFmtId="3" fontId="41" fillId="0" borderId="28" xfId="48" applyNumberFormat="1" applyFont="1" applyBorder="1"/>
    <xf numFmtId="0" fontId="36" fillId="0" borderId="12" xfId="48" applyFont="1" applyBorder="1" applyAlignment="1">
      <alignment horizontal="justify"/>
    </xf>
    <xf numFmtId="0" fontId="38" fillId="0" borderId="35" xfId="48" applyFont="1" applyBorder="1"/>
    <xf numFmtId="0" fontId="36" fillId="0" borderId="31" xfId="48" applyFont="1" applyBorder="1" applyAlignment="1">
      <alignment horizontal="center"/>
    </xf>
    <xf numFmtId="0" fontId="38" fillId="0" borderId="57" xfId="48" applyFont="1" applyBorder="1" applyAlignment="1">
      <alignment horizontal="left"/>
    </xf>
    <xf numFmtId="0" fontId="38" fillId="0" borderId="38" xfId="48" applyFont="1" applyBorder="1" applyAlignment="1">
      <alignment horizontal="center"/>
    </xf>
    <xf numFmtId="0" fontId="38" fillId="0" borderId="17" xfId="48" applyFont="1" applyBorder="1" applyAlignment="1">
      <alignment horizontal="center"/>
    </xf>
    <xf numFmtId="0" fontId="38" fillId="0" borderId="11" xfId="48" applyFont="1" applyBorder="1" applyAlignment="1">
      <alignment horizontal="left"/>
    </xf>
    <xf numFmtId="0" fontId="38" fillId="0" borderId="0" xfId="48" applyFont="1" applyAlignment="1">
      <alignment horizontal="justify"/>
    </xf>
    <xf numFmtId="0" fontId="38" fillId="0" borderId="18" xfId="48" applyFont="1" applyBorder="1" applyAlignment="1">
      <alignment horizontal="justify"/>
    </xf>
    <xf numFmtId="0" fontId="36" fillId="0" borderId="12" xfId="48" applyFont="1" applyBorder="1" applyAlignment="1">
      <alignment horizontal="left"/>
    </xf>
    <xf numFmtId="0" fontId="38" fillId="0" borderId="58" xfId="48" applyFont="1" applyBorder="1" applyAlignment="1">
      <alignment horizontal="justify"/>
    </xf>
    <xf numFmtId="3" fontId="37" fillId="0" borderId="25" xfId="48" applyNumberFormat="1" applyFont="1" applyBorder="1"/>
    <xf numFmtId="0" fontId="38" fillId="0" borderId="25" xfId="48" applyFont="1" applyBorder="1" applyAlignment="1">
      <alignment horizontal="justify"/>
    </xf>
    <xf numFmtId="3" fontId="41" fillId="0" borderId="41" xfId="48" applyNumberFormat="1" applyFont="1" applyBorder="1"/>
    <xf numFmtId="0" fontId="38" fillId="0" borderId="39" xfId="48" applyFont="1" applyBorder="1" applyAlignment="1">
      <alignment horizontal="left"/>
    </xf>
    <xf numFmtId="0" fontId="36" fillId="0" borderId="23" xfId="0" applyFont="1" applyBorder="1" applyAlignment="1">
      <alignment horizontal="left"/>
    </xf>
    <xf numFmtId="3" fontId="37" fillId="0" borderId="24" xfId="48" applyNumberFormat="1" applyFont="1" applyBorder="1" applyAlignment="1">
      <alignment horizontal="right"/>
    </xf>
    <xf numFmtId="3" fontId="41" fillId="0" borderId="41" xfId="48" applyNumberFormat="1" applyFont="1" applyBorder="1" applyAlignment="1">
      <alignment horizontal="right"/>
    </xf>
    <xf numFmtId="3" fontId="41" fillId="0" borderId="32" xfId="48" applyNumberFormat="1" applyFont="1" applyBorder="1" applyAlignment="1">
      <alignment horizontal="right"/>
    </xf>
    <xf numFmtId="0" fontId="38" fillId="0" borderId="0" xfId="48" applyFont="1" applyAlignment="1">
      <alignment horizontal="center"/>
    </xf>
    <xf numFmtId="0" fontId="39" fillId="0" borderId="0" xfId="48" applyFont="1"/>
    <xf numFmtId="0" fontId="39" fillId="0" borderId="0" xfId="48" applyFont="1" applyAlignment="1">
      <alignment horizontal="center"/>
    </xf>
    <xf numFmtId="0" fontId="39" fillId="0" borderId="19" xfId="48" applyFont="1" applyBorder="1" applyAlignment="1">
      <alignment horizontal="center"/>
    </xf>
    <xf numFmtId="0" fontId="39" fillId="0" borderId="20" xfId="48" applyFont="1" applyBorder="1" applyAlignment="1">
      <alignment horizontal="center"/>
    </xf>
    <xf numFmtId="0" fontId="39" fillId="0" borderId="11" xfId="48" applyFont="1" applyBorder="1" applyAlignment="1">
      <alignment horizontal="right"/>
    </xf>
    <xf numFmtId="0" fontId="39" fillId="0" borderId="16" xfId="48" applyFont="1" applyBorder="1"/>
    <xf numFmtId="0" fontId="41" fillId="0" borderId="17" xfId="48" applyFont="1" applyBorder="1"/>
    <xf numFmtId="0" fontId="35" fillId="0" borderId="11" xfId="48" applyFont="1" applyBorder="1" applyAlignment="1">
      <alignment horizontal="right"/>
    </xf>
    <xf numFmtId="0" fontId="35" fillId="0" borderId="59" xfId="48" applyFont="1" applyBorder="1" applyAlignment="1">
      <alignment horizontal="left" wrapText="1"/>
    </xf>
    <xf numFmtId="0" fontId="39" fillId="0" borderId="54" xfId="48" applyFont="1" applyBorder="1" applyAlignment="1">
      <alignment horizontal="right"/>
    </xf>
    <xf numFmtId="0" fontId="39" fillId="0" borderId="40" xfId="48" applyFont="1" applyBorder="1" applyAlignment="1">
      <alignment horizontal="center"/>
    </xf>
    <xf numFmtId="3" fontId="41" fillId="25" borderId="41" xfId="48" applyNumberFormat="1" applyFont="1" applyFill="1" applyBorder="1"/>
    <xf numFmtId="0" fontId="39" fillId="0" borderId="57" xfId="48" applyFont="1" applyBorder="1" applyAlignment="1">
      <alignment horizontal="right"/>
    </xf>
    <xf numFmtId="0" fontId="39" fillId="0" borderId="38" xfId="48" applyFont="1" applyBorder="1"/>
    <xf numFmtId="3" fontId="41" fillId="0" borderId="39" xfId="48" applyNumberFormat="1" applyFont="1" applyBorder="1"/>
    <xf numFmtId="0" fontId="41" fillId="0" borderId="39" xfId="48" applyFont="1" applyBorder="1"/>
    <xf numFmtId="0" fontId="35" fillId="0" borderId="12" xfId="48" applyFont="1" applyBorder="1"/>
    <xf numFmtId="3" fontId="37" fillId="25" borderId="14" xfId="48" applyNumberFormat="1" applyFont="1" applyFill="1" applyBorder="1"/>
    <xf numFmtId="3" fontId="37" fillId="0" borderId="18" xfId="48" applyNumberFormat="1" applyFont="1" applyBorder="1"/>
    <xf numFmtId="3" fontId="37" fillId="25" borderId="14" xfId="48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justify"/>
    </xf>
    <xf numFmtId="0" fontId="39" fillId="0" borderId="40" xfId="48" applyFont="1" applyBorder="1"/>
    <xf numFmtId="0" fontId="34" fillId="0" borderId="11" xfId="48" applyFont="1" applyBorder="1" applyAlignment="1">
      <alignment horizontal="left"/>
    </xf>
    <xf numFmtId="0" fontId="40" fillId="0" borderId="18" xfId="48" applyFont="1" applyBorder="1"/>
    <xf numFmtId="0" fontId="35" fillId="0" borderId="23" xfId="48" applyFont="1" applyBorder="1" applyAlignment="1">
      <alignment wrapText="1"/>
    </xf>
    <xf numFmtId="3" fontId="35" fillId="0" borderId="0" xfId="0" applyNumberFormat="1" applyFont="1" applyAlignment="1">
      <alignment horizontal="justify"/>
    </xf>
    <xf numFmtId="0" fontId="35" fillId="0" borderId="60" xfId="48" applyFont="1" applyBorder="1" applyAlignment="1">
      <alignment horizontal="left"/>
    </xf>
    <xf numFmtId="0" fontId="35" fillId="0" borderId="11" xfId="48" applyFont="1" applyBorder="1" applyAlignment="1">
      <alignment horizontal="right" wrapText="1"/>
    </xf>
    <xf numFmtId="0" fontId="35" fillId="0" borderId="0" xfId="48" applyFont="1" applyAlignment="1">
      <alignment wrapText="1"/>
    </xf>
    <xf numFmtId="0" fontId="39" fillId="0" borderId="11" xfId="48" applyFont="1" applyBorder="1"/>
    <xf numFmtId="0" fontId="35" fillId="0" borderId="23" xfId="0" applyFont="1" applyBorder="1" applyAlignment="1">
      <alignment wrapText="1"/>
    </xf>
    <xf numFmtId="0" fontId="35" fillId="0" borderId="12" xfId="48" applyFont="1" applyBorder="1" applyAlignment="1">
      <alignment wrapText="1"/>
    </xf>
    <xf numFmtId="0" fontId="35" fillId="0" borderId="12" xfId="48" applyFont="1" applyBorder="1" applyAlignment="1">
      <alignment horizontal="left"/>
    </xf>
    <xf numFmtId="0" fontId="35" fillId="0" borderId="35" xfId="48" applyFont="1" applyBorder="1" applyAlignment="1">
      <alignment horizontal="right"/>
    </xf>
    <xf numFmtId="0" fontId="39" fillId="0" borderId="31" xfId="48" applyFont="1" applyBorder="1"/>
    <xf numFmtId="0" fontId="39" fillId="0" borderId="61" xfId="48" applyFont="1" applyBorder="1"/>
    <xf numFmtId="0" fontId="41" fillId="0" borderId="18" xfId="48" applyFont="1" applyBorder="1"/>
    <xf numFmtId="0" fontId="36" fillId="0" borderId="29" xfId="0" applyFont="1" applyBorder="1" applyAlignment="1">
      <alignment horizontal="left" wrapText="1"/>
    </xf>
    <xf numFmtId="0" fontId="39" fillId="0" borderId="19" xfId="48" applyFont="1" applyBorder="1" applyAlignment="1">
      <alignment horizontal="right"/>
    </xf>
    <xf numFmtId="0" fontId="39" fillId="0" borderId="20" xfId="48" applyFont="1" applyBorder="1"/>
    <xf numFmtId="3" fontId="41" fillId="0" borderId="21" xfId="48" applyNumberFormat="1" applyFont="1" applyBorder="1"/>
    <xf numFmtId="3" fontId="41" fillId="25" borderId="21" xfId="48" applyNumberFormat="1" applyFont="1" applyFill="1" applyBorder="1"/>
    <xf numFmtId="0" fontId="39" fillId="0" borderId="35" xfId="48" applyFont="1" applyBorder="1"/>
    <xf numFmtId="0" fontId="35" fillId="0" borderId="36" xfId="48" applyFont="1" applyBorder="1"/>
    <xf numFmtId="3" fontId="41" fillId="25" borderId="28" xfId="48" applyNumberFormat="1" applyFont="1" applyFill="1" applyBorder="1"/>
    <xf numFmtId="3" fontId="35" fillId="0" borderId="0" xfId="48" applyNumberFormat="1" applyFont="1"/>
    <xf numFmtId="0" fontId="36" fillId="0" borderId="0" xfId="50" applyFont="1"/>
    <xf numFmtId="3" fontId="36" fillId="0" borderId="0" xfId="50" applyNumberFormat="1" applyFont="1"/>
    <xf numFmtId="0" fontId="38" fillId="0" borderId="15" xfId="50" applyFont="1" applyBorder="1" applyAlignment="1">
      <alignment horizontal="center"/>
    </xf>
    <xf numFmtId="0" fontId="36" fillId="0" borderId="17" xfId="50" applyFont="1" applyBorder="1" applyAlignment="1">
      <alignment horizontal="center"/>
    </xf>
    <xf numFmtId="0" fontId="36" fillId="0" borderId="11" xfId="50" applyFont="1" applyBorder="1"/>
    <xf numFmtId="0" fontId="36" fillId="0" borderId="19" xfId="50" applyFont="1" applyBorder="1"/>
    <xf numFmtId="0" fontId="36" fillId="0" borderId="21" xfId="50" applyFont="1" applyBorder="1" applyAlignment="1">
      <alignment horizontal="center" vertical="center" wrapText="1"/>
    </xf>
    <xf numFmtId="3" fontId="38" fillId="0" borderId="0" xfId="50" applyNumberFormat="1" applyFont="1"/>
    <xf numFmtId="0" fontId="38" fillId="0" borderId="0" xfId="50" applyFont="1"/>
    <xf numFmtId="0" fontId="39" fillId="0" borderId="35" xfId="50" applyFont="1" applyBorder="1" applyAlignment="1">
      <alignment horizontal="justify"/>
    </xf>
    <xf numFmtId="0" fontId="39" fillId="0" borderId="35" xfId="50" applyFont="1" applyBorder="1"/>
    <xf numFmtId="2" fontId="36" fillId="0" borderId="0" xfId="50" applyNumberFormat="1" applyFont="1"/>
    <xf numFmtId="0" fontId="52" fillId="0" borderId="0" xfId="50" applyFont="1"/>
    <xf numFmtId="3" fontId="52" fillId="0" borderId="0" xfId="50" applyNumberFormat="1" applyFont="1"/>
    <xf numFmtId="3" fontId="35" fillId="0" borderId="0" xfId="50" applyNumberFormat="1" applyFont="1"/>
    <xf numFmtId="0" fontId="39" fillId="0" borderId="15" xfId="50" applyFont="1" applyBorder="1" applyAlignment="1">
      <alignment horizontal="justify"/>
    </xf>
    <xf numFmtId="4" fontId="36" fillId="0" borderId="0" xfId="0" applyNumberFormat="1" applyFont="1"/>
    <xf numFmtId="165" fontId="36" fillId="0" borderId="0" xfId="36" applyNumberFormat="1" applyFont="1" applyFill="1"/>
    <xf numFmtId="0" fontId="53" fillId="0" borderId="0" xfId="0" applyFont="1"/>
    <xf numFmtId="0" fontId="54" fillId="0" borderId="0" xfId="50" applyFont="1"/>
    <xf numFmtId="0" fontId="38" fillId="0" borderId="0" xfId="50" applyFont="1" applyAlignment="1">
      <alignment horizontal="right"/>
    </xf>
    <xf numFmtId="0" fontId="38" fillId="0" borderId="17" xfId="50" applyFont="1" applyBorder="1" applyAlignment="1">
      <alignment horizontal="center"/>
    </xf>
    <xf numFmtId="0" fontId="38" fillId="0" borderId="61" xfId="50" applyFont="1" applyBorder="1" applyAlignment="1">
      <alignment horizontal="center"/>
    </xf>
    <xf numFmtId="0" fontId="38" fillId="0" borderId="18" xfId="50" applyFont="1" applyBorder="1" applyAlignment="1">
      <alignment horizontal="center"/>
    </xf>
    <xf numFmtId="0" fontId="38" fillId="0" borderId="29" xfId="50" applyFont="1" applyBorder="1" applyAlignment="1">
      <alignment horizontal="center"/>
    </xf>
    <xf numFmtId="0" fontId="38" fillId="0" borderId="21" xfId="50" applyFont="1" applyBorder="1" applyAlignment="1">
      <alignment horizontal="center"/>
    </xf>
    <xf numFmtId="0" fontId="38" fillId="0" borderId="21" xfId="50" applyFont="1" applyBorder="1" applyAlignment="1">
      <alignment horizontal="center" vertical="center" wrapText="1"/>
    </xf>
    <xf numFmtId="0" fontId="38" fillId="0" borderId="30" xfId="50" applyFont="1" applyBorder="1" applyAlignment="1">
      <alignment horizontal="center" vertical="center" wrapText="1"/>
    </xf>
    <xf numFmtId="0" fontId="38" fillId="0" borderId="30" xfId="50" applyFont="1" applyBorder="1" applyAlignment="1">
      <alignment horizontal="justify"/>
    </xf>
    <xf numFmtId="0" fontId="38" fillId="0" borderId="11" xfId="50" applyFont="1" applyBorder="1" applyAlignment="1">
      <alignment horizontal="center"/>
    </xf>
    <xf numFmtId="0" fontId="36" fillId="0" borderId="61" xfId="50" applyFont="1" applyBorder="1" applyAlignment="1">
      <alignment horizontal="center"/>
    </xf>
    <xf numFmtId="3" fontId="38" fillId="0" borderId="26" xfId="50" applyNumberFormat="1" applyFont="1" applyBorder="1" applyAlignment="1">
      <alignment horizontal="center"/>
    </xf>
    <xf numFmtId="0" fontId="35" fillId="0" borderId="62" xfId="49" applyFont="1" applyBorder="1"/>
    <xf numFmtId="3" fontId="36" fillId="0" borderId="26" xfId="50" applyNumberFormat="1" applyFont="1" applyBorder="1"/>
    <xf numFmtId="3" fontId="38" fillId="0" borderId="26" xfId="50" applyNumberFormat="1" applyFont="1" applyBorder="1"/>
    <xf numFmtId="3" fontId="38" fillId="0" borderId="18" xfId="50" applyNumberFormat="1" applyFont="1" applyBorder="1" applyAlignment="1">
      <alignment horizontal="center"/>
    </xf>
    <xf numFmtId="3" fontId="36" fillId="0" borderId="18" xfId="50" applyNumberFormat="1" applyFont="1" applyBorder="1"/>
    <xf numFmtId="3" fontId="38" fillId="0" borderId="41" xfId="50" applyNumberFormat="1" applyFont="1" applyBorder="1" applyAlignment="1">
      <alignment horizontal="center"/>
    </xf>
    <xf numFmtId="0" fontId="35" fillId="0" borderId="54" xfId="49" applyFont="1" applyBorder="1"/>
    <xf numFmtId="0" fontId="35" fillId="0" borderId="54" xfId="49" applyFont="1" applyBorder="1" applyAlignment="1">
      <alignment wrapText="1"/>
    </xf>
    <xf numFmtId="3" fontId="36" fillId="0" borderId="41" xfId="50" applyNumberFormat="1" applyFont="1" applyBorder="1"/>
    <xf numFmtId="3" fontId="38" fillId="0" borderId="39" xfId="50" applyNumberFormat="1" applyFont="1" applyBorder="1" applyAlignment="1">
      <alignment horizontal="center"/>
    </xf>
    <xf numFmtId="0" fontId="35" fillId="0" borderId="57" xfId="49" applyFont="1" applyBorder="1"/>
    <xf numFmtId="3" fontId="38" fillId="0" borderId="18" xfId="50" applyNumberFormat="1" applyFont="1" applyBorder="1"/>
    <xf numFmtId="3" fontId="38" fillId="0" borderId="28" xfId="50" applyNumberFormat="1" applyFont="1" applyBorder="1" applyAlignment="1">
      <alignment horizontal="center"/>
    </xf>
    <xf numFmtId="3" fontId="38" fillId="0" borderId="28" xfId="50" applyNumberFormat="1" applyFont="1" applyBorder="1"/>
    <xf numFmtId="3" fontId="38" fillId="0" borderId="63" xfId="50" applyNumberFormat="1" applyFont="1" applyBorder="1" applyAlignment="1">
      <alignment horizontal="center"/>
    </xf>
    <xf numFmtId="0" fontId="35" fillId="0" borderId="15" xfId="49" applyFont="1" applyBorder="1"/>
    <xf numFmtId="3" fontId="36" fillId="0" borderId="17" xfId="50" applyNumberFormat="1" applyFont="1" applyBorder="1"/>
    <xf numFmtId="0" fontId="35" fillId="0" borderId="11" xfId="49" applyFont="1" applyBorder="1"/>
    <xf numFmtId="0" fontId="39" fillId="0" borderId="11" xfId="50" applyFont="1" applyBorder="1" applyAlignment="1">
      <alignment horizontal="justify"/>
    </xf>
    <xf numFmtId="3" fontId="36" fillId="0" borderId="28" xfId="50" applyNumberFormat="1" applyFont="1" applyBorder="1"/>
    <xf numFmtId="3" fontId="36" fillId="0" borderId="29" xfId="50" applyNumberFormat="1" applyFont="1" applyBorder="1"/>
    <xf numFmtId="3" fontId="38" fillId="0" borderId="17" xfId="50" applyNumberFormat="1" applyFont="1" applyBorder="1" applyAlignment="1">
      <alignment horizontal="center"/>
    </xf>
    <xf numFmtId="3" fontId="36" fillId="0" borderId="61" xfId="50" applyNumberFormat="1" applyFont="1" applyBorder="1"/>
    <xf numFmtId="0" fontId="41" fillId="0" borderId="15" xfId="0" applyFont="1" applyBorder="1" applyAlignment="1">
      <alignment horizontal="left"/>
    </xf>
    <xf numFmtId="3" fontId="41" fillId="0" borderId="61" xfId="0" applyNumberFormat="1" applyFont="1" applyBorder="1" applyAlignment="1">
      <alignment horizontal="left"/>
    </xf>
    <xf numFmtId="3" fontId="41" fillId="0" borderId="64" xfId="0" applyNumberFormat="1" applyFont="1" applyBorder="1"/>
    <xf numFmtId="3" fontId="41" fillId="0" borderId="34" xfId="0" applyNumberFormat="1" applyFont="1" applyBorder="1"/>
    <xf numFmtId="3" fontId="41" fillId="0" borderId="33" xfId="0" applyNumberFormat="1" applyFont="1" applyBorder="1"/>
    <xf numFmtId="3" fontId="50" fillId="0" borderId="49" xfId="0" applyNumberFormat="1" applyFont="1" applyBorder="1"/>
    <xf numFmtId="3" fontId="50" fillId="0" borderId="14" xfId="0" applyNumberFormat="1" applyFont="1" applyBorder="1"/>
    <xf numFmtId="3" fontId="50" fillId="0" borderId="24" xfId="0" applyNumberFormat="1" applyFont="1" applyBorder="1"/>
    <xf numFmtId="3" fontId="50" fillId="0" borderId="49" xfId="0" applyNumberFormat="1" applyFont="1" applyBorder="1" applyAlignment="1">
      <alignment horizontal="right"/>
    </xf>
    <xf numFmtId="3" fontId="50" fillId="0" borderId="14" xfId="0" applyNumberFormat="1" applyFont="1" applyBorder="1" applyAlignment="1">
      <alignment horizontal="right"/>
    </xf>
    <xf numFmtId="3" fontId="50" fillId="0" borderId="24" xfId="0" applyNumberFormat="1" applyFont="1" applyBorder="1" applyAlignment="1">
      <alignment horizontal="right"/>
    </xf>
    <xf numFmtId="3" fontId="50" fillId="0" borderId="25" xfId="0" applyNumberFormat="1" applyFont="1" applyBorder="1"/>
    <xf numFmtId="3" fontId="55" fillId="0" borderId="27" xfId="0" applyNumberFormat="1" applyFont="1" applyBorder="1"/>
    <xf numFmtId="3" fontId="50" fillId="0" borderId="17" xfId="0" applyNumberFormat="1" applyFont="1" applyBorder="1" applyAlignment="1">
      <alignment horizontal="right"/>
    </xf>
    <xf numFmtId="3" fontId="50" fillId="0" borderId="18" xfId="0" applyNumberFormat="1" applyFont="1" applyBorder="1" applyAlignment="1">
      <alignment horizontal="centerContinuous"/>
    </xf>
    <xf numFmtId="3" fontId="50" fillId="0" borderId="18" xfId="0" applyNumberFormat="1" applyFont="1" applyBorder="1" applyAlignment="1">
      <alignment horizontal="right"/>
    </xf>
    <xf numFmtId="3" fontId="50" fillId="0" borderId="14" xfId="48" applyNumberFormat="1" applyFont="1" applyBorder="1" applyAlignment="1">
      <alignment horizontal="right"/>
    </xf>
    <xf numFmtId="3" fontId="56" fillId="0" borderId="14" xfId="0" applyNumberFormat="1" applyFont="1" applyBorder="1" applyAlignment="1">
      <alignment horizontal="left"/>
    </xf>
    <xf numFmtId="3" fontId="56" fillId="0" borderId="28" xfId="0" applyNumberFormat="1" applyFont="1" applyBorder="1" applyAlignment="1">
      <alignment horizontal="right"/>
    </xf>
    <xf numFmtId="3" fontId="56" fillId="0" borderId="28" xfId="0" applyNumberFormat="1" applyFont="1" applyBorder="1"/>
    <xf numFmtId="3" fontId="50" fillId="0" borderId="18" xfId="0" applyNumberFormat="1" applyFont="1" applyBorder="1"/>
    <xf numFmtId="3" fontId="56" fillId="0" borderId="32" xfId="0" applyNumberFormat="1" applyFont="1" applyBorder="1" applyAlignment="1">
      <alignment horizontal="right"/>
    </xf>
    <xf numFmtId="3" fontId="56" fillId="0" borderId="18" xfId="0" applyNumberFormat="1" applyFont="1" applyBorder="1" applyAlignment="1">
      <alignment horizontal="centerContinuous"/>
    </xf>
    <xf numFmtId="3" fontId="56" fillId="0" borderId="18" xfId="0" applyNumberFormat="1" applyFont="1" applyBorder="1" applyAlignment="1">
      <alignment horizontal="right"/>
    </xf>
    <xf numFmtId="3" fontId="50" fillId="0" borderId="18" xfId="0" applyNumberFormat="1" applyFont="1" applyBorder="1" applyAlignment="1">
      <alignment horizontal="center"/>
    </xf>
    <xf numFmtId="3" fontId="50" fillId="0" borderId="21" xfId="0" applyNumberFormat="1" applyFont="1" applyBorder="1" applyAlignment="1">
      <alignment horizontal="center"/>
    </xf>
    <xf numFmtId="3" fontId="56" fillId="0" borderId="17" xfId="0" applyNumberFormat="1" applyFont="1" applyBorder="1"/>
    <xf numFmtId="3" fontId="56" fillId="0" borderId="36" xfId="0" applyNumberFormat="1" applyFont="1" applyBorder="1"/>
    <xf numFmtId="3" fontId="50" fillId="0" borderId="21" xfId="0" applyNumberFormat="1" applyFont="1" applyBorder="1"/>
    <xf numFmtId="0" fontId="37" fillId="0" borderId="12" xfId="0" applyFont="1" applyBorder="1"/>
    <xf numFmtId="3" fontId="40" fillId="0" borderId="31" xfId="0" applyNumberFormat="1" applyFont="1" applyBorder="1" applyAlignment="1">
      <alignment horizontal="centerContinuous"/>
    </xf>
    <xf numFmtId="3" fontId="41" fillId="0" borderId="31" xfId="0" applyNumberFormat="1" applyFont="1" applyBorder="1" applyAlignment="1">
      <alignment horizontal="centerContinuous"/>
    </xf>
    <xf numFmtId="3" fontId="37" fillId="0" borderId="20" xfId="0" applyNumberFormat="1" applyFont="1" applyBorder="1"/>
    <xf numFmtId="0" fontId="50" fillId="0" borderId="12" xfId="0" applyFont="1" applyBorder="1"/>
    <xf numFmtId="0" fontId="50" fillId="0" borderId="0" xfId="0" applyFont="1"/>
    <xf numFmtId="3" fontId="56" fillId="0" borderId="0" xfId="0" applyNumberFormat="1" applyFont="1" applyAlignment="1">
      <alignment horizontal="left"/>
    </xf>
    <xf numFmtId="3" fontId="57" fillId="0" borderId="31" xfId="0" applyNumberFormat="1" applyFont="1" applyBorder="1" applyAlignment="1">
      <alignment horizontal="centerContinuous"/>
    </xf>
    <xf numFmtId="3" fontId="56" fillId="0" borderId="31" xfId="0" applyNumberFormat="1" applyFont="1" applyBorder="1" applyAlignment="1">
      <alignment horizontal="centerContinuous"/>
    </xf>
    <xf numFmtId="3" fontId="56" fillId="0" borderId="17" xfId="0" applyNumberFormat="1" applyFont="1" applyBorder="1" applyAlignment="1">
      <alignment horizontal="left"/>
    </xf>
    <xf numFmtId="0" fontId="50" fillId="0" borderId="20" xfId="0" applyFont="1" applyBorder="1" applyAlignment="1">
      <alignment horizontal="left"/>
    </xf>
    <xf numFmtId="3" fontId="50" fillId="0" borderId="20" xfId="0" applyNumberFormat="1" applyFont="1" applyBorder="1"/>
    <xf numFmtId="0" fontId="37" fillId="0" borderId="22" xfId="0" applyFont="1" applyBorder="1"/>
    <xf numFmtId="0" fontId="37" fillId="0" borderId="65" xfId="0" applyFont="1" applyBorder="1"/>
    <xf numFmtId="0" fontId="37" fillId="0" borderId="50" xfId="0" applyFont="1" applyBorder="1"/>
    <xf numFmtId="0" fontId="37" fillId="0" borderId="23" xfId="0" applyFont="1" applyBorder="1"/>
    <xf numFmtId="3" fontId="37" fillId="0" borderId="11" xfId="0" applyNumberFormat="1" applyFont="1" applyBorder="1"/>
    <xf numFmtId="0" fontId="37" fillId="0" borderId="11" xfId="0" applyFont="1" applyBorder="1"/>
    <xf numFmtId="3" fontId="41" fillId="0" borderId="62" xfId="0" applyNumberFormat="1" applyFont="1" applyBorder="1"/>
    <xf numFmtId="0" fontId="41" fillId="0" borderId="13" xfId="0" applyFont="1" applyBorder="1"/>
    <xf numFmtId="3" fontId="41" fillId="0" borderId="13" xfId="0" applyNumberFormat="1" applyFont="1" applyBorder="1"/>
    <xf numFmtId="3" fontId="41" fillId="0" borderId="45" xfId="0" applyNumberFormat="1" applyFont="1" applyBorder="1" applyAlignment="1">
      <alignment horizontal="left"/>
    </xf>
    <xf numFmtId="3" fontId="41" fillId="0" borderId="44" xfId="0" applyNumberFormat="1" applyFont="1" applyBorder="1" applyAlignment="1">
      <alignment horizontal="centerContinuous"/>
    </xf>
    <xf numFmtId="3" fontId="41" fillId="0" borderId="66" xfId="0" applyNumberFormat="1" applyFont="1" applyBorder="1" applyAlignment="1">
      <alignment horizontal="center"/>
    </xf>
    <xf numFmtId="3" fontId="41" fillId="0" borderId="65" xfId="0" applyNumberFormat="1" applyFont="1" applyBorder="1" applyAlignment="1">
      <alignment horizontal="right"/>
    </xf>
    <xf numFmtId="3" fontId="41" fillId="0" borderId="12" xfId="0" applyNumberFormat="1" applyFont="1" applyBorder="1"/>
    <xf numFmtId="3" fontId="40" fillId="0" borderId="23" xfId="0" applyNumberFormat="1" applyFont="1" applyBorder="1" applyAlignment="1">
      <alignment horizontal="left"/>
    </xf>
    <xf numFmtId="3" fontId="41" fillId="0" borderId="23" xfId="0" applyNumberFormat="1" applyFont="1" applyBorder="1"/>
    <xf numFmtId="3" fontId="37" fillId="0" borderId="23" xfId="0" applyNumberFormat="1" applyFont="1" applyBorder="1"/>
    <xf numFmtId="3" fontId="37" fillId="0" borderId="23" xfId="0" applyNumberFormat="1" applyFont="1" applyBorder="1" applyAlignment="1">
      <alignment horizontal="left"/>
    </xf>
    <xf numFmtId="0" fontId="37" fillId="0" borderId="58" xfId="0" applyFont="1" applyBorder="1"/>
    <xf numFmtId="0" fontId="42" fillId="0" borderId="44" xfId="0" applyFont="1" applyBorder="1"/>
    <xf numFmtId="3" fontId="41" fillId="0" borderId="20" xfId="0" applyNumberFormat="1" applyFont="1" applyBorder="1" applyAlignment="1">
      <alignment horizontal="centerContinuous"/>
    </xf>
    <xf numFmtId="3" fontId="37" fillId="0" borderId="11" xfId="0" applyNumberFormat="1" applyFont="1" applyBorder="1" applyAlignment="1">
      <alignment horizontal="left"/>
    </xf>
    <xf numFmtId="3" fontId="37" fillId="0" borderId="0" xfId="0" applyNumberFormat="1" applyFont="1" applyAlignment="1">
      <alignment horizontal="left"/>
    </xf>
    <xf numFmtId="3" fontId="37" fillId="0" borderId="0" xfId="0" applyNumberFormat="1" applyFont="1" applyAlignment="1">
      <alignment horizontal="centerContinuous"/>
    </xf>
    <xf numFmtId="3" fontId="37" fillId="0" borderId="47" xfId="0" applyNumberFormat="1" applyFont="1" applyBorder="1" applyAlignment="1">
      <alignment horizontal="left"/>
    </xf>
    <xf numFmtId="3" fontId="37" fillId="0" borderId="23" xfId="0" applyNumberFormat="1" applyFont="1" applyBorder="1" applyAlignment="1">
      <alignment horizontal="centerContinuous"/>
    </xf>
    <xf numFmtId="3" fontId="37" fillId="0" borderId="23" xfId="0" applyNumberFormat="1" applyFont="1" applyBorder="1" applyAlignment="1">
      <alignment horizontal="center"/>
    </xf>
    <xf numFmtId="3" fontId="37" fillId="0" borderId="11" xfId="0" applyNumberFormat="1" applyFont="1" applyBorder="1" applyAlignment="1">
      <alignment horizontal="centerContinuous"/>
    </xf>
    <xf numFmtId="3" fontId="41" fillId="0" borderId="11" xfId="0" applyNumberFormat="1" applyFont="1" applyBorder="1" applyAlignment="1">
      <alignment horizontal="centerContinuous"/>
    </xf>
    <xf numFmtId="3" fontId="41" fillId="0" borderId="0" xfId="0" applyNumberFormat="1" applyFont="1" applyAlignment="1">
      <alignment horizontal="centerContinuous"/>
    </xf>
    <xf numFmtId="3" fontId="41" fillId="0" borderId="11" xfId="0" applyNumberFormat="1" applyFont="1" applyBorder="1" applyAlignment="1">
      <alignment horizontal="left"/>
    </xf>
    <xf numFmtId="0" fontId="37" fillId="0" borderId="0" xfId="48" applyFont="1"/>
    <xf numFmtId="3" fontId="37" fillId="0" borderId="0" xfId="0" applyNumberFormat="1" applyFont="1" applyAlignment="1">
      <alignment horizontal="center"/>
    </xf>
    <xf numFmtId="0" fontId="37" fillId="0" borderId="0" xfId="48" applyFont="1" applyAlignment="1">
      <alignment horizontal="left"/>
    </xf>
    <xf numFmtId="3" fontId="41" fillId="0" borderId="31" xfId="0" applyNumberFormat="1" applyFont="1" applyBorder="1"/>
    <xf numFmtId="0" fontId="41" fillId="0" borderId="16" xfId="0" applyFont="1" applyBorder="1"/>
    <xf numFmtId="3" fontId="41" fillId="0" borderId="16" xfId="0" applyNumberFormat="1" applyFont="1" applyBorder="1" applyAlignment="1">
      <alignment horizontal="right"/>
    </xf>
    <xf numFmtId="3" fontId="41" fillId="0" borderId="12" xfId="0" applyNumberFormat="1" applyFont="1" applyBorder="1" applyAlignment="1">
      <alignment horizontal="right"/>
    </xf>
    <xf numFmtId="3" fontId="41" fillId="0" borderId="23" xfId="0" applyNumberFormat="1" applyFont="1" applyBorder="1" applyAlignment="1">
      <alignment horizontal="right"/>
    </xf>
    <xf numFmtId="0" fontId="41" fillId="0" borderId="31" xfId="0" applyFont="1" applyBorder="1"/>
    <xf numFmtId="3" fontId="41" fillId="0" borderId="31" xfId="0" applyNumberFormat="1" applyFont="1" applyBorder="1" applyAlignment="1">
      <alignment horizontal="right"/>
    </xf>
    <xf numFmtId="0" fontId="41" fillId="0" borderId="40" xfId="0" applyFont="1" applyBorder="1"/>
    <xf numFmtId="3" fontId="41" fillId="0" borderId="40" xfId="0" applyNumberFormat="1" applyFont="1" applyBorder="1" applyAlignment="1">
      <alignment horizontal="right"/>
    </xf>
    <xf numFmtId="3" fontId="41" fillId="0" borderId="31" xfId="0" applyNumberFormat="1" applyFont="1" applyBorder="1" applyAlignment="1">
      <alignment horizontal="left"/>
    </xf>
    <xf numFmtId="0" fontId="40" fillId="0" borderId="19" xfId="0" applyFont="1" applyBorder="1"/>
    <xf numFmtId="0" fontId="37" fillId="0" borderId="23" xfId="0" applyFont="1" applyBorder="1" applyAlignment="1">
      <alignment wrapText="1"/>
    </xf>
    <xf numFmtId="0" fontId="45" fillId="0" borderId="0" xfId="0" applyFont="1" applyAlignment="1">
      <alignment horizontal="left"/>
    </xf>
    <xf numFmtId="3" fontId="41" fillId="26" borderId="35" xfId="0" applyNumberFormat="1" applyFont="1" applyFill="1" applyBorder="1" applyAlignment="1">
      <alignment horizontal="right"/>
    </xf>
    <xf numFmtId="3" fontId="41" fillId="26" borderId="28" xfId="0" applyNumberFormat="1" applyFont="1" applyFill="1" applyBorder="1"/>
    <xf numFmtId="0" fontId="34" fillId="0" borderId="54" xfId="0" applyFont="1" applyBorder="1"/>
    <xf numFmtId="3" fontId="34" fillId="0" borderId="40" xfId="0" applyNumberFormat="1" applyFont="1" applyBorder="1"/>
    <xf numFmtId="0" fontId="35" fillId="0" borderId="58" xfId="0" applyFont="1" applyBorder="1" applyAlignment="1">
      <alignment horizontal="left"/>
    </xf>
    <xf numFmtId="0" fontId="34" fillId="0" borderId="58" xfId="0" applyFont="1" applyBorder="1" applyAlignment="1">
      <alignment horizontal="left"/>
    </xf>
    <xf numFmtId="0" fontId="39" fillId="0" borderId="58" xfId="0" applyFont="1" applyBorder="1" applyAlignment="1">
      <alignment horizontal="left"/>
    </xf>
    <xf numFmtId="0" fontId="36" fillId="26" borderId="50" xfId="0" applyFont="1" applyFill="1" applyBorder="1" applyAlignment="1">
      <alignment horizontal="left" wrapText="1"/>
    </xf>
    <xf numFmtId="0" fontId="27" fillId="0" borderId="47" xfId="0" applyFont="1" applyBorder="1"/>
    <xf numFmtId="0" fontId="38" fillId="0" borderId="35" xfId="0" applyFont="1" applyBorder="1" applyAlignment="1">
      <alignment horizontal="justify" wrapText="1"/>
    </xf>
    <xf numFmtId="0" fontId="37" fillId="0" borderId="12" xfId="48" applyFont="1" applyBorder="1" applyAlignment="1">
      <alignment horizontal="justify"/>
    </xf>
    <xf numFmtId="0" fontId="37" fillId="0" borderId="23" xfId="48" applyFont="1" applyBorder="1" applyAlignment="1">
      <alignment horizontal="justify"/>
    </xf>
    <xf numFmtId="0" fontId="56" fillId="0" borderId="0" xfId="0" applyFont="1"/>
    <xf numFmtId="0" fontId="35" fillId="0" borderId="23" xfId="48" applyFont="1" applyBorder="1" applyAlignment="1">
      <alignment horizontal="left"/>
    </xf>
    <xf numFmtId="0" fontId="37" fillId="27" borderId="12" xfId="48" applyFont="1" applyFill="1" applyBorder="1" applyAlignment="1">
      <alignment horizontal="justify"/>
    </xf>
    <xf numFmtId="0" fontId="35" fillId="0" borderId="12" xfId="48" applyFont="1" applyBorder="1" applyAlignment="1">
      <alignment horizontal="justify"/>
    </xf>
    <xf numFmtId="3" fontId="37" fillId="0" borderId="29" xfId="0" applyNumberFormat="1" applyFont="1" applyBorder="1"/>
    <xf numFmtId="0" fontId="36" fillId="0" borderId="67" xfId="0" applyFont="1" applyBorder="1" applyAlignment="1">
      <alignment horizontal="justify" wrapText="1"/>
    </xf>
    <xf numFmtId="3" fontId="37" fillId="0" borderId="63" xfId="0" applyNumberFormat="1" applyFont="1" applyBorder="1" applyAlignment="1">
      <alignment horizontal="right" wrapText="1"/>
    </xf>
    <xf numFmtId="3" fontId="41" fillId="0" borderId="26" xfId="51" applyNumberFormat="1" applyFont="1" applyBorder="1" applyAlignment="1">
      <alignment horizontal="right" wrapText="1"/>
    </xf>
    <xf numFmtId="3" fontId="41" fillId="0" borderId="28" xfId="51" applyNumberFormat="1" applyFont="1" applyBorder="1" applyAlignment="1">
      <alignment horizontal="right" wrapText="1"/>
    </xf>
    <xf numFmtId="0" fontId="38" fillId="0" borderId="21" xfId="0" applyFont="1" applyBorder="1" applyAlignment="1">
      <alignment wrapText="1"/>
    </xf>
    <xf numFmtId="0" fontId="34" fillId="0" borderId="28" xfId="0" applyFont="1" applyBorder="1" applyAlignment="1">
      <alignment horizontal="left"/>
    </xf>
    <xf numFmtId="0" fontId="38" fillId="0" borderId="28" xfId="0" applyFont="1" applyBorder="1" applyAlignment="1">
      <alignment horizontal="left" wrapText="1"/>
    </xf>
    <xf numFmtId="3" fontId="37" fillId="0" borderId="0" xfId="0" applyNumberFormat="1" applyFont="1" applyAlignment="1">
      <alignment horizontal="right"/>
    </xf>
    <xf numFmtId="3" fontId="37" fillId="26" borderId="0" xfId="0" applyNumberFormat="1" applyFont="1" applyFill="1" applyAlignment="1">
      <alignment horizontal="right"/>
    </xf>
    <xf numFmtId="3" fontId="37" fillId="0" borderId="0" xfId="51" applyNumberFormat="1" applyFont="1" applyAlignment="1">
      <alignment horizontal="justify" wrapText="1"/>
    </xf>
    <xf numFmtId="0" fontId="39" fillId="0" borderId="28" xfId="0" applyFont="1" applyBorder="1" applyAlignment="1">
      <alignment horizontal="justify"/>
    </xf>
    <xf numFmtId="0" fontId="39" fillId="26" borderId="28" xfId="0" applyFont="1" applyFill="1" applyBorder="1"/>
    <xf numFmtId="0" fontId="34" fillId="0" borderId="28" xfId="0" applyFont="1" applyBorder="1"/>
    <xf numFmtId="3" fontId="39" fillId="0" borderId="28" xfId="0" applyNumberFormat="1" applyFont="1" applyBorder="1" applyAlignment="1">
      <alignment horizontal="justify"/>
    </xf>
    <xf numFmtId="3" fontId="39" fillId="0" borderId="26" xfId="51" applyNumberFormat="1" applyFont="1" applyBorder="1" applyAlignment="1">
      <alignment horizontal="justify" vertical="top" wrapText="1"/>
    </xf>
    <xf numFmtId="0" fontId="34" fillId="0" borderId="32" xfId="0" applyFont="1" applyBorder="1"/>
    <xf numFmtId="0" fontId="34" fillId="0" borderId="32" xfId="0" applyFont="1" applyBorder="1" applyAlignment="1">
      <alignment horizontal="left" wrapText="1"/>
    </xf>
    <xf numFmtId="0" fontId="34" fillId="0" borderId="21" xfId="0" applyFont="1" applyBorder="1" applyAlignment="1">
      <alignment horizontal="left" wrapText="1"/>
    </xf>
    <xf numFmtId="0" fontId="39" fillId="0" borderId="21" xfId="0" applyFont="1" applyBorder="1"/>
    <xf numFmtId="0" fontId="39" fillId="0" borderId="32" xfId="0" applyFont="1" applyBorder="1"/>
    <xf numFmtId="3" fontId="36" fillId="0" borderId="69" xfId="51" applyNumberFormat="1" applyFont="1" applyBorder="1" applyAlignment="1">
      <alignment horizontal="justify" vertical="top" wrapText="1"/>
    </xf>
    <xf numFmtId="0" fontId="34" fillId="0" borderId="0" xfId="48" applyFont="1"/>
    <xf numFmtId="0" fontId="35" fillId="0" borderId="23" xfId="48" applyFont="1" applyBorder="1"/>
    <xf numFmtId="0" fontId="35" fillId="0" borderId="60" xfId="48" applyFont="1" applyBorder="1" applyAlignment="1">
      <alignment horizontal="left" wrapText="1"/>
    </xf>
    <xf numFmtId="3" fontId="37" fillId="0" borderId="14" xfId="48" applyNumberFormat="1" applyFont="1" applyBorder="1" applyAlignment="1">
      <alignment horizontal="right"/>
    </xf>
    <xf numFmtId="0" fontId="36" fillId="0" borderId="0" xfId="0" applyFont="1" applyAlignment="1">
      <alignment horizontal="left"/>
    </xf>
    <xf numFmtId="0" fontId="34" fillId="0" borderId="12" xfId="0" applyFont="1" applyBorder="1" applyAlignment="1">
      <alignment horizontal="left"/>
    </xf>
    <xf numFmtId="0" fontId="39" fillId="0" borderId="12" xfId="0" applyFont="1" applyBorder="1" applyAlignment="1">
      <alignment horizontal="left"/>
    </xf>
    <xf numFmtId="0" fontId="35" fillId="0" borderId="55" xfId="0" applyFont="1" applyBorder="1"/>
    <xf numFmtId="0" fontId="35" fillId="0" borderId="71" xfId="0" applyFont="1" applyBorder="1" applyAlignment="1">
      <alignment wrapText="1"/>
    </xf>
    <xf numFmtId="0" fontId="36" fillId="0" borderId="11" xfId="0" applyFont="1" applyBorder="1"/>
    <xf numFmtId="0" fontId="34" fillId="0" borderId="18" xfId="0" applyFont="1" applyBorder="1" applyAlignment="1">
      <alignment horizontal="center" wrapText="1"/>
    </xf>
    <xf numFmtId="0" fontId="34" fillId="0" borderId="18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34" fillId="0" borderId="28" xfId="0" applyFont="1" applyBorder="1" applyAlignment="1">
      <alignment horizontal="center"/>
    </xf>
    <xf numFmtId="0" fontId="39" fillId="0" borderId="18" xfId="0" applyFont="1" applyBorder="1" applyAlignment="1">
      <alignment horizontal="center" wrapText="1"/>
    </xf>
    <xf numFmtId="0" fontId="34" fillId="0" borderId="32" xfId="0" applyFont="1" applyBorder="1" applyAlignment="1">
      <alignment horizontal="center"/>
    </xf>
    <xf numFmtId="0" fontId="39" fillId="0" borderId="18" xfId="0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5" fillId="0" borderId="47" xfId="0" applyFont="1" applyBorder="1"/>
    <xf numFmtId="0" fontId="35" fillId="0" borderId="24" xfId="0" applyFont="1" applyBorder="1"/>
    <xf numFmtId="0" fontId="39" fillId="0" borderId="21" xfId="0" applyFont="1" applyBorder="1" applyAlignment="1">
      <alignment horizontal="justify"/>
    </xf>
    <xf numFmtId="0" fontId="38" fillId="26" borderId="50" xfId="0" applyFont="1" applyFill="1" applyBorder="1" applyAlignment="1">
      <alignment horizontal="justify"/>
    </xf>
    <xf numFmtId="0" fontId="36" fillId="0" borderId="50" xfId="0" applyFont="1" applyBorder="1"/>
    <xf numFmtId="3" fontId="38" fillId="26" borderId="28" xfId="0" applyNumberFormat="1" applyFont="1" applyFill="1" applyBorder="1" applyAlignment="1">
      <alignment wrapText="1"/>
    </xf>
    <xf numFmtId="0" fontId="44" fillId="0" borderId="35" xfId="0" applyFont="1" applyBorder="1" applyAlignment="1">
      <alignment horizontal="left" wrapText="1"/>
    </xf>
    <xf numFmtId="3" fontId="40" fillId="0" borderId="28" xfId="0" applyNumberFormat="1" applyFont="1" applyBorder="1" applyAlignment="1">
      <alignment horizontal="right" wrapText="1"/>
    </xf>
    <xf numFmtId="0" fontId="38" fillId="0" borderId="67" xfId="0" applyFont="1" applyBorder="1" applyAlignment="1">
      <alignment horizontal="justify" wrapText="1"/>
    </xf>
    <xf numFmtId="3" fontId="41" fillId="0" borderId="63" xfId="0" applyNumberFormat="1" applyFont="1" applyBorder="1" applyAlignment="1">
      <alignment wrapText="1"/>
    </xf>
    <xf numFmtId="0" fontId="38" fillId="26" borderId="32" xfId="0" applyFont="1" applyFill="1" applyBorder="1" applyAlignment="1">
      <alignment horizontal="left" wrapText="1"/>
    </xf>
    <xf numFmtId="3" fontId="41" fillId="26" borderId="32" xfId="0" applyNumberFormat="1" applyFont="1" applyFill="1" applyBorder="1" applyAlignment="1">
      <alignment horizontal="right" wrapText="1"/>
    </xf>
    <xf numFmtId="3" fontId="35" fillId="0" borderId="62" xfId="0" applyNumberFormat="1" applyFont="1" applyBorder="1"/>
    <xf numFmtId="0" fontId="38" fillId="0" borderId="38" xfId="48" applyFont="1" applyBorder="1" applyAlignment="1">
      <alignment horizontal="left"/>
    </xf>
    <xf numFmtId="3" fontId="38" fillId="26" borderId="28" xfId="0" applyNumberFormat="1" applyFont="1" applyFill="1" applyBorder="1"/>
    <xf numFmtId="3" fontId="37" fillId="26" borderId="14" xfId="46" applyNumberFormat="1" applyFont="1" applyFill="1" applyBorder="1" applyProtection="1">
      <protection locked="0"/>
    </xf>
    <xf numFmtId="0" fontId="38" fillId="0" borderId="0" xfId="50" applyFont="1" applyAlignment="1">
      <alignment horizontal="center"/>
    </xf>
    <xf numFmtId="0" fontId="36" fillId="0" borderId="0" xfId="50" applyFont="1" applyAlignment="1">
      <alignment horizontal="right"/>
    </xf>
    <xf numFmtId="0" fontId="36" fillId="0" borderId="18" xfId="50" applyFont="1" applyBorder="1" applyAlignment="1">
      <alignment horizontal="center"/>
    </xf>
    <xf numFmtId="0" fontId="35" fillId="0" borderId="67" xfId="50" applyFont="1" applyBorder="1"/>
    <xf numFmtId="3" fontId="35" fillId="0" borderId="63" xfId="50" applyNumberFormat="1" applyFont="1" applyBorder="1"/>
    <xf numFmtId="0" fontId="35" fillId="0" borderId="19" xfId="50" applyFont="1" applyBorder="1"/>
    <xf numFmtId="3" fontId="35" fillId="0" borderId="21" xfId="50" applyNumberFormat="1" applyFont="1" applyBorder="1"/>
    <xf numFmtId="3" fontId="39" fillId="0" borderId="28" xfId="50" applyNumberFormat="1" applyFont="1" applyBorder="1"/>
    <xf numFmtId="0" fontId="35" fillId="0" borderId="11" xfId="50" applyFont="1" applyBorder="1" applyAlignment="1">
      <alignment horizontal="justify"/>
    </xf>
    <xf numFmtId="3" fontId="35" fillId="0" borderId="26" xfId="50" applyNumberFormat="1" applyFont="1" applyBorder="1"/>
    <xf numFmtId="3" fontId="35" fillId="0" borderId="18" xfId="50" applyNumberFormat="1" applyFont="1" applyBorder="1"/>
    <xf numFmtId="0" fontId="35" fillId="0" borderId="21" xfId="50" applyFont="1" applyBorder="1" applyAlignment="1">
      <alignment horizontal="justify"/>
    </xf>
    <xf numFmtId="0" fontId="35" fillId="0" borderId="15" xfId="50" applyFont="1" applyBorder="1" applyAlignment="1">
      <alignment horizontal="justify"/>
    </xf>
    <xf numFmtId="0" fontId="36" fillId="0" borderId="15" xfId="0" applyFont="1" applyBorder="1" applyAlignment="1">
      <alignment horizontal="center"/>
    </xf>
    <xf numFmtId="0" fontId="36" fillId="0" borderId="64" xfId="0" applyFont="1" applyBorder="1" applyAlignment="1">
      <alignment horizontal="center" wrapText="1"/>
    </xf>
    <xf numFmtId="0" fontId="36" fillId="0" borderId="72" xfId="0" applyFont="1" applyBorder="1" applyAlignment="1">
      <alignment horizontal="center" wrapText="1"/>
    </xf>
    <xf numFmtId="0" fontId="38" fillId="0" borderId="73" xfId="0" applyFont="1" applyBorder="1"/>
    <xf numFmtId="0" fontId="36" fillId="0" borderId="73" xfId="0" applyFont="1" applyBorder="1"/>
    <xf numFmtId="0" fontId="36" fillId="0" borderId="74" xfId="0" applyFont="1" applyBorder="1"/>
    <xf numFmtId="3" fontId="35" fillId="0" borderId="70" xfId="0" applyNumberFormat="1" applyFont="1" applyBorder="1"/>
    <xf numFmtId="3" fontId="35" fillId="0" borderId="70" xfId="0" applyNumberFormat="1" applyFont="1" applyBorder="1" applyAlignment="1">
      <alignment horizontal="right"/>
    </xf>
    <xf numFmtId="3" fontId="35" fillId="0" borderId="75" xfId="0" applyNumberFormat="1" applyFont="1" applyBorder="1"/>
    <xf numFmtId="3" fontId="35" fillId="0" borderId="54" xfId="0" applyNumberFormat="1" applyFont="1" applyBorder="1"/>
    <xf numFmtId="3" fontId="35" fillId="0" borderId="76" xfId="0" applyNumberFormat="1" applyFont="1" applyBorder="1"/>
    <xf numFmtId="3" fontId="35" fillId="0" borderId="45" xfId="0" applyNumberFormat="1" applyFont="1" applyBorder="1"/>
    <xf numFmtId="3" fontId="35" fillId="0" borderId="77" xfId="0" applyNumberFormat="1" applyFont="1" applyBorder="1"/>
    <xf numFmtId="3" fontId="35" fillId="0" borderId="77" xfId="0" applyNumberFormat="1" applyFont="1" applyBorder="1" applyAlignment="1">
      <alignment horizontal="right"/>
    </xf>
    <xf numFmtId="3" fontId="35" fillId="0" borderId="73" xfId="0" applyNumberFormat="1" applyFont="1" applyBorder="1"/>
    <xf numFmtId="3" fontId="39" fillId="0" borderId="73" xfId="0" applyNumberFormat="1" applyFont="1" applyBorder="1" applyAlignment="1">
      <alignment horizontal="right"/>
    </xf>
    <xf numFmtId="3" fontId="35" fillId="0" borderId="74" xfId="0" applyNumberFormat="1" applyFont="1" applyBorder="1"/>
    <xf numFmtId="3" fontId="35" fillId="0" borderId="0" xfId="0" applyNumberFormat="1" applyFont="1" applyProtection="1">
      <protection locked="0"/>
    </xf>
    <xf numFmtId="0" fontId="60" fillId="0" borderId="47" xfId="0" applyFont="1" applyBorder="1" applyAlignment="1">
      <alignment horizontal="justify"/>
    </xf>
    <xf numFmtId="3" fontId="37" fillId="0" borderId="60" xfId="0" applyNumberFormat="1" applyFont="1" applyBorder="1"/>
    <xf numFmtId="3" fontId="37" fillId="0" borderId="12" xfId="0" applyNumberFormat="1" applyFont="1" applyBorder="1"/>
    <xf numFmtId="3" fontId="61" fillId="0" borderId="0" xfId="47" applyNumberFormat="1" applyFont="1"/>
    <xf numFmtId="3" fontId="61" fillId="0" borderId="0" xfId="47" applyNumberFormat="1" applyFont="1" applyAlignment="1">
      <alignment horizontal="right"/>
    </xf>
    <xf numFmtId="3" fontId="61" fillId="0" borderId="0" xfId="47" applyNumberFormat="1" applyFont="1" applyAlignment="1">
      <alignment horizontal="center"/>
    </xf>
    <xf numFmtId="3" fontId="62" fillId="0" borderId="0" xfId="47" applyNumberFormat="1" applyFont="1"/>
    <xf numFmtId="0" fontId="61" fillId="0" borderId="0" xfId="47" applyFont="1"/>
    <xf numFmtId="3" fontId="62" fillId="0" borderId="0" xfId="47" applyNumberFormat="1" applyFont="1" applyAlignment="1">
      <alignment horizontal="right"/>
    </xf>
    <xf numFmtId="3" fontId="61" fillId="0" borderId="17" xfId="47" applyNumberFormat="1" applyFont="1" applyBorder="1" applyAlignment="1">
      <alignment horizontal="center" vertical="center" wrapText="1"/>
    </xf>
    <xf numFmtId="3" fontId="62" fillId="0" borderId="0" xfId="47" applyNumberFormat="1" applyFont="1" applyAlignment="1">
      <alignment horizontal="justify"/>
    </xf>
    <xf numFmtId="3" fontId="61" fillId="0" borderId="18" xfId="47" applyNumberFormat="1" applyFont="1" applyBorder="1" applyAlignment="1">
      <alignment horizontal="center" vertical="center" wrapText="1"/>
    </xf>
    <xf numFmtId="3" fontId="61" fillId="0" borderId="20" xfId="47" applyNumberFormat="1" applyFont="1" applyBorder="1" applyAlignment="1">
      <alignment horizontal="center"/>
    </xf>
    <xf numFmtId="3" fontId="61" fillId="0" borderId="19" xfId="47" applyNumberFormat="1" applyFont="1" applyBorder="1"/>
    <xf numFmtId="3" fontId="61" fillId="0" borderId="20" xfId="47" applyNumberFormat="1" applyFont="1" applyBorder="1"/>
    <xf numFmtId="3" fontId="61" fillId="0" borderId="30" xfId="47" applyNumberFormat="1" applyFont="1" applyBorder="1"/>
    <xf numFmtId="3" fontId="61" fillId="0" borderId="19" xfId="47" applyNumberFormat="1" applyFont="1" applyBorder="1" applyAlignment="1">
      <alignment wrapText="1"/>
    </xf>
    <xf numFmtId="3" fontId="61" fillId="0" borderId="20" xfId="47" applyNumberFormat="1" applyFont="1" applyBorder="1" applyAlignment="1">
      <alignment wrapText="1"/>
    </xf>
    <xf numFmtId="3" fontId="61" fillId="0" borderId="30" xfId="47" applyNumberFormat="1" applyFont="1" applyBorder="1" applyAlignment="1">
      <alignment wrapText="1"/>
    </xf>
    <xf numFmtId="3" fontId="61" fillId="0" borderId="21" xfId="47" applyNumberFormat="1" applyFont="1" applyBorder="1" applyAlignment="1">
      <alignment vertical="center" wrapText="1"/>
    </xf>
    <xf numFmtId="3" fontId="63" fillId="0" borderId="21" xfId="47" applyNumberFormat="1" applyFont="1" applyBorder="1" applyAlignment="1">
      <alignment horizontal="center" wrapText="1"/>
    </xf>
    <xf numFmtId="3" fontId="62" fillId="0" borderId="0" xfId="47" applyNumberFormat="1" applyFont="1" applyAlignment="1">
      <alignment horizontal="center"/>
    </xf>
    <xf numFmtId="3" fontId="61" fillId="0" borderId="17" xfId="47" applyNumberFormat="1" applyFont="1" applyBorder="1" applyAlignment="1">
      <alignment horizontal="center" vertical="center"/>
    </xf>
    <xf numFmtId="3" fontId="61" fillId="0" borderId="17" xfId="47" applyNumberFormat="1" applyFont="1" applyBorder="1" applyAlignment="1">
      <alignment horizontal="right"/>
    </xf>
    <xf numFmtId="3" fontId="61" fillId="0" borderId="17" xfId="47" applyNumberFormat="1" applyFont="1" applyBorder="1" applyAlignment="1">
      <alignment horizontal="center"/>
    </xf>
    <xf numFmtId="3" fontId="64" fillId="0" borderId="26" xfId="47" applyNumberFormat="1" applyFont="1" applyBorder="1" applyAlignment="1">
      <alignment horizontal="left"/>
    </xf>
    <xf numFmtId="3" fontId="64" fillId="0" borderId="26" xfId="47" applyNumberFormat="1" applyFont="1" applyBorder="1" applyAlignment="1">
      <alignment horizontal="right"/>
    </xf>
    <xf numFmtId="3" fontId="61" fillId="0" borderId="26" xfId="47" applyNumberFormat="1" applyFont="1" applyBorder="1" applyAlignment="1">
      <alignment horizontal="right"/>
    </xf>
    <xf numFmtId="3" fontId="64" fillId="0" borderId="41" xfId="47" applyNumberFormat="1" applyFont="1" applyBorder="1" applyAlignment="1">
      <alignment horizontal="left"/>
    </xf>
    <xf numFmtId="3" fontId="64" fillId="0" borderId="32" xfId="47" applyNumberFormat="1" applyFont="1" applyBorder="1" applyAlignment="1">
      <alignment horizontal="left"/>
    </xf>
    <xf numFmtId="3" fontId="64" fillId="0" borderId="18" xfId="47" applyNumberFormat="1" applyFont="1" applyBorder="1" applyAlignment="1">
      <alignment horizontal="right"/>
    </xf>
    <xf numFmtId="3" fontId="61" fillId="0" borderId="32" xfId="47" applyNumberFormat="1" applyFont="1" applyBorder="1" applyAlignment="1">
      <alignment horizontal="right"/>
    </xf>
    <xf numFmtId="3" fontId="61" fillId="0" borderId="19" xfId="47" applyNumberFormat="1" applyFont="1" applyBorder="1" applyAlignment="1">
      <alignment horizontal="left"/>
    </xf>
    <xf numFmtId="3" fontId="61" fillId="0" borderId="28" xfId="47" applyNumberFormat="1" applyFont="1" applyBorder="1" applyAlignment="1">
      <alignment horizontal="right"/>
    </xf>
    <xf numFmtId="3" fontId="61" fillId="0" borderId="19" xfId="47" applyNumberFormat="1" applyFont="1" applyBorder="1" applyAlignment="1">
      <alignment horizontal="right"/>
    </xf>
    <xf numFmtId="3" fontId="64" fillId="0" borderId="45" xfId="47" applyNumberFormat="1" applyFont="1" applyBorder="1" applyAlignment="1">
      <alignment horizontal="left"/>
    </xf>
    <xf numFmtId="3" fontId="64" fillId="0" borderId="28" xfId="47" applyNumberFormat="1" applyFont="1" applyBorder="1" applyAlignment="1">
      <alignment horizontal="right"/>
    </xf>
    <xf numFmtId="3" fontId="61" fillId="0" borderId="35" xfId="47" applyNumberFormat="1" applyFont="1" applyBorder="1" applyAlignment="1">
      <alignment horizontal="right"/>
    </xf>
    <xf numFmtId="3" fontId="61" fillId="0" borderId="45" xfId="47" applyNumberFormat="1" applyFont="1" applyBorder="1" applyAlignment="1">
      <alignment horizontal="left"/>
    </xf>
    <xf numFmtId="3" fontId="61" fillId="0" borderId="18" xfId="47" applyNumberFormat="1" applyFont="1" applyBorder="1" applyAlignment="1">
      <alignment horizontal="right"/>
    </xf>
    <xf numFmtId="3" fontId="61" fillId="0" borderId="18" xfId="47" applyNumberFormat="1" applyFont="1" applyBorder="1" applyAlignment="1">
      <alignment horizontal="center" vertical="center"/>
    </xf>
    <xf numFmtId="3" fontId="65" fillId="0" borderId="0" xfId="47" applyNumberFormat="1" applyFont="1" applyAlignment="1">
      <alignment horizontal="center"/>
    </xf>
    <xf numFmtId="3" fontId="61" fillId="0" borderId="29" xfId="47" applyNumberFormat="1" applyFont="1" applyBorder="1" applyAlignment="1">
      <alignment horizontal="right"/>
    </xf>
    <xf numFmtId="3" fontId="65" fillId="0" borderId="18" xfId="47" applyNumberFormat="1" applyFont="1" applyBorder="1" applyAlignment="1">
      <alignment horizontal="center"/>
    </xf>
    <xf numFmtId="3" fontId="64" fillId="0" borderId="18" xfId="47" applyNumberFormat="1" applyFont="1" applyBorder="1" applyAlignment="1">
      <alignment horizontal="justify"/>
    </xf>
    <xf numFmtId="3" fontId="61" fillId="0" borderId="21" xfId="47" applyNumberFormat="1" applyFont="1" applyBorder="1" applyAlignment="1">
      <alignment horizontal="right"/>
    </xf>
    <xf numFmtId="3" fontId="64" fillId="0" borderId="41" xfId="47" applyNumberFormat="1" applyFont="1" applyBorder="1" applyAlignment="1">
      <alignment horizontal="right"/>
    </xf>
    <xf numFmtId="3" fontId="64" fillId="0" borderId="18" xfId="47" applyNumberFormat="1" applyFont="1" applyBorder="1" applyAlignment="1">
      <alignment horizontal="left"/>
    </xf>
    <xf numFmtId="3" fontId="64" fillId="0" borderId="39" xfId="47" applyNumberFormat="1" applyFont="1" applyBorder="1" applyAlignment="1">
      <alignment horizontal="right"/>
    </xf>
    <xf numFmtId="3" fontId="61" fillId="0" borderId="28" xfId="47" applyNumberFormat="1" applyFont="1" applyBorder="1" applyAlignment="1">
      <alignment horizontal="left"/>
    </xf>
    <xf numFmtId="3" fontId="65" fillId="0" borderId="17" xfId="47" applyNumberFormat="1" applyFont="1" applyBorder="1" applyAlignment="1">
      <alignment horizontal="center"/>
    </xf>
    <xf numFmtId="3" fontId="64" fillId="0" borderId="21" xfId="47" applyNumberFormat="1" applyFont="1" applyBorder="1" applyAlignment="1">
      <alignment horizontal="right"/>
    </xf>
    <xf numFmtId="3" fontId="61" fillId="0" borderId="15" xfId="47" applyNumberFormat="1" applyFont="1" applyBorder="1" applyAlignment="1">
      <alignment horizontal="right"/>
    </xf>
    <xf numFmtId="3" fontId="61" fillId="0" borderId="61" xfId="47" applyNumberFormat="1" applyFont="1" applyBorder="1" applyAlignment="1">
      <alignment horizontal="right"/>
    </xf>
    <xf numFmtId="3" fontId="64" fillId="0" borderId="14" xfId="47" applyNumberFormat="1" applyFont="1" applyBorder="1" applyAlignment="1">
      <alignment horizontal="left"/>
    </xf>
    <xf numFmtId="3" fontId="64" fillId="0" borderId="19" xfId="47" applyNumberFormat="1" applyFont="1" applyBorder="1" applyAlignment="1">
      <alignment horizontal="right"/>
    </xf>
    <xf numFmtId="3" fontId="64" fillId="0" borderId="30" xfId="47" applyNumberFormat="1" applyFont="1" applyBorder="1" applyAlignment="1">
      <alignment horizontal="right"/>
    </xf>
    <xf numFmtId="3" fontId="64" fillId="0" borderId="21" xfId="47" applyNumberFormat="1" applyFont="1" applyBorder="1" applyAlignment="1">
      <alignment horizontal="left"/>
    </xf>
    <xf numFmtId="3" fontId="61" fillId="0" borderId="11" xfId="47" applyNumberFormat="1" applyFont="1" applyBorder="1" applyAlignment="1">
      <alignment horizontal="right"/>
    </xf>
    <xf numFmtId="3" fontId="64" fillId="0" borderId="26" xfId="47" applyNumberFormat="1" applyFont="1" applyBorder="1" applyAlignment="1">
      <alignment horizontal="justify"/>
    </xf>
    <xf numFmtId="3" fontId="64" fillId="0" borderId="75" xfId="47" applyNumberFormat="1" applyFont="1" applyBorder="1" applyAlignment="1">
      <alignment horizontal="right"/>
    </xf>
    <xf numFmtId="3" fontId="64" fillId="0" borderId="32" xfId="47" applyNumberFormat="1" applyFont="1" applyBorder="1" applyAlignment="1">
      <alignment horizontal="left" vertical="center"/>
    </xf>
    <xf numFmtId="3" fontId="64" fillId="0" borderId="32" xfId="47" applyNumberFormat="1" applyFont="1" applyBorder="1" applyAlignment="1">
      <alignment horizontal="right"/>
    </xf>
    <xf numFmtId="3" fontId="64" fillId="0" borderId="44" xfId="47" applyNumberFormat="1" applyFont="1" applyBorder="1" applyAlignment="1">
      <alignment horizontal="right"/>
    </xf>
    <xf numFmtId="3" fontId="61" fillId="0" borderId="44" xfId="47" applyNumberFormat="1" applyFont="1" applyBorder="1" applyAlignment="1">
      <alignment horizontal="right"/>
    </xf>
    <xf numFmtId="3" fontId="62" fillId="0" borderId="20" xfId="47" applyNumberFormat="1" applyFont="1" applyBorder="1" applyAlignment="1">
      <alignment horizontal="justify"/>
    </xf>
    <xf numFmtId="3" fontId="61" fillId="0" borderId="18" xfId="47" applyNumberFormat="1" applyFont="1" applyBorder="1" applyAlignment="1">
      <alignment horizontal="left"/>
    </xf>
    <xf numFmtId="3" fontId="61" fillId="0" borderId="28" xfId="47" applyNumberFormat="1" applyFont="1" applyBorder="1" applyAlignment="1">
      <alignment horizontal="left" vertical="center"/>
    </xf>
    <xf numFmtId="3" fontId="61" fillId="0" borderId="21" xfId="47" applyNumberFormat="1" applyFont="1" applyBorder="1" applyAlignment="1">
      <alignment horizontal="left" vertical="center"/>
    </xf>
    <xf numFmtId="3" fontId="61" fillId="0" borderId="20" xfId="47" applyNumberFormat="1" applyFont="1" applyBorder="1" applyAlignment="1">
      <alignment horizontal="right"/>
    </xf>
    <xf numFmtId="3" fontId="66" fillId="0" borderId="0" xfId="47" applyNumberFormat="1" applyFont="1"/>
    <xf numFmtId="3" fontId="64" fillId="0" borderId="0" xfId="47" applyNumberFormat="1" applyFont="1" applyAlignment="1">
      <alignment horizontal="right"/>
    </xf>
    <xf numFmtId="3" fontId="67" fillId="0" borderId="0" xfId="47" applyNumberFormat="1" applyFont="1"/>
    <xf numFmtId="3" fontId="68" fillId="0" borderId="0" xfId="47" applyNumberFormat="1" applyFont="1"/>
    <xf numFmtId="3" fontId="68" fillId="0" borderId="0" xfId="47" applyNumberFormat="1" applyFont="1" applyAlignment="1">
      <alignment horizontal="center"/>
    </xf>
    <xf numFmtId="3" fontId="61" fillId="0" borderId="0" xfId="47" applyNumberFormat="1" applyFont="1" applyAlignment="1">
      <alignment horizontal="center" vertical="center"/>
    </xf>
    <xf numFmtId="3" fontId="68" fillId="0" borderId="0" xfId="47" applyNumberFormat="1" applyFont="1" applyAlignment="1">
      <alignment horizontal="justify"/>
    </xf>
    <xf numFmtId="3" fontId="61" fillId="0" borderId="21" xfId="47" applyNumberFormat="1" applyFont="1" applyBorder="1" applyAlignment="1">
      <alignment vertical="center"/>
    </xf>
    <xf numFmtId="3" fontId="64" fillId="0" borderId="26" xfId="47" applyNumberFormat="1" applyFont="1" applyBorder="1"/>
    <xf numFmtId="3" fontId="69" fillId="0" borderId="26" xfId="47" applyNumberFormat="1" applyFont="1" applyBorder="1" applyAlignment="1">
      <alignment horizontal="right"/>
    </xf>
    <xf numFmtId="3" fontId="64" fillId="0" borderId="32" xfId="47" applyNumberFormat="1" applyFont="1" applyBorder="1" applyAlignment="1">
      <alignment horizontal="right" vertical="center"/>
    </xf>
    <xf numFmtId="3" fontId="68" fillId="0" borderId="20" xfId="47" applyNumberFormat="1" applyFont="1" applyBorder="1"/>
    <xf numFmtId="3" fontId="61" fillId="0" borderId="21" xfId="47" applyNumberFormat="1" applyFont="1" applyBorder="1" applyAlignment="1">
      <alignment horizontal="left"/>
    </xf>
    <xf numFmtId="3" fontId="67" fillId="0" borderId="0" xfId="47" applyNumberFormat="1" applyFont="1" applyAlignment="1">
      <alignment horizontal="right"/>
    </xf>
    <xf numFmtId="0" fontId="71" fillId="0" borderId="0" xfId="56" applyFont="1"/>
    <xf numFmtId="0" fontId="72" fillId="0" borderId="0" xfId="57" applyFont="1"/>
    <xf numFmtId="0" fontId="73" fillId="0" borderId="0" xfId="56" applyFont="1"/>
    <xf numFmtId="0" fontId="59" fillId="0" borderId="0" xfId="56" applyFont="1" applyAlignment="1">
      <alignment horizontal="center"/>
    </xf>
    <xf numFmtId="0" fontId="74" fillId="0" borderId="0" xfId="56" applyFont="1"/>
    <xf numFmtId="0" fontId="29" fillId="0" borderId="0" xfId="57"/>
    <xf numFmtId="0" fontId="73" fillId="0" borderId="17" xfId="56" applyFont="1" applyBorder="1"/>
    <xf numFmtId="0" fontId="76" fillId="0" borderId="0" xfId="57" applyFont="1"/>
    <xf numFmtId="3" fontId="73" fillId="0" borderId="18" xfId="58" applyNumberFormat="1" applyFont="1" applyBorder="1" applyAlignment="1">
      <alignment horizontal="center"/>
    </xf>
    <xf numFmtId="4" fontId="73" fillId="0" borderId="29" xfId="56" applyNumberFormat="1" applyFont="1" applyBorder="1" applyAlignment="1">
      <alignment horizontal="center"/>
    </xf>
    <xf numFmtId="3" fontId="73" fillId="0" borderId="21" xfId="58" applyNumberFormat="1" applyFont="1" applyBorder="1" applyAlignment="1">
      <alignment horizontal="left"/>
    </xf>
    <xf numFmtId="4" fontId="73" fillId="0" borderId="21" xfId="56" applyNumberFormat="1" applyFont="1" applyBorder="1" applyAlignment="1">
      <alignment horizontal="center"/>
    </xf>
    <xf numFmtId="3" fontId="73" fillId="0" borderId="21" xfId="56" applyNumberFormat="1" applyFont="1" applyBorder="1" applyAlignment="1">
      <alignment horizontal="center"/>
    </xf>
    <xf numFmtId="4" fontId="73" fillId="0" borderId="28" xfId="56" applyNumberFormat="1" applyFont="1" applyBorder="1" applyAlignment="1">
      <alignment horizontal="center"/>
    </xf>
    <xf numFmtId="3" fontId="73" fillId="0" borderId="28" xfId="56" applyNumberFormat="1" applyFont="1" applyBorder="1" applyAlignment="1">
      <alignment horizontal="center"/>
    </xf>
    <xf numFmtId="4" fontId="77" fillId="0" borderId="18" xfId="56" applyNumberFormat="1" applyFont="1" applyBorder="1" applyAlignment="1">
      <alignment horizontal="center"/>
    </xf>
    <xf numFmtId="4" fontId="41" fillId="0" borderId="17" xfId="56" applyNumberFormat="1" applyFont="1" applyBorder="1" applyAlignment="1">
      <alignment horizontal="justify"/>
    </xf>
    <xf numFmtId="4" fontId="41" fillId="0" borderId="61" xfId="56" applyNumberFormat="1" applyFont="1" applyBorder="1" applyAlignment="1">
      <alignment horizontal="justify"/>
    </xf>
    <xf numFmtId="0" fontId="78" fillId="0" borderId="17" xfId="0" applyFont="1" applyBorder="1" applyAlignment="1">
      <alignment horizontal="center" vertical="center" wrapText="1"/>
    </xf>
    <xf numFmtId="0" fontId="79" fillId="0" borderId="0" xfId="56" applyFont="1" applyAlignment="1">
      <alignment horizontal="justify"/>
    </xf>
    <xf numFmtId="0" fontId="29" fillId="0" borderId="0" xfId="57" applyAlignment="1">
      <alignment horizontal="justify"/>
    </xf>
    <xf numFmtId="3" fontId="80" fillId="0" borderId="26" xfId="0" applyNumberFormat="1" applyFont="1" applyBorder="1" applyAlignment="1">
      <alignment horizontal="left"/>
    </xf>
    <xf numFmtId="4" fontId="81" fillId="0" borderId="18" xfId="56" applyNumberFormat="1" applyFont="1" applyBorder="1"/>
    <xf numFmtId="3" fontId="81" fillId="0" borderId="29" xfId="56" applyNumberFormat="1" applyFont="1" applyBorder="1"/>
    <xf numFmtId="4" fontId="81" fillId="0" borderId="29" xfId="56" applyNumberFormat="1" applyFont="1" applyBorder="1"/>
    <xf numFmtId="4" fontId="81" fillId="0" borderId="0" xfId="56" applyNumberFormat="1" applyFont="1"/>
    <xf numFmtId="4" fontId="75" fillId="0" borderId="29" xfId="56" applyNumberFormat="1" applyFont="1" applyBorder="1"/>
    <xf numFmtId="3" fontId="75" fillId="0" borderId="29" xfId="56" applyNumberFormat="1" applyFont="1" applyBorder="1"/>
    <xf numFmtId="0" fontId="79" fillId="0" borderId="0" xfId="56" applyFont="1"/>
    <xf numFmtId="3" fontId="80" fillId="0" borderId="41" xfId="0" applyNumberFormat="1" applyFont="1" applyBorder="1" applyAlignment="1">
      <alignment horizontal="left"/>
    </xf>
    <xf numFmtId="4" fontId="81" fillId="0" borderId="41" xfId="56" applyNumberFormat="1" applyFont="1" applyBorder="1"/>
    <xf numFmtId="3" fontId="81" fillId="0" borderId="78" xfId="56" applyNumberFormat="1" applyFont="1" applyBorder="1"/>
    <xf numFmtId="4" fontId="81" fillId="0" borderId="57" xfId="56" applyNumberFormat="1" applyFont="1" applyBorder="1"/>
    <xf numFmtId="4" fontId="81" fillId="0" borderId="39" xfId="56" applyNumberFormat="1" applyFont="1" applyBorder="1"/>
    <xf numFmtId="4" fontId="81" fillId="0" borderId="78" xfId="56" applyNumberFormat="1" applyFont="1" applyBorder="1"/>
    <xf numFmtId="3" fontId="81" fillId="0" borderId="68" xfId="56" applyNumberFormat="1" applyFont="1" applyBorder="1"/>
    <xf numFmtId="4" fontId="81" fillId="0" borderId="54" xfId="56" applyNumberFormat="1" applyFont="1" applyBorder="1"/>
    <xf numFmtId="3" fontId="81" fillId="0" borderId="39" xfId="56" applyNumberFormat="1" applyFont="1" applyBorder="1"/>
    <xf numFmtId="4" fontId="75" fillId="0" borderId="78" xfId="56" applyNumberFormat="1" applyFont="1" applyBorder="1"/>
    <xf numFmtId="3" fontId="75" fillId="0" borderId="78" xfId="56" applyNumberFormat="1" applyFont="1" applyBorder="1"/>
    <xf numFmtId="4" fontId="58" fillId="0" borderId="41" xfId="56" applyNumberFormat="1" applyFont="1" applyBorder="1"/>
    <xf numFmtId="4" fontId="81" fillId="0" borderId="68" xfId="56" applyNumberFormat="1" applyFont="1" applyBorder="1"/>
    <xf numFmtId="3" fontId="81" fillId="0" borderId="41" xfId="56" applyNumberFormat="1" applyFont="1" applyBorder="1"/>
    <xf numFmtId="4" fontId="75" fillId="0" borderId="68" xfId="56" applyNumberFormat="1" applyFont="1" applyBorder="1"/>
    <xf numFmtId="3" fontId="75" fillId="0" borderId="68" xfId="56" applyNumberFormat="1" applyFont="1" applyBorder="1"/>
    <xf numFmtId="4" fontId="81" fillId="0" borderId="11" xfId="56" applyNumberFormat="1" applyFont="1" applyBorder="1"/>
    <xf numFmtId="3" fontId="81" fillId="0" borderId="18" xfId="56" applyNumberFormat="1" applyFont="1" applyBorder="1"/>
    <xf numFmtId="4" fontId="81" fillId="0" borderId="39" xfId="56" applyNumberFormat="1" applyFont="1" applyBorder="1" applyAlignment="1">
      <alignment horizontal="justify"/>
    </xf>
    <xf numFmtId="4" fontId="70" fillId="0" borderId="54" xfId="56" applyNumberFormat="1" applyFont="1" applyBorder="1"/>
    <xf numFmtId="4" fontId="81" fillId="0" borderId="62" xfId="56" applyNumberFormat="1" applyFont="1" applyBorder="1"/>
    <xf numFmtId="4" fontId="81" fillId="0" borderId="26" xfId="56" applyNumberFormat="1" applyFont="1" applyBorder="1"/>
    <xf numFmtId="4" fontId="81" fillId="0" borderId="10" xfId="56" applyNumberFormat="1" applyFont="1" applyBorder="1"/>
    <xf numFmtId="3" fontId="81" fillId="0" borderId="10" xfId="56" applyNumberFormat="1" applyFont="1" applyBorder="1"/>
    <xf numFmtId="3" fontId="81" fillId="0" borderId="26" xfId="56" applyNumberFormat="1" applyFont="1" applyBorder="1"/>
    <xf numFmtId="4" fontId="75" fillId="0" borderId="10" xfId="56" applyNumberFormat="1" applyFont="1" applyBorder="1"/>
    <xf numFmtId="3" fontId="75" fillId="0" borderId="10" xfId="56" applyNumberFormat="1" applyFont="1" applyBorder="1"/>
    <xf numFmtId="3" fontId="80" fillId="0" borderId="18" xfId="0" applyNumberFormat="1" applyFont="1" applyBorder="1" applyAlignment="1">
      <alignment horizontal="left"/>
    </xf>
    <xf numFmtId="4" fontId="70" fillId="0" borderId="19" xfId="56" applyNumberFormat="1" applyFont="1" applyBorder="1"/>
    <xf numFmtId="4" fontId="81" fillId="0" borderId="21" xfId="56" applyNumberFormat="1" applyFont="1" applyBorder="1"/>
    <xf numFmtId="4" fontId="70" fillId="0" borderId="0" xfId="56" applyNumberFormat="1" applyFont="1"/>
    <xf numFmtId="3" fontId="81" fillId="0" borderId="21" xfId="56" applyNumberFormat="1" applyFont="1" applyBorder="1"/>
    <xf numFmtId="4" fontId="73" fillId="0" borderId="28" xfId="56" applyNumberFormat="1" applyFont="1" applyBorder="1"/>
    <xf numFmtId="4" fontId="75" fillId="0" borderId="28" xfId="56" applyNumberFormat="1" applyFont="1" applyBorder="1"/>
    <xf numFmtId="3" fontId="75" fillId="0" borderId="28" xfId="56" applyNumberFormat="1" applyFont="1" applyBorder="1"/>
    <xf numFmtId="4" fontId="80" fillId="0" borderId="28" xfId="56" applyNumberFormat="1" applyFont="1" applyBorder="1"/>
    <xf numFmtId="3" fontId="81" fillId="0" borderId="28" xfId="56" applyNumberFormat="1" applyFont="1" applyBorder="1"/>
    <xf numFmtId="4" fontId="75" fillId="0" borderId="36" xfId="56" applyNumberFormat="1" applyFont="1" applyBorder="1"/>
    <xf numFmtId="3" fontId="75" fillId="0" borderId="36" xfId="56" applyNumberFormat="1" applyFont="1" applyBorder="1"/>
    <xf numFmtId="4" fontId="77" fillId="0" borderId="17" xfId="56" applyNumberFormat="1" applyFont="1" applyBorder="1" applyAlignment="1">
      <alignment horizontal="center"/>
    </xf>
    <xf numFmtId="4" fontId="75" fillId="0" borderId="17" xfId="56" applyNumberFormat="1" applyFont="1" applyBorder="1"/>
    <xf numFmtId="4" fontId="75" fillId="0" borderId="0" xfId="56" applyNumberFormat="1" applyFont="1"/>
    <xf numFmtId="4" fontId="75" fillId="0" borderId="18" xfId="56" applyNumberFormat="1" applyFont="1" applyBorder="1"/>
    <xf numFmtId="4" fontId="75" fillId="0" borderId="26" xfId="56" applyNumberFormat="1" applyFont="1" applyBorder="1"/>
    <xf numFmtId="4" fontId="81" fillId="0" borderId="40" xfId="56" applyNumberFormat="1" applyFont="1" applyBorder="1"/>
    <xf numFmtId="3" fontId="81" fillId="0" borderId="40" xfId="56" applyNumberFormat="1" applyFont="1" applyBorder="1"/>
    <xf numFmtId="3" fontId="80" fillId="0" borderId="32" xfId="0" applyNumberFormat="1" applyFont="1" applyBorder="1" applyAlignment="1">
      <alignment horizontal="left"/>
    </xf>
    <xf numFmtId="4" fontId="81" fillId="0" borderId="32" xfId="56" applyNumberFormat="1" applyFont="1" applyBorder="1"/>
    <xf numFmtId="3" fontId="81" fillId="0" borderId="0" xfId="56" applyNumberFormat="1" applyFont="1"/>
    <xf numFmtId="4" fontId="75" fillId="0" borderId="61" xfId="56" applyNumberFormat="1" applyFont="1" applyBorder="1"/>
    <xf numFmtId="3" fontId="80" fillId="0" borderId="14" xfId="0" applyNumberFormat="1" applyFont="1" applyBorder="1" applyAlignment="1">
      <alignment horizontal="left" wrapText="1"/>
    </xf>
    <xf numFmtId="3" fontId="70" fillId="0" borderId="29" xfId="56" applyNumberFormat="1" applyFont="1" applyBorder="1"/>
    <xf numFmtId="3" fontId="80" fillId="0" borderId="14" xfId="0" applyNumberFormat="1" applyFont="1" applyBorder="1" applyAlignment="1">
      <alignment horizontal="left"/>
    </xf>
    <xf numFmtId="3" fontId="81" fillId="0" borderId="30" xfId="56" applyNumberFormat="1" applyFont="1" applyBorder="1"/>
    <xf numFmtId="4" fontId="81" fillId="0" borderId="30" xfId="56" applyNumberFormat="1" applyFont="1" applyBorder="1"/>
    <xf numFmtId="4" fontId="75" fillId="0" borderId="30" xfId="56" applyNumberFormat="1" applyFont="1" applyBorder="1"/>
    <xf numFmtId="3" fontId="75" fillId="0" borderId="30" xfId="56" applyNumberFormat="1" applyFont="1" applyBorder="1"/>
    <xf numFmtId="4" fontId="70" fillId="0" borderId="29" xfId="56" applyNumberFormat="1" applyFont="1" applyBorder="1"/>
    <xf numFmtId="0" fontId="80" fillId="0" borderId="41" xfId="0" applyFont="1" applyBorder="1" applyAlignment="1">
      <alignment horizontal="left"/>
    </xf>
    <xf numFmtId="3" fontId="81" fillId="0" borderId="27" xfId="56" applyNumberFormat="1" applyFont="1" applyBorder="1"/>
    <xf numFmtId="4" fontId="81" fillId="0" borderId="27" xfId="56" applyNumberFormat="1" applyFont="1" applyBorder="1"/>
    <xf numFmtId="3" fontId="75" fillId="0" borderId="27" xfId="56" applyNumberFormat="1" applyFont="1" applyBorder="1"/>
    <xf numFmtId="4" fontId="75" fillId="0" borderId="32" xfId="56" applyNumberFormat="1" applyFont="1" applyBorder="1"/>
    <xf numFmtId="4" fontId="75" fillId="0" borderId="27" xfId="56" applyNumberFormat="1" applyFont="1" applyBorder="1"/>
    <xf numFmtId="4" fontId="73" fillId="0" borderId="21" xfId="56" applyNumberFormat="1" applyFont="1" applyBorder="1"/>
    <xf numFmtId="4" fontId="73" fillId="0" borderId="21" xfId="56" applyNumberFormat="1" applyFont="1" applyBorder="1" applyAlignment="1">
      <alignment horizontal="left"/>
    </xf>
    <xf numFmtId="0" fontId="41" fillId="0" borderId="0" xfId="56" applyFont="1"/>
    <xf numFmtId="0" fontId="82" fillId="0" borderId="0" xfId="57" applyFont="1"/>
    <xf numFmtId="0" fontId="83" fillId="0" borderId="0" xfId="60" applyFont="1"/>
    <xf numFmtId="0" fontId="85" fillId="0" borderId="0" xfId="60" applyFont="1"/>
    <xf numFmtId="0" fontId="85" fillId="0" borderId="0" xfId="60" applyFont="1" applyAlignment="1">
      <alignment wrapText="1"/>
    </xf>
    <xf numFmtId="3" fontId="83" fillId="0" borderId="0" xfId="60" applyNumberFormat="1" applyFont="1"/>
    <xf numFmtId="0" fontId="30" fillId="0" borderId="67" xfId="60" applyFont="1" applyBorder="1" applyAlignment="1">
      <alignment horizontal="center" wrapText="1"/>
    </xf>
    <xf numFmtId="3" fontId="84" fillId="0" borderId="79" xfId="60" applyNumberFormat="1" applyFont="1" applyBorder="1" applyAlignment="1">
      <alignment horizontal="center" vertical="center" wrapText="1"/>
    </xf>
    <xf numFmtId="0" fontId="86" fillId="0" borderId="0" xfId="60" applyFont="1"/>
    <xf numFmtId="0" fontId="24" fillId="0" borderId="57" xfId="60" applyFont="1" applyBorder="1" applyAlignment="1">
      <alignment wrapText="1"/>
    </xf>
    <xf numFmtId="3" fontId="87" fillId="0" borderId="80" xfId="60" applyNumberFormat="1" applyFont="1" applyBorder="1"/>
    <xf numFmtId="0" fontId="88" fillId="0" borderId="0" xfId="60" applyFont="1"/>
    <xf numFmtId="0" fontId="89" fillId="0" borderId="62" xfId="60" applyFont="1" applyBorder="1" applyAlignment="1">
      <alignment wrapText="1"/>
    </xf>
    <xf numFmtId="3" fontId="90" fillId="0" borderId="75" xfId="60" applyNumberFormat="1" applyFont="1" applyBorder="1"/>
    <xf numFmtId="0" fontId="89" fillId="0" borderId="54" xfId="60" applyFont="1" applyBorder="1" applyAlignment="1">
      <alignment wrapText="1"/>
    </xf>
    <xf numFmtId="3" fontId="90" fillId="0" borderId="76" xfId="60" applyNumberFormat="1" applyFont="1" applyBorder="1"/>
    <xf numFmtId="3" fontId="90" fillId="27" borderId="76" xfId="60" applyNumberFormat="1" applyFont="1" applyFill="1" applyBorder="1"/>
    <xf numFmtId="0" fontId="89" fillId="0" borderId="11" xfId="60" applyFont="1" applyBorder="1" applyAlignment="1">
      <alignment wrapText="1"/>
    </xf>
    <xf numFmtId="0" fontId="24" fillId="29" borderId="81" xfId="60" applyFont="1" applyFill="1" applyBorder="1" applyAlignment="1">
      <alignment wrapText="1"/>
    </xf>
    <xf numFmtId="3" fontId="91" fillId="29" borderId="82" xfId="60" applyNumberFormat="1" applyFont="1" applyFill="1" applyBorder="1"/>
    <xf numFmtId="0" fontId="24" fillId="0" borderId="0" xfId="60" applyFont="1"/>
    <xf numFmtId="0" fontId="24" fillId="0" borderId="11" xfId="60" applyFont="1" applyBorder="1" applyAlignment="1">
      <alignment wrapText="1"/>
    </xf>
    <xf numFmtId="3" fontId="91" fillId="0" borderId="83" xfId="60" applyNumberFormat="1" applyFont="1" applyBorder="1"/>
    <xf numFmtId="0" fontId="92" fillId="0" borderId="11" xfId="60" applyFont="1" applyBorder="1" applyAlignment="1">
      <alignment wrapText="1"/>
    </xf>
    <xf numFmtId="3" fontId="90" fillId="0" borderId="83" xfId="60" applyNumberFormat="1" applyFont="1" applyBorder="1"/>
    <xf numFmtId="0" fontId="93" fillId="0" borderId="62" xfId="60" applyFont="1" applyBorder="1" applyAlignment="1">
      <alignment wrapText="1"/>
    </xf>
    <xf numFmtId="0" fontId="31" fillId="0" borderId="11" xfId="60" applyFont="1" applyBorder="1" applyAlignment="1">
      <alignment wrapText="1"/>
    </xf>
    <xf numFmtId="3" fontId="90" fillId="0" borderId="80" xfId="60" applyNumberFormat="1" applyFont="1" applyBorder="1"/>
    <xf numFmtId="0" fontId="92" fillId="0" borderId="62" xfId="60" applyFont="1" applyBorder="1" applyAlignment="1">
      <alignment wrapText="1"/>
    </xf>
    <xf numFmtId="0" fontId="93" fillId="0" borderId="57" xfId="60" applyFont="1" applyBorder="1" applyAlignment="1">
      <alignment wrapText="1"/>
    </xf>
    <xf numFmtId="0" fontId="94" fillId="0" borderId="11" xfId="60" applyFont="1" applyBorder="1" applyAlignment="1">
      <alignment wrapText="1"/>
    </xf>
    <xf numFmtId="0" fontId="94" fillId="0" borderId="62" xfId="60" applyFont="1" applyBorder="1" applyAlignment="1">
      <alignment wrapText="1"/>
    </xf>
    <xf numFmtId="0" fontId="89" fillId="0" borderId="84" xfId="60" applyFont="1" applyBorder="1" applyAlignment="1">
      <alignment wrapText="1"/>
    </xf>
    <xf numFmtId="3" fontId="90" fillId="0" borderId="85" xfId="60" applyNumberFormat="1" applyFont="1" applyBorder="1"/>
    <xf numFmtId="0" fontId="92" fillId="0" borderId="57" xfId="60" applyFont="1" applyBorder="1" applyAlignment="1">
      <alignment wrapText="1"/>
    </xf>
    <xf numFmtId="3" fontId="95" fillId="0" borderId="80" xfId="60" applyNumberFormat="1" applyFont="1" applyBorder="1"/>
    <xf numFmtId="0" fontId="84" fillId="0" borderId="0" xfId="60" applyFont="1"/>
    <xf numFmtId="3" fontId="90" fillId="29" borderId="82" xfId="60" applyNumberFormat="1" applyFont="1" applyFill="1" applyBorder="1"/>
    <xf numFmtId="0" fontId="25" fillId="0" borderId="0" xfId="60" applyFont="1"/>
    <xf numFmtId="3" fontId="89" fillId="0" borderId="11" xfId="60" applyNumberFormat="1" applyFont="1" applyBorder="1"/>
    <xf numFmtId="3" fontId="90" fillId="27" borderId="75" xfId="60" applyNumberFormat="1" applyFont="1" applyFill="1" applyBorder="1"/>
    <xf numFmtId="0" fontId="89" fillId="27" borderId="54" xfId="60" applyFont="1" applyFill="1" applyBorder="1" applyAlignment="1">
      <alignment wrapText="1"/>
    </xf>
    <xf numFmtId="0" fontId="94" fillId="0" borderId="54" xfId="60" applyFont="1" applyBorder="1" applyAlignment="1">
      <alignment wrapText="1"/>
    </xf>
    <xf numFmtId="0" fontId="96" fillId="0" borderId="54" xfId="60" applyFont="1" applyBorder="1" applyAlignment="1">
      <alignment wrapText="1"/>
    </xf>
    <xf numFmtId="0" fontId="92" fillId="0" borderId="81" xfId="60" applyFont="1" applyBorder="1" applyAlignment="1">
      <alignment wrapText="1"/>
    </xf>
    <xf numFmtId="3" fontId="90" fillId="0" borderId="82" xfId="60" applyNumberFormat="1" applyFont="1" applyBorder="1"/>
    <xf numFmtId="0" fontId="92" fillId="0" borderId="84" xfId="60" applyFont="1" applyBorder="1" applyAlignment="1">
      <alignment wrapText="1"/>
    </xf>
    <xf numFmtId="0" fontId="92" fillId="0" borderId="86" xfId="60" applyFont="1" applyBorder="1" applyAlignment="1">
      <alignment wrapText="1"/>
    </xf>
    <xf numFmtId="3" fontId="90" fillId="0" borderId="87" xfId="60" applyNumberFormat="1" applyFont="1" applyBorder="1"/>
    <xf numFmtId="0" fontId="92" fillId="0" borderId="88" xfId="60" applyFont="1" applyBorder="1" applyAlignment="1">
      <alignment wrapText="1"/>
    </xf>
    <xf numFmtId="0" fontId="86" fillId="0" borderId="11" xfId="60" applyFont="1" applyBorder="1" applyAlignment="1">
      <alignment wrapText="1"/>
    </xf>
    <xf numFmtId="0" fontId="97" fillId="0" borderId="11" xfId="60" applyFont="1" applyBorder="1" applyAlignment="1">
      <alignment wrapText="1"/>
    </xf>
    <xf numFmtId="0" fontId="98" fillId="0" borderId="11" xfId="60" applyFont="1" applyBorder="1" applyAlignment="1">
      <alignment wrapText="1"/>
    </xf>
    <xf numFmtId="0" fontId="98" fillId="0" borderId="54" xfId="60" applyFont="1" applyBorder="1" applyAlignment="1">
      <alignment horizontal="left" wrapText="1"/>
    </xf>
    <xf numFmtId="0" fontId="98" fillId="0" borderId="57" xfId="60" applyFont="1" applyBorder="1" applyAlignment="1">
      <alignment wrapText="1"/>
    </xf>
    <xf numFmtId="0" fontId="86" fillId="29" borderId="81" xfId="60" applyFont="1" applyFill="1" applyBorder="1" applyAlignment="1">
      <alignment wrapText="1"/>
    </xf>
    <xf numFmtId="0" fontId="86" fillId="0" borderId="86" xfId="60" applyFont="1" applyBorder="1" applyAlignment="1">
      <alignment wrapText="1"/>
    </xf>
    <xf numFmtId="0" fontId="88" fillId="0" borderId="62" xfId="60" applyFont="1" applyBorder="1" applyAlignment="1">
      <alignment wrapText="1"/>
    </xf>
    <xf numFmtId="0" fontId="88" fillId="0" borderId="54" xfId="60" applyFont="1" applyBorder="1" applyAlignment="1">
      <alignment wrapText="1"/>
    </xf>
    <xf numFmtId="0" fontId="86" fillId="29" borderId="89" xfId="60" applyFont="1" applyFill="1" applyBorder="1" applyAlignment="1">
      <alignment wrapText="1"/>
    </xf>
    <xf numFmtId="3" fontId="90" fillId="29" borderId="90" xfId="60" applyNumberFormat="1" applyFont="1" applyFill="1" applyBorder="1"/>
    <xf numFmtId="0" fontId="97" fillId="0" borderId="15" xfId="60" applyFont="1" applyBorder="1" applyAlignment="1">
      <alignment horizontal="center" wrapText="1"/>
    </xf>
    <xf numFmtId="3" fontId="95" fillId="0" borderId="72" xfId="60" applyNumberFormat="1" applyFont="1" applyBorder="1" applyAlignment="1">
      <alignment horizontal="center"/>
    </xf>
    <xf numFmtId="0" fontId="99" fillId="27" borderId="62" xfId="59" applyFont="1" applyFill="1" applyBorder="1" applyAlignment="1">
      <alignment horizontal="left" wrapText="1"/>
    </xf>
    <xf numFmtId="3" fontId="95" fillId="0" borderId="75" xfId="60" applyNumberFormat="1" applyFont="1" applyBorder="1" applyAlignment="1">
      <alignment horizontal="right"/>
    </xf>
    <xf numFmtId="0" fontId="99" fillId="27" borderId="62" xfId="59" applyFont="1" applyFill="1" applyBorder="1" applyAlignment="1">
      <alignment horizontal="left"/>
    </xf>
    <xf numFmtId="3" fontId="91" fillId="27" borderId="75" xfId="60" applyNumberFormat="1" applyFont="1" applyFill="1" applyBorder="1"/>
    <xf numFmtId="0" fontId="100" fillId="28" borderId="91" xfId="59" applyFont="1" applyFill="1" applyBorder="1" applyAlignment="1">
      <alignment wrapText="1"/>
    </xf>
    <xf numFmtId="3" fontId="101" fillId="28" borderId="76" xfId="60" applyNumberFormat="1" applyFont="1" applyFill="1" applyBorder="1"/>
    <xf numFmtId="3" fontId="91" fillId="27" borderId="83" xfId="60" applyNumberFormat="1" applyFont="1" applyFill="1" applyBorder="1"/>
    <xf numFmtId="3" fontId="91" fillId="27" borderId="76" xfId="60" applyNumberFormat="1" applyFont="1" applyFill="1" applyBorder="1"/>
    <xf numFmtId="0" fontId="99" fillId="27" borderId="91" xfId="59" applyFont="1" applyFill="1" applyBorder="1" applyAlignment="1">
      <alignment horizontal="left"/>
    </xf>
    <xf numFmtId="0" fontId="99" fillId="27" borderId="11" xfId="59" applyFont="1" applyFill="1" applyBorder="1"/>
    <xf numFmtId="0" fontId="99" fillId="0" borderId="37" xfId="59" applyFont="1" applyBorder="1" applyAlignment="1">
      <alignment wrapText="1"/>
    </xf>
    <xf numFmtId="3" fontId="91" fillId="27" borderId="68" xfId="60" applyNumberFormat="1" applyFont="1" applyFill="1" applyBorder="1"/>
    <xf numFmtId="0" fontId="100" fillId="28" borderId="92" xfId="59" applyFont="1" applyFill="1" applyBorder="1" applyAlignment="1">
      <alignment wrapText="1"/>
    </xf>
    <xf numFmtId="3" fontId="101" fillId="28" borderId="68" xfId="60" applyNumberFormat="1" applyFont="1" applyFill="1" applyBorder="1"/>
    <xf numFmtId="0" fontId="26" fillId="0" borderId="0" xfId="60" applyFont="1"/>
    <xf numFmtId="3" fontId="91" fillId="0" borderId="68" xfId="60" applyNumberFormat="1" applyFont="1" applyBorder="1"/>
    <xf numFmtId="3" fontId="101" fillId="28" borderId="52" xfId="60" applyNumberFormat="1" applyFont="1" applyFill="1" applyBorder="1"/>
    <xf numFmtId="3" fontId="101" fillId="28" borderId="41" xfId="60" applyNumberFormat="1" applyFont="1" applyFill="1" applyBorder="1"/>
    <xf numFmtId="0" fontId="24" fillId="29" borderId="54" xfId="60" applyFont="1" applyFill="1" applyBorder="1" applyAlignment="1">
      <alignment wrapText="1"/>
    </xf>
    <xf numFmtId="3" fontId="91" fillId="29" borderId="76" xfId="60" applyNumberFormat="1" applyFont="1" applyFill="1" applyBorder="1"/>
    <xf numFmtId="3" fontId="91" fillId="29" borderId="41" xfId="60" applyNumberFormat="1" applyFont="1" applyFill="1" applyBorder="1"/>
    <xf numFmtId="3" fontId="24" fillId="29" borderId="84" xfId="60" applyNumberFormat="1" applyFont="1" applyFill="1" applyBorder="1" applyAlignment="1">
      <alignment wrapText="1"/>
    </xf>
    <xf numFmtId="3" fontId="91" fillId="29" borderId="93" xfId="60" applyNumberFormat="1" applyFont="1" applyFill="1" applyBorder="1"/>
    <xf numFmtId="3" fontId="91" fillId="29" borderId="94" xfId="60" applyNumberFormat="1" applyFont="1" applyFill="1" applyBorder="1"/>
    <xf numFmtId="3" fontId="24" fillId="0" borderId="11" xfId="60" applyNumberFormat="1" applyFont="1" applyBorder="1" applyAlignment="1">
      <alignment wrapText="1"/>
    </xf>
    <xf numFmtId="3" fontId="91" fillId="0" borderId="87" xfId="60" applyNumberFormat="1" applyFont="1" applyBorder="1"/>
    <xf numFmtId="0" fontId="102" fillId="0" borderId="11" xfId="59" applyFont="1" applyBorder="1"/>
    <xf numFmtId="0" fontId="99" fillId="0" borderId="62" xfId="59" applyFont="1" applyBorder="1"/>
    <xf numFmtId="3" fontId="91" fillId="0" borderId="75" xfId="60" applyNumberFormat="1" applyFont="1" applyBorder="1"/>
    <xf numFmtId="0" fontId="99" fillId="0" borderId="54" xfId="59" applyFont="1" applyBorder="1"/>
    <xf numFmtId="3" fontId="91" fillId="0" borderId="76" xfId="60" applyNumberFormat="1" applyFont="1" applyBorder="1"/>
    <xf numFmtId="0" fontId="24" fillId="29" borderId="86" xfId="60" applyFont="1" applyFill="1" applyBorder="1" applyAlignment="1">
      <alignment wrapText="1"/>
    </xf>
    <xf numFmtId="3" fontId="91" fillId="29" borderId="95" xfId="60" applyNumberFormat="1" applyFont="1" applyFill="1" applyBorder="1"/>
    <xf numFmtId="0" fontId="39" fillId="0" borderId="0" xfId="0" applyFont="1" applyAlignment="1">
      <alignment horizontal="center"/>
    </xf>
    <xf numFmtId="3" fontId="41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3" fontId="61" fillId="0" borderId="15" xfId="47" applyNumberFormat="1" applyFont="1" applyBorder="1" applyAlignment="1">
      <alignment horizontal="center"/>
    </xf>
    <xf numFmtId="3" fontId="61" fillId="0" borderId="16" xfId="47" applyNumberFormat="1" applyFont="1" applyBorder="1" applyAlignment="1">
      <alignment horizontal="center"/>
    </xf>
    <xf numFmtId="3" fontId="61" fillId="0" borderId="61" xfId="47" applyNumberFormat="1" applyFont="1" applyBorder="1" applyAlignment="1">
      <alignment horizontal="center"/>
    </xf>
    <xf numFmtId="0" fontId="61" fillId="0" borderId="0" xfId="47" applyFont="1" applyAlignment="1">
      <alignment horizontal="center"/>
    </xf>
    <xf numFmtId="3" fontId="61" fillId="0" borderId="0" xfId="47" applyNumberFormat="1" applyFont="1" applyAlignment="1">
      <alignment horizontal="center"/>
    </xf>
    <xf numFmtId="3" fontId="61" fillId="0" borderId="15" xfId="47" applyNumberFormat="1" applyFont="1" applyBorder="1" applyAlignment="1">
      <alignment horizontal="center" wrapText="1"/>
    </xf>
    <xf numFmtId="3" fontId="61" fillId="0" borderId="16" xfId="47" applyNumberFormat="1" applyFont="1" applyBorder="1" applyAlignment="1">
      <alignment horizontal="center" wrapText="1"/>
    </xf>
    <xf numFmtId="3" fontId="61" fillId="0" borderId="61" xfId="47" applyNumberFormat="1" applyFont="1" applyBorder="1" applyAlignment="1">
      <alignment horizontal="center" wrapText="1"/>
    </xf>
    <xf numFmtId="3" fontId="61" fillId="0" borderId="19" xfId="47" applyNumberFormat="1" applyFont="1" applyBorder="1" applyAlignment="1">
      <alignment horizontal="center"/>
    </xf>
    <xf numFmtId="3" fontId="61" fillId="0" borderId="20" xfId="47" applyNumberFormat="1" applyFont="1" applyBorder="1" applyAlignment="1">
      <alignment horizontal="center"/>
    </xf>
    <xf numFmtId="3" fontId="61" fillId="0" borderId="30" xfId="47" applyNumberFormat="1" applyFont="1" applyBorder="1" applyAlignment="1">
      <alignment horizontal="center"/>
    </xf>
    <xf numFmtId="3" fontId="61" fillId="0" borderId="35" xfId="47" applyNumberFormat="1" applyFont="1" applyBorder="1" applyAlignment="1">
      <alignment horizontal="center"/>
    </xf>
    <xf numFmtId="3" fontId="61" fillId="0" borderId="31" xfId="47" applyNumberFormat="1" applyFont="1" applyBorder="1" applyAlignment="1">
      <alignment horizontal="center"/>
    </xf>
    <xf numFmtId="3" fontId="61" fillId="0" borderId="36" xfId="47" applyNumberFormat="1" applyFont="1" applyBorder="1" applyAlignment="1">
      <alignment horizontal="center"/>
    </xf>
    <xf numFmtId="0" fontId="24" fillId="0" borderId="0" xfId="59" applyFont="1" applyAlignment="1">
      <alignment horizontal="center"/>
    </xf>
    <xf numFmtId="0" fontId="84" fillId="0" borderId="0" xfId="60" applyFont="1" applyAlignment="1">
      <alignment horizontal="center" wrapText="1"/>
    </xf>
    <xf numFmtId="3" fontId="61" fillId="0" borderId="15" xfId="47" applyNumberFormat="1" applyFont="1" applyBorder="1" applyAlignment="1">
      <alignment horizontal="center" vertical="center" wrapText="1"/>
    </xf>
    <xf numFmtId="3" fontId="61" fillId="0" borderId="16" xfId="47" applyNumberFormat="1" applyFont="1" applyBorder="1" applyAlignment="1">
      <alignment horizontal="center" vertical="center" wrapText="1"/>
    </xf>
    <xf numFmtId="3" fontId="61" fillId="0" borderId="61" xfId="47" applyNumberFormat="1" applyFont="1" applyBorder="1" applyAlignment="1">
      <alignment horizontal="center" vertical="center" wrapText="1"/>
    </xf>
    <xf numFmtId="3" fontId="61" fillId="0" borderId="11" xfId="47" applyNumberFormat="1" applyFont="1" applyBorder="1" applyAlignment="1">
      <alignment horizontal="center" vertical="center" wrapText="1"/>
    </xf>
    <xf numFmtId="3" fontId="61" fillId="0" borderId="0" xfId="47" applyNumberFormat="1" applyFont="1" applyAlignment="1">
      <alignment horizontal="center" vertical="center" wrapText="1"/>
    </xf>
    <xf numFmtId="3" fontId="61" fillId="0" borderId="29" xfId="47" applyNumberFormat="1" applyFont="1" applyBorder="1" applyAlignment="1">
      <alignment horizontal="center" vertical="center" wrapText="1"/>
    </xf>
    <xf numFmtId="3" fontId="61" fillId="0" borderId="19" xfId="47" applyNumberFormat="1" applyFont="1" applyBorder="1" applyAlignment="1">
      <alignment horizontal="center" vertical="center" wrapText="1"/>
    </xf>
    <xf numFmtId="3" fontId="61" fillId="0" borderId="20" xfId="47" applyNumberFormat="1" applyFont="1" applyBorder="1" applyAlignment="1">
      <alignment horizontal="center" vertical="center" wrapText="1"/>
    </xf>
    <xf numFmtId="3" fontId="61" fillId="0" borderId="30" xfId="47" applyNumberFormat="1" applyFont="1" applyBorder="1" applyAlignment="1">
      <alignment horizontal="center" vertical="center" wrapText="1"/>
    </xf>
    <xf numFmtId="3" fontId="61" fillId="0" borderId="17" xfId="47" applyNumberFormat="1" applyFont="1" applyBorder="1" applyAlignment="1">
      <alignment horizontal="center" vertical="center"/>
    </xf>
    <xf numFmtId="3" fontId="61" fillId="0" borderId="18" xfId="47" applyNumberFormat="1" applyFont="1" applyBorder="1" applyAlignment="1">
      <alignment horizontal="center" vertical="center"/>
    </xf>
    <xf numFmtId="3" fontId="61" fillId="0" borderId="15" xfId="47" applyNumberFormat="1" applyFont="1" applyBorder="1" applyAlignment="1">
      <alignment horizontal="center" vertical="center"/>
    </xf>
    <xf numFmtId="3" fontId="61" fillId="0" borderId="16" xfId="47" applyNumberFormat="1" applyFont="1" applyBorder="1" applyAlignment="1">
      <alignment horizontal="center" vertical="center"/>
    </xf>
    <xf numFmtId="3" fontId="61" fillId="0" borderId="61" xfId="47" applyNumberFormat="1" applyFont="1" applyBorder="1" applyAlignment="1">
      <alignment horizontal="center" vertical="center"/>
    </xf>
    <xf numFmtId="3" fontId="61" fillId="0" borderId="11" xfId="47" applyNumberFormat="1" applyFont="1" applyBorder="1" applyAlignment="1">
      <alignment horizontal="center" vertical="center"/>
    </xf>
    <xf numFmtId="3" fontId="61" fillId="0" borderId="0" xfId="47" applyNumberFormat="1" applyFont="1" applyAlignment="1">
      <alignment horizontal="center" vertical="center"/>
    </xf>
    <xf numFmtId="3" fontId="61" fillId="0" borderId="29" xfId="47" applyNumberFormat="1" applyFont="1" applyBorder="1" applyAlignment="1">
      <alignment horizontal="center" vertical="center"/>
    </xf>
    <xf numFmtId="3" fontId="61" fillId="0" borderId="19" xfId="47" applyNumberFormat="1" applyFont="1" applyBorder="1" applyAlignment="1">
      <alignment horizontal="center" vertical="center"/>
    </xf>
    <xf numFmtId="3" fontId="61" fillId="0" borderId="20" xfId="47" applyNumberFormat="1" applyFont="1" applyBorder="1" applyAlignment="1">
      <alignment horizontal="center" vertical="center"/>
    </xf>
    <xf numFmtId="3" fontId="61" fillId="0" borderId="30" xfId="47" applyNumberFormat="1" applyFont="1" applyBorder="1" applyAlignment="1">
      <alignment horizontal="center" vertical="center"/>
    </xf>
    <xf numFmtId="4" fontId="73" fillId="0" borderId="35" xfId="56" applyNumberFormat="1" applyFont="1" applyBorder="1" applyAlignment="1">
      <alignment horizontal="center" wrapText="1"/>
    </xf>
    <xf numFmtId="4" fontId="73" fillId="0" borderId="36" xfId="56" applyNumberFormat="1" applyFont="1" applyBorder="1" applyAlignment="1">
      <alignment horizontal="center" wrapText="1"/>
    </xf>
    <xf numFmtId="0" fontId="63" fillId="0" borderId="0" xfId="56" applyFont="1" applyAlignment="1">
      <alignment horizontal="center"/>
    </xf>
    <xf numFmtId="0" fontId="59" fillId="0" borderId="20" xfId="56" applyFont="1" applyBorder="1" applyAlignment="1">
      <alignment horizontal="center"/>
    </xf>
    <xf numFmtId="0" fontId="75" fillId="25" borderId="35" xfId="56" applyFont="1" applyFill="1" applyBorder="1" applyAlignment="1">
      <alignment horizontal="center" vertical="center"/>
    </xf>
    <xf numFmtId="0" fontId="75" fillId="25" borderId="31" xfId="56" applyFont="1" applyFill="1" applyBorder="1" applyAlignment="1">
      <alignment horizontal="center" vertical="center"/>
    </xf>
    <xf numFmtId="0" fontId="75" fillId="25" borderId="36" xfId="56" applyFont="1" applyFill="1" applyBorder="1" applyAlignment="1">
      <alignment horizontal="center" vertical="center"/>
    </xf>
    <xf numFmtId="0" fontId="73" fillId="0" borderId="15" xfId="56" applyFont="1" applyBorder="1" applyAlignment="1">
      <alignment horizontal="center" wrapText="1"/>
    </xf>
    <xf numFmtId="0" fontId="73" fillId="0" borderId="61" xfId="56" applyFont="1" applyBorder="1" applyAlignment="1">
      <alignment horizontal="center" wrapText="1"/>
    </xf>
    <xf numFmtId="0" fontId="73" fillId="0" borderId="19" xfId="56" applyFont="1" applyBorder="1" applyAlignment="1">
      <alignment horizontal="center" wrapText="1"/>
    </xf>
    <xf numFmtId="0" fontId="73" fillId="0" borderId="30" xfId="56" applyFont="1" applyBorder="1" applyAlignment="1">
      <alignment horizontal="center" wrapText="1"/>
    </xf>
    <xf numFmtId="4" fontId="73" fillId="0" borderId="35" xfId="56" applyNumberFormat="1" applyFont="1" applyBorder="1" applyAlignment="1">
      <alignment horizontal="center"/>
    </xf>
    <xf numFmtId="4" fontId="73" fillId="0" borderId="31" xfId="56" applyNumberFormat="1" applyFont="1" applyBorder="1" applyAlignment="1">
      <alignment horizontal="center"/>
    </xf>
    <xf numFmtId="4" fontId="73" fillId="0" borderId="36" xfId="56" applyNumberFormat="1" applyFont="1" applyBorder="1" applyAlignment="1">
      <alignment horizontal="center"/>
    </xf>
    <xf numFmtId="3" fontId="73" fillId="0" borderId="35" xfId="56" applyNumberFormat="1" applyFont="1" applyBorder="1" applyAlignment="1">
      <alignment horizontal="center" vertical="center" wrapText="1"/>
    </xf>
    <xf numFmtId="3" fontId="73" fillId="0" borderId="31" xfId="56" applyNumberFormat="1" applyFont="1" applyBorder="1" applyAlignment="1">
      <alignment horizontal="center" vertical="center" wrapText="1"/>
    </xf>
    <xf numFmtId="3" fontId="73" fillId="0" borderId="35" xfId="56" applyNumberFormat="1" applyFont="1" applyBorder="1" applyAlignment="1">
      <alignment horizontal="center"/>
    </xf>
    <xf numFmtId="3" fontId="73" fillId="0" borderId="31" xfId="56" applyNumberFormat="1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wrapText="1"/>
    </xf>
    <xf numFmtId="0" fontId="38" fillId="0" borderId="45" xfId="48" applyFont="1" applyBorder="1" applyAlignment="1">
      <alignment horizontal="left"/>
    </xf>
    <xf numFmtId="0" fontId="38" fillId="0" borderId="44" xfId="48" applyFont="1" applyBorder="1" applyAlignment="1">
      <alignment horizontal="left"/>
    </xf>
    <xf numFmtId="0" fontId="38" fillId="0" borderId="54" xfId="48" applyFont="1" applyBorder="1" applyAlignment="1">
      <alignment horizontal="left"/>
    </xf>
    <xf numFmtId="0" fontId="38" fillId="0" borderId="40" xfId="48" applyFont="1" applyBorder="1" applyAlignment="1">
      <alignment horizontal="left"/>
    </xf>
    <xf numFmtId="0" fontId="38" fillId="0" borderId="35" xfId="48" applyFont="1" applyBorder="1" applyAlignment="1">
      <alignment horizontal="left"/>
    </xf>
    <xf numFmtId="0" fontId="38" fillId="0" borderId="31" xfId="48" applyFont="1" applyBorder="1" applyAlignment="1">
      <alignment horizontal="left"/>
    </xf>
    <xf numFmtId="0" fontId="39" fillId="0" borderId="0" xfId="48" applyFont="1" applyAlignment="1">
      <alignment horizontal="center"/>
    </xf>
    <xf numFmtId="0" fontId="39" fillId="0" borderId="15" xfId="48" applyFont="1" applyBorder="1" applyAlignment="1">
      <alignment horizontal="center"/>
    </xf>
    <xf numFmtId="0" fontId="39" fillId="0" borderId="16" xfId="48" applyFont="1" applyBorder="1" applyAlignment="1">
      <alignment horizontal="center"/>
    </xf>
    <xf numFmtId="0" fontId="41" fillId="0" borderId="0" xfId="48" applyFont="1" applyAlignment="1">
      <alignment horizontal="center"/>
    </xf>
    <xf numFmtId="0" fontId="38" fillId="0" borderId="0" xfId="50" applyFont="1" applyAlignment="1">
      <alignment horizontal="center"/>
    </xf>
  </cellXfs>
  <cellStyles count="61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40% - 1. jelölőszín" xfId="7" xr:uid="{00000000-0005-0000-0000-000006000000}"/>
    <cellStyle name="40% - 2. jelölőszín" xfId="8" xr:uid="{00000000-0005-0000-0000-000007000000}"/>
    <cellStyle name="40% - 3. jelölőszín" xfId="9" xr:uid="{00000000-0005-0000-0000-000008000000}"/>
    <cellStyle name="40% - 4. jelölőszín" xfId="10" xr:uid="{00000000-0005-0000-0000-000009000000}"/>
    <cellStyle name="40% - 5. jelölőszín" xfId="11" xr:uid="{00000000-0005-0000-0000-00000A000000}"/>
    <cellStyle name="40% - 6. jelölőszín" xfId="12" xr:uid="{00000000-0005-0000-0000-00000B000000}"/>
    <cellStyle name="60% - 1. jelölőszín" xfId="13" xr:uid="{00000000-0005-0000-0000-00000C000000}"/>
    <cellStyle name="60% - 2. jelölőszín" xfId="14" xr:uid="{00000000-0005-0000-0000-00000D000000}"/>
    <cellStyle name="60% - 3. jelölőszín" xfId="15" xr:uid="{00000000-0005-0000-0000-00000E000000}"/>
    <cellStyle name="60% - 4. jelölőszín" xfId="16" xr:uid="{00000000-0005-0000-0000-00000F000000}"/>
    <cellStyle name="60% - 5. jelölőszín" xfId="17" xr:uid="{00000000-0005-0000-0000-000010000000}"/>
    <cellStyle name="60% - 6. jelölőszín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Bevitel" xfId="26" xr:uid="{00000000-0005-0000-0000-000019000000}"/>
    <cellStyle name="Calculation" xfId="27" xr:uid="{00000000-0005-0000-0000-00001A000000}"/>
    <cellStyle name="Check Cell" xfId="28" xr:uid="{00000000-0005-0000-0000-00001B000000}"/>
    <cellStyle name="Cím" xfId="29" xr:uid="{00000000-0005-0000-0000-00001C000000}"/>
    <cellStyle name="Címsor 1" xfId="30" xr:uid="{00000000-0005-0000-0000-00001D000000}"/>
    <cellStyle name="Címsor 2" xfId="31" xr:uid="{00000000-0005-0000-0000-00001E000000}"/>
    <cellStyle name="Címsor 3" xfId="32" xr:uid="{00000000-0005-0000-0000-00001F000000}"/>
    <cellStyle name="Címsor 4" xfId="33" xr:uid="{00000000-0005-0000-0000-000020000000}"/>
    <cellStyle name="Ellenőrzőcella" xfId="34" xr:uid="{00000000-0005-0000-0000-000021000000}"/>
    <cellStyle name="Explanatory Text" xfId="35" xr:uid="{00000000-0005-0000-0000-000022000000}"/>
    <cellStyle name="Ezres" xfId="36" builtinId="3"/>
    <cellStyle name="Figyelmeztetés" xfId="37" xr:uid="{00000000-0005-0000-0000-000024000000}"/>
    <cellStyle name="Good" xfId="38" xr:uid="{00000000-0005-0000-0000-000025000000}"/>
    <cellStyle name="Hivatkozott cella" xfId="39" xr:uid="{00000000-0005-0000-0000-000026000000}"/>
    <cellStyle name="Jegyzet" xfId="40" xr:uid="{00000000-0005-0000-0000-000027000000}"/>
    <cellStyle name="Jó" xfId="41" xr:uid="{00000000-0005-0000-0000-000028000000}"/>
    <cellStyle name="Kimenet" xfId="42" xr:uid="{00000000-0005-0000-0000-000029000000}"/>
    <cellStyle name="Magyarázó szöveg" xfId="43" xr:uid="{00000000-0005-0000-0000-00002A000000}"/>
    <cellStyle name="Neutral" xfId="44" xr:uid="{00000000-0005-0000-0000-00002B000000}"/>
    <cellStyle name="Normál" xfId="0" builtinId="0"/>
    <cellStyle name="Normal 2" xfId="45" xr:uid="{00000000-0005-0000-0000-00002D000000}"/>
    <cellStyle name="Normál 2" xfId="46" xr:uid="{00000000-0005-0000-0000-00002E000000}"/>
    <cellStyle name="Normál 3" xfId="47" xr:uid="{00000000-0005-0000-0000-00002F000000}"/>
    <cellStyle name="Normál 4" xfId="60" xr:uid="{00000000-0005-0000-0000-000030000000}"/>
    <cellStyle name="Normál_99LETSZ_LETSZ02" xfId="56" xr:uid="{00000000-0005-0000-0000-000031000000}"/>
    <cellStyle name="Normál_GUCIFEJL" xfId="48" xr:uid="{00000000-0005-0000-0000-000032000000}"/>
    <cellStyle name="Normál_IKÖZI" xfId="59" xr:uid="{00000000-0005-0000-0000-000033000000}"/>
    <cellStyle name="Normál_kiemelt eik 2013" xfId="49" xr:uid="{00000000-0005-0000-0000-000034000000}"/>
    <cellStyle name="Normál_LETSZ06" xfId="58" xr:uid="{00000000-0005-0000-0000-000035000000}"/>
    <cellStyle name="Normál_letsz2011" xfId="57" xr:uid="{00000000-0005-0000-0000-000036000000}"/>
    <cellStyle name="Normál_módIV12önk" xfId="50" xr:uid="{00000000-0005-0000-0000-000037000000}"/>
    <cellStyle name="Normál_Munkafüzet2" xfId="51" xr:uid="{00000000-0005-0000-0000-000038000000}"/>
    <cellStyle name="Összesen" xfId="52" xr:uid="{00000000-0005-0000-0000-000039000000}"/>
    <cellStyle name="Rossz" xfId="53" xr:uid="{00000000-0005-0000-0000-00003A000000}"/>
    <cellStyle name="Semleges" xfId="54" xr:uid="{00000000-0005-0000-0000-00003B000000}"/>
    <cellStyle name="Számítás" xfId="55" xr:uid="{00000000-0005-0000-0000-00003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iliana/Local%20Settings/Temporary%20Internet%20Files/OLK4D/norma_2008/0_eredeti/igeny_kieg_tablak/5_Kieg%20t&#225;bla%20k&#246;zs&#233;geknek%20a%203.%20sz&#225;m&#250;%20mell&#233;klethez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liana\Local%20Settings\Temporary%20Internet%20Files\OLK4D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kozgazd\2024\Rendeletm&#243;dos&#237;t&#225;s\INTrend.m&#243;d.20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kozgazd\2024\Statisztika\rendeletm&#243;dos&#237;t&#225;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kozgazd\2024\Rendeletm&#243;dos&#237;t&#225;s\Int.l&#233;tsz&#225;m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.bevételek RM I maradvány"/>
      <sheetName val="int.kiadások RM I maradvány"/>
      <sheetName val="int.bevételek RM I"/>
      <sheetName val="int.kiadások RM I"/>
      <sheetName val="int.bevételek RM II"/>
      <sheetName val="int.kiadások RM II"/>
      <sheetName val="int.bevételek RM III"/>
      <sheetName val="int.kiadások RM III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D10">
            <v>2368</v>
          </cell>
          <cell r="G10">
            <v>23</v>
          </cell>
          <cell r="J10">
            <v>0</v>
          </cell>
          <cell r="M10">
            <v>0</v>
          </cell>
          <cell r="T10">
            <v>0</v>
          </cell>
          <cell r="W10">
            <v>0</v>
          </cell>
          <cell r="Z10">
            <v>0</v>
          </cell>
          <cell r="AJ10">
            <v>2389</v>
          </cell>
          <cell r="AM10">
            <v>242673</v>
          </cell>
          <cell r="AP10">
            <v>3285</v>
          </cell>
        </row>
        <row r="11">
          <cell r="D11">
            <v>1000</v>
          </cell>
          <cell r="G11">
            <v>0</v>
          </cell>
          <cell r="J11">
            <v>0</v>
          </cell>
          <cell r="M11">
            <v>0</v>
          </cell>
          <cell r="T11">
            <v>0</v>
          </cell>
          <cell r="W11">
            <v>0</v>
          </cell>
          <cell r="Z11">
            <v>0</v>
          </cell>
          <cell r="AJ11">
            <v>1653</v>
          </cell>
          <cell r="AM11">
            <v>163148</v>
          </cell>
          <cell r="AP11">
            <v>512</v>
          </cell>
        </row>
        <row r="12">
          <cell r="D12">
            <v>1248</v>
          </cell>
          <cell r="G12">
            <v>40</v>
          </cell>
          <cell r="J12">
            <v>0</v>
          </cell>
          <cell r="M12">
            <v>0</v>
          </cell>
          <cell r="T12">
            <v>0</v>
          </cell>
          <cell r="W12">
            <v>0</v>
          </cell>
          <cell r="Z12">
            <v>0</v>
          </cell>
          <cell r="AJ12">
            <v>511</v>
          </cell>
          <cell r="AM12">
            <v>179550</v>
          </cell>
          <cell r="AP12">
            <v>218</v>
          </cell>
        </row>
        <row r="13">
          <cell r="D13">
            <v>1040</v>
          </cell>
          <cell r="G13">
            <v>31</v>
          </cell>
          <cell r="J13">
            <v>0</v>
          </cell>
          <cell r="M13">
            <v>0</v>
          </cell>
          <cell r="T13">
            <v>0</v>
          </cell>
          <cell r="W13">
            <v>0</v>
          </cell>
          <cell r="Z13">
            <v>0</v>
          </cell>
          <cell r="AJ13">
            <v>1065</v>
          </cell>
          <cell r="AM13">
            <v>197578</v>
          </cell>
          <cell r="AP13">
            <v>0</v>
          </cell>
        </row>
        <row r="14">
          <cell r="D14">
            <v>1043</v>
          </cell>
          <cell r="G14">
            <v>120</v>
          </cell>
          <cell r="J14">
            <v>0</v>
          </cell>
          <cell r="M14">
            <v>0</v>
          </cell>
          <cell r="T14">
            <v>0</v>
          </cell>
          <cell r="W14">
            <v>0</v>
          </cell>
          <cell r="Z14">
            <v>0</v>
          </cell>
          <cell r="AJ14">
            <v>3052</v>
          </cell>
          <cell r="AM14">
            <v>194835</v>
          </cell>
          <cell r="AP14">
            <v>460</v>
          </cell>
        </row>
        <row r="15">
          <cell r="D15">
            <v>1392</v>
          </cell>
          <cell r="G15">
            <v>38</v>
          </cell>
          <cell r="J15">
            <v>500</v>
          </cell>
          <cell r="M15">
            <v>0</v>
          </cell>
          <cell r="T15">
            <v>0</v>
          </cell>
          <cell r="W15">
            <v>0</v>
          </cell>
          <cell r="Z15">
            <v>0</v>
          </cell>
          <cell r="AJ15">
            <v>938</v>
          </cell>
          <cell r="AM15">
            <v>172220</v>
          </cell>
          <cell r="AP15">
            <v>2594</v>
          </cell>
        </row>
        <row r="16">
          <cell r="D16">
            <v>1506</v>
          </cell>
          <cell r="G16">
            <v>0</v>
          </cell>
          <cell r="J16">
            <v>0</v>
          </cell>
          <cell r="M16">
            <v>0</v>
          </cell>
          <cell r="T16">
            <v>0</v>
          </cell>
          <cell r="W16">
            <v>0</v>
          </cell>
          <cell r="Z16">
            <v>0</v>
          </cell>
          <cell r="AJ16">
            <v>644</v>
          </cell>
          <cell r="AM16">
            <v>135451</v>
          </cell>
          <cell r="AP16">
            <v>82</v>
          </cell>
        </row>
        <row r="17">
          <cell r="D17">
            <v>1041</v>
          </cell>
          <cell r="G17">
            <v>0</v>
          </cell>
          <cell r="J17">
            <v>0</v>
          </cell>
          <cell r="M17">
            <v>0</v>
          </cell>
          <cell r="T17">
            <v>0</v>
          </cell>
          <cell r="W17">
            <v>0</v>
          </cell>
          <cell r="Z17">
            <v>0</v>
          </cell>
          <cell r="AJ17">
            <v>573</v>
          </cell>
          <cell r="AM17">
            <v>146305</v>
          </cell>
          <cell r="AP17">
            <v>1181</v>
          </cell>
        </row>
        <row r="18">
          <cell r="D18">
            <v>1180</v>
          </cell>
          <cell r="G18">
            <v>21</v>
          </cell>
          <cell r="J18">
            <v>0</v>
          </cell>
          <cell r="M18">
            <v>0</v>
          </cell>
          <cell r="T18">
            <v>0</v>
          </cell>
          <cell r="W18">
            <v>0</v>
          </cell>
          <cell r="Z18">
            <v>0</v>
          </cell>
          <cell r="AJ18">
            <v>781</v>
          </cell>
          <cell r="AM18">
            <v>189149</v>
          </cell>
          <cell r="AP18">
            <v>3452</v>
          </cell>
        </row>
        <row r="19">
          <cell r="D19">
            <v>2835</v>
          </cell>
          <cell r="G19">
            <v>27</v>
          </cell>
          <cell r="J19">
            <v>0</v>
          </cell>
          <cell r="M19">
            <v>0</v>
          </cell>
          <cell r="T19">
            <v>0</v>
          </cell>
          <cell r="W19">
            <v>0</v>
          </cell>
          <cell r="Z19">
            <v>0</v>
          </cell>
          <cell r="AJ19">
            <v>3197</v>
          </cell>
          <cell r="AM19">
            <v>234705</v>
          </cell>
          <cell r="AP19">
            <v>0</v>
          </cell>
        </row>
        <row r="20">
          <cell r="D20">
            <v>480</v>
          </cell>
          <cell r="G20">
            <v>0</v>
          </cell>
          <cell r="J20">
            <v>0</v>
          </cell>
          <cell r="M20">
            <v>0</v>
          </cell>
          <cell r="T20">
            <v>0</v>
          </cell>
          <cell r="W20">
            <v>0</v>
          </cell>
          <cell r="Z20">
            <v>0</v>
          </cell>
          <cell r="AJ20">
            <v>455</v>
          </cell>
          <cell r="AM20">
            <v>120459</v>
          </cell>
          <cell r="AP20">
            <v>334</v>
          </cell>
        </row>
        <row r="21">
          <cell r="D21">
            <v>1070</v>
          </cell>
          <cell r="G21">
            <v>0</v>
          </cell>
          <cell r="J21">
            <v>0</v>
          </cell>
          <cell r="M21">
            <v>0</v>
          </cell>
          <cell r="T21">
            <v>0</v>
          </cell>
          <cell r="W21">
            <v>0</v>
          </cell>
          <cell r="Z21">
            <v>0</v>
          </cell>
          <cell r="AJ21">
            <v>1145</v>
          </cell>
          <cell r="AM21">
            <v>115096</v>
          </cell>
          <cell r="AP21">
            <v>250</v>
          </cell>
        </row>
        <row r="22">
          <cell r="D22">
            <v>1385</v>
          </cell>
          <cell r="G22">
            <v>21</v>
          </cell>
          <cell r="J22">
            <v>0</v>
          </cell>
          <cell r="M22">
            <v>0</v>
          </cell>
          <cell r="T22">
            <v>0</v>
          </cell>
          <cell r="W22">
            <v>0</v>
          </cell>
          <cell r="Z22">
            <v>0</v>
          </cell>
          <cell r="AJ22">
            <v>804</v>
          </cell>
          <cell r="AM22">
            <v>143933</v>
          </cell>
          <cell r="AP22">
            <v>3116</v>
          </cell>
        </row>
        <row r="23">
          <cell r="D23">
            <v>720</v>
          </cell>
          <cell r="G23">
            <v>24</v>
          </cell>
          <cell r="J23">
            <v>0</v>
          </cell>
          <cell r="M23">
            <v>0</v>
          </cell>
          <cell r="T23">
            <v>0</v>
          </cell>
          <cell r="W23">
            <v>0</v>
          </cell>
          <cell r="Z23">
            <v>0</v>
          </cell>
          <cell r="AJ23">
            <v>1533</v>
          </cell>
          <cell r="AM23">
            <v>156132</v>
          </cell>
          <cell r="AP23">
            <v>6726</v>
          </cell>
        </row>
        <row r="24">
          <cell r="D24">
            <v>1290</v>
          </cell>
          <cell r="G24">
            <v>0</v>
          </cell>
          <cell r="J24">
            <v>0</v>
          </cell>
          <cell r="M24">
            <v>0</v>
          </cell>
          <cell r="T24">
            <v>0</v>
          </cell>
          <cell r="W24">
            <v>0</v>
          </cell>
          <cell r="Z24">
            <v>0</v>
          </cell>
          <cell r="AJ24">
            <v>1207</v>
          </cell>
          <cell r="AM24">
            <v>224424</v>
          </cell>
          <cell r="AP24">
            <v>3127</v>
          </cell>
        </row>
        <row r="25">
          <cell r="D25">
            <v>700</v>
          </cell>
          <cell r="G25">
            <v>0</v>
          </cell>
          <cell r="J25">
            <v>0</v>
          </cell>
          <cell r="M25">
            <v>0</v>
          </cell>
          <cell r="T25">
            <v>0</v>
          </cell>
          <cell r="W25">
            <v>0</v>
          </cell>
          <cell r="Z25">
            <v>0</v>
          </cell>
          <cell r="AJ25">
            <v>1509</v>
          </cell>
          <cell r="AM25">
            <v>179138</v>
          </cell>
          <cell r="AP25">
            <v>6078</v>
          </cell>
        </row>
        <row r="26">
          <cell r="D26">
            <v>1421</v>
          </cell>
          <cell r="G26">
            <v>0</v>
          </cell>
          <cell r="J26">
            <v>0</v>
          </cell>
          <cell r="M26">
            <v>0</v>
          </cell>
          <cell r="T26">
            <v>0</v>
          </cell>
          <cell r="W26">
            <v>0</v>
          </cell>
          <cell r="Z26">
            <v>0</v>
          </cell>
          <cell r="AJ26">
            <v>2048</v>
          </cell>
          <cell r="AM26">
            <v>128509</v>
          </cell>
          <cell r="AP26">
            <v>2509</v>
          </cell>
        </row>
        <row r="27">
          <cell r="D27">
            <v>1120</v>
          </cell>
          <cell r="G27">
            <v>0</v>
          </cell>
          <cell r="J27">
            <v>0</v>
          </cell>
          <cell r="M27">
            <v>0</v>
          </cell>
          <cell r="T27">
            <v>0</v>
          </cell>
          <cell r="W27">
            <v>0</v>
          </cell>
          <cell r="Z27">
            <v>0</v>
          </cell>
          <cell r="AJ27">
            <v>785</v>
          </cell>
          <cell r="AM27">
            <v>95493</v>
          </cell>
          <cell r="AP27">
            <v>19</v>
          </cell>
        </row>
        <row r="29">
          <cell r="D29">
            <v>608901</v>
          </cell>
          <cell r="G29">
            <v>2971</v>
          </cell>
          <cell r="J29">
            <v>0</v>
          </cell>
          <cell r="M29">
            <v>0</v>
          </cell>
          <cell r="T29">
            <v>90</v>
          </cell>
          <cell r="W29">
            <v>0</v>
          </cell>
          <cell r="Z29">
            <v>0</v>
          </cell>
          <cell r="AJ29">
            <v>44709</v>
          </cell>
          <cell r="AM29">
            <v>1712558</v>
          </cell>
          <cell r="AP29">
            <v>74822</v>
          </cell>
        </row>
        <row r="33">
          <cell r="D33">
            <v>28471</v>
          </cell>
          <cell r="G33">
            <v>0</v>
          </cell>
          <cell r="J33">
            <v>0</v>
          </cell>
          <cell r="M33">
            <v>0</v>
          </cell>
          <cell r="T33">
            <v>0</v>
          </cell>
          <cell r="W33">
            <v>0</v>
          </cell>
          <cell r="Z33">
            <v>0</v>
          </cell>
          <cell r="AJ33">
            <v>24080</v>
          </cell>
          <cell r="AM33">
            <v>163130</v>
          </cell>
          <cell r="AP33">
            <v>501</v>
          </cell>
        </row>
        <row r="34">
          <cell r="D34">
            <v>102344</v>
          </cell>
          <cell r="G34">
            <v>168734</v>
          </cell>
          <cell r="J34">
            <v>16337</v>
          </cell>
          <cell r="M34">
            <v>0</v>
          </cell>
          <cell r="T34">
            <v>0</v>
          </cell>
          <cell r="W34">
            <v>33000</v>
          </cell>
          <cell r="Z34">
            <v>0</v>
          </cell>
          <cell r="AJ34">
            <v>218853</v>
          </cell>
          <cell r="AM34">
            <v>508414</v>
          </cell>
          <cell r="AP34">
            <v>31282</v>
          </cell>
        </row>
        <row r="35">
          <cell r="D35">
            <v>26100</v>
          </cell>
          <cell r="G35">
            <v>5000</v>
          </cell>
          <cell r="J35">
            <v>0</v>
          </cell>
          <cell r="M35">
            <v>0</v>
          </cell>
          <cell r="T35">
            <v>0</v>
          </cell>
          <cell r="W35">
            <v>0</v>
          </cell>
          <cell r="Z35">
            <v>0</v>
          </cell>
          <cell r="AJ35">
            <v>30277</v>
          </cell>
          <cell r="AM35">
            <v>478715</v>
          </cell>
          <cell r="AP35">
            <v>16311</v>
          </cell>
        </row>
        <row r="36">
          <cell r="D36">
            <v>154078</v>
          </cell>
          <cell r="G36">
            <v>9630</v>
          </cell>
          <cell r="J36">
            <v>300</v>
          </cell>
          <cell r="M36">
            <v>0</v>
          </cell>
          <cell r="T36">
            <v>0</v>
          </cell>
          <cell r="W36">
            <v>1650</v>
          </cell>
          <cell r="Z36">
            <v>0</v>
          </cell>
          <cell r="AJ36">
            <v>24500</v>
          </cell>
          <cell r="AM36">
            <v>722039</v>
          </cell>
          <cell r="AP36">
            <v>10745</v>
          </cell>
        </row>
        <row r="39">
          <cell r="D39">
            <v>216204</v>
          </cell>
          <cell r="G39">
            <v>5604</v>
          </cell>
          <cell r="J39">
            <v>60</v>
          </cell>
          <cell r="M39">
            <v>0</v>
          </cell>
          <cell r="T39">
            <v>0</v>
          </cell>
          <cell r="W39">
            <v>0</v>
          </cell>
          <cell r="Z39">
            <v>0</v>
          </cell>
          <cell r="AJ39">
            <v>1233</v>
          </cell>
          <cell r="AM39">
            <v>1577541</v>
          </cell>
          <cell r="AP39">
            <v>85390</v>
          </cell>
        </row>
        <row r="41">
          <cell r="D41">
            <v>47241</v>
          </cell>
          <cell r="G41">
            <v>496554</v>
          </cell>
          <cell r="J41">
            <v>0</v>
          </cell>
          <cell r="M41">
            <v>0</v>
          </cell>
          <cell r="T41">
            <v>0</v>
          </cell>
          <cell r="W41">
            <v>250</v>
          </cell>
          <cell r="AJ41">
            <v>120577</v>
          </cell>
          <cell r="AM41">
            <v>420661</v>
          </cell>
          <cell r="AP41">
            <v>6131</v>
          </cell>
        </row>
        <row r="43">
          <cell r="D43">
            <v>88796</v>
          </cell>
          <cell r="G43">
            <v>19462</v>
          </cell>
          <cell r="J43">
            <v>0</v>
          </cell>
          <cell r="M43">
            <v>0</v>
          </cell>
          <cell r="T43">
            <v>0</v>
          </cell>
          <cell r="W43">
            <v>0</v>
          </cell>
          <cell r="Z43">
            <v>0</v>
          </cell>
          <cell r="AJ43">
            <v>1514</v>
          </cell>
          <cell r="AM43">
            <v>1655046</v>
          </cell>
          <cell r="AP43">
            <v>72614</v>
          </cell>
        </row>
        <row r="45">
          <cell r="D45">
            <v>188823</v>
          </cell>
          <cell r="G45">
            <v>0</v>
          </cell>
          <cell r="J45">
            <v>0</v>
          </cell>
          <cell r="M45">
            <v>0</v>
          </cell>
          <cell r="T45">
            <v>0</v>
          </cell>
          <cell r="W45">
            <v>0</v>
          </cell>
          <cell r="Z45">
            <v>0</v>
          </cell>
          <cell r="AJ45">
            <v>720</v>
          </cell>
          <cell r="AM45">
            <v>34034</v>
          </cell>
          <cell r="AP45">
            <v>8325</v>
          </cell>
        </row>
        <row r="46">
          <cell r="D46">
            <v>20238</v>
          </cell>
          <cell r="G46">
            <v>48625</v>
          </cell>
          <cell r="J46">
            <v>0</v>
          </cell>
          <cell r="M46">
            <v>1850</v>
          </cell>
          <cell r="T46">
            <v>40</v>
          </cell>
          <cell r="W46">
            <v>0</v>
          </cell>
          <cell r="Z46">
            <v>0</v>
          </cell>
          <cell r="AJ46">
            <v>7139</v>
          </cell>
          <cell r="AM46">
            <v>3165167</v>
          </cell>
          <cell r="AP46">
            <v>213194</v>
          </cell>
        </row>
      </sheetData>
      <sheetData sheetId="5">
        <row r="10">
          <cell r="D10">
            <v>210413</v>
          </cell>
          <cell r="G10">
            <v>31277</v>
          </cell>
          <cell r="J10">
            <v>5763</v>
          </cell>
          <cell r="N10">
            <v>0</v>
          </cell>
          <cell r="Q10">
            <v>0</v>
          </cell>
          <cell r="X10">
            <v>1591</v>
          </cell>
          <cell r="AA10">
            <v>1694</v>
          </cell>
          <cell r="AD10">
            <v>0</v>
          </cell>
        </row>
        <row r="11">
          <cell r="D11">
            <v>141856</v>
          </cell>
          <cell r="G11">
            <v>18292</v>
          </cell>
          <cell r="J11">
            <v>5653</v>
          </cell>
          <cell r="N11">
            <v>0</v>
          </cell>
          <cell r="Q11">
            <v>0</v>
          </cell>
          <cell r="X11">
            <v>512</v>
          </cell>
          <cell r="AA11">
            <v>0</v>
          </cell>
          <cell r="AD11">
            <v>0</v>
          </cell>
        </row>
        <row r="12">
          <cell r="D12">
            <v>155896</v>
          </cell>
          <cell r="G12">
            <v>20504</v>
          </cell>
          <cell r="J12">
            <v>4949</v>
          </cell>
          <cell r="N12">
            <v>0</v>
          </cell>
          <cell r="Q12">
            <v>0</v>
          </cell>
          <cell r="X12">
            <v>218</v>
          </cell>
          <cell r="AA12">
            <v>0</v>
          </cell>
          <cell r="AD12">
            <v>0</v>
          </cell>
        </row>
        <row r="13">
          <cell r="D13">
            <v>170692</v>
          </cell>
          <cell r="G13">
            <v>25593</v>
          </cell>
          <cell r="J13">
            <v>3429</v>
          </cell>
          <cell r="N13">
            <v>0</v>
          </cell>
          <cell r="Q13">
            <v>0</v>
          </cell>
          <cell r="X13">
            <v>0</v>
          </cell>
          <cell r="AA13">
            <v>0</v>
          </cell>
          <cell r="AD13">
            <v>0</v>
          </cell>
        </row>
        <row r="14">
          <cell r="D14">
            <v>169203</v>
          </cell>
          <cell r="G14">
            <v>24990</v>
          </cell>
          <cell r="J14">
            <v>4857</v>
          </cell>
          <cell r="N14">
            <v>0</v>
          </cell>
          <cell r="Q14">
            <v>0</v>
          </cell>
          <cell r="X14">
            <v>460</v>
          </cell>
          <cell r="AA14">
            <v>0</v>
          </cell>
          <cell r="AD14">
            <v>0</v>
          </cell>
        </row>
        <row r="15">
          <cell r="D15">
            <v>150894</v>
          </cell>
          <cell r="G15">
            <v>19792</v>
          </cell>
          <cell r="J15">
            <v>4402</v>
          </cell>
          <cell r="N15">
            <v>0</v>
          </cell>
          <cell r="Q15">
            <v>0</v>
          </cell>
          <cell r="X15">
            <v>2594</v>
          </cell>
          <cell r="AA15">
            <v>0</v>
          </cell>
          <cell r="AD15">
            <v>0</v>
          </cell>
        </row>
        <row r="16">
          <cell r="D16">
            <v>117645</v>
          </cell>
          <cell r="G16">
            <v>15339</v>
          </cell>
          <cell r="J16">
            <v>4617</v>
          </cell>
          <cell r="N16">
            <v>0</v>
          </cell>
          <cell r="Q16">
            <v>0</v>
          </cell>
          <cell r="X16">
            <v>82</v>
          </cell>
          <cell r="AA16">
            <v>0</v>
          </cell>
          <cell r="AD16">
            <v>0</v>
          </cell>
        </row>
        <row r="17">
          <cell r="D17">
            <v>128355</v>
          </cell>
          <cell r="G17">
            <v>16816</v>
          </cell>
          <cell r="J17">
            <v>2748</v>
          </cell>
          <cell r="N17">
            <v>0</v>
          </cell>
          <cell r="Q17">
            <v>0</v>
          </cell>
          <cell r="X17">
            <v>1181</v>
          </cell>
          <cell r="AA17">
            <v>0</v>
          </cell>
          <cell r="AD17">
            <v>0</v>
          </cell>
        </row>
        <row r="18">
          <cell r="D18">
            <v>162304</v>
          </cell>
          <cell r="G18">
            <v>24342</v>
          </cell>
          <cell r="J18">
            <v>4485</v>
          </cell>
          <cell r="N18">
            <v>0</v>
          </cell>
          <cell r="Q18">
            <v>0</v>
          </cell>
          <cell r="X18">
            <v>3164</v>
          </cell>
          <cell r="AA18">
            <v>288</v>
          </cell>
          <cell r="AD18">
            <v>0</v>
          </cell>
        </row>
        <row r="19">
          <cell r="D19">
            <v>204708</v>
          </cell>
          <cell r="G19">
            <v>29999</v>
          </cell>
          <cell r="J19">
            <v>6057</v>
          </cell>
          <cell r="N19">
            <v>0</v>
          </cell>
          <cell r="Q19">
            <v>0</v>
          </cell>
          <cell r="X19">
            <v>0</v>
          </cell>
          <cell r="AA19">
            <v>0</v>
          </cell>
          <cell r="AD19">
            <v>0</v>
          </cell>
        </row>
        <row r="20">
          <cell r="D20">
            <v>100624</v>
          </cell>
          <cell r="G20">
            <v>13115</v>
          </cell>
          <cell r="J20">
            <v>7655</v>
          </cell>
          <cell r="N20">
            <v>0</v>
          </cell>
          <cell r="Q20">
            <v>0</v>
          </cell>
          <cell r="X20">
            <v>334</v>
          </cell>
          <cell r="AA20">
            <v>0</v>
          </cell>
          <cell r="AD20">
            <v>0</v>
          </cell>
        </row>
        <row r="21">
          <cell r="D21">
            <v>100003</v>
          </cell>
          <cell r="G21">
            <v>13105</v>
          </cell>
          <cell r="J21">
            <v>4203</v>
          </cell>
          <cell r="N21">
            <v>0</v>
          </cell>
          <cell r="Q21">
            <v>0</v>
          </cell>
          <cell r="X21">
            <v>250</v>
          </cell>
          <cell r="AA21">
            <v>0</v>
          </cell>
          <cell r="AD21">
            <v>0</v>
          </cell>
        </row>
        <row r="22">
          <cell r="D22">
            <v>125367</v>
          </cell>
          <cell r="G22">
            <v>16250</v>
          </cell>
          <cell r="J22">
            <v>4526</v>
          </cell>
          <cell r="N22">
            <v>0</v>
          </cell>
          <cell r="Q22">
            <v>0</v>
          </cell>
          <cell r="X22">
            <v>3116</v>
          </cell>
          <cell r="AA22">
            <v>0</v>
          </cell>
          <cell r="AD22">
            <v>0</v>
          </cell>
        </row>
        <row r="23">
          <cell r="D23">
            <v>137681</v>
          </cell>
          <cell r="G23">
            <v>18036</v>
          </cell>
          <cell r="J23">
            <v>2692</v>
          </cell>
          <cell r="N23">
            <v>0</v>
          </cell>
          <cell r="Q23">
            <v>0</v>
          </cell>
          <cell r="X23">
            <v>1822</v>
          </cell>
          <cell r="AA23">
            <v>4904</v>
          </cell>
          <cell r="AD23">
            <v>0</v>
          </cell>
        </row>
        <row r="24">
          <cell r="D24">
            <v>194343</v>
          </cell>
          <cell r="G24">
            <v>28775</v>
          </cell>
          <cell r="J24">
            <v>3803</v>
          </cell>
          <cell r="N24">
            <v>0</v>
          </cell>
          <cell r="Q24">
            <v>0</v>
          </cell>
          <cell r="X24">
            <v>1635</v>
          </cell>
          <cell r="AA24">
            <v>1492</v>
          </cell>
          <cell r="AD24">
            <v>0</v>
          </cell>
        </row>
        <row r="25">
          <cell r="D25">
            <v>156886</v>
          </cell>
          <cell r="G25">
            <v>20502</v>
          </cell>
          <cell r="J25">
            <v>3959</v>
          </cell>
          <cell r="N25">
            <v>0</v>
          </cell>
          <cell r="Q25">
            <v>0</v>
          </cell>
          <cell r="X25">
            <v>6078</v>
          </cell>
          <cell r="AA25">
            <v>0</v>
          </cell>
          <cell r="AD25">
            <v>0</v>
          </cell>
        </row>
        <row r="26">
          <cell r="D26">
            <v>112109</v>
          </cell>
          <cell r="G26">
            <v>14659</v>
          </cell>
          <cell r="J26">
            <v>5210</v>
          </cell>
          <cell r="N26">
            <v>0</v>
          </cell>
          <cell r="Q26">
            <v>0</v>
          </cell>
          <cell r="X26">
            <v>2509</v>
          </cell>
          <cell r="AA26">
            <v>0</v>
          </cell>
          <cell r="AD26">
            <v>0</v>
          </cell>
        </row>
        <row r="27">
          <cell r="D27">
            <v>81997</v>
          </cell>
          <cell r="G27">
            <v>10662</v>
          </cell>
          <cell r="J27">
            <v>4739</v>
          </cell>
          <cell r="N27">
            <v>0</v>
          </cell>
          <cell r="Q27">
            <v>0</v>
          </cell>
          <cell r="X27">
            <v>19</v>
          </cell>
          <cell r="AA27">
            <v>0</v>
          </cell>
          <cell r="AD27">
            <v>0</v>
          </cell>
        </row>
        <row r="29">
          <cell r="D29">
            <v>332226</v>
          </cell>
          <cell r="G29">
            <v>48453</v>
          </cell>
          <cell r="J29">
            <v>1988460</v>
          </cell>
          <cell r="N29">
            <v>0</v>
          </cell>
          <cell r="Q29">
            <v>0</v>
          </cell>
          <cell r="X29">
            <v>50938</v>
          </cell>
          <cell r="AA29">
            <v>23974</v>
          </cell>
          <cell r="AD29">
            <v>0</v>
          </cell>
        </row>
        <row r="33">
          <cell r="D33">
            <v>146751</v>
          </cell>
          <cell r="G33">
            <v>18529</v>
          </cell>
          <cell r="J33">
            <v>50401</v>
          </cell>
          <cell r="N33">
            <v>0</v>
          </cell>
          <cell r="Q33">
            <v>0</v>
          </cell>
          <cell r="X33">
            <v>501</v>
          </cell>
          <cell r="AA33">
            <v>0</v>
          </cell>
          <cell r="AD33">
            <v>0</v>
          </cell>
        </row>
        <row r="34">
          <cell r="D34">
            <v>599325</v>
          </cell>
          <cell r="G34">
            <v>76337</v>
          </cell>
          <cell r="J34">
            <v>339020</v>
          </cell>
          <cell r="N34">
            <v>0</v>
          </cell>
          <cell r="Q34">
            <v>0</v>
          </cell>
          <cell r="X34">
            <v>64282</v>
          </cell>
          <cell r="AA34">
            <v>0</v>
          </cell>
          <cell r="AD34">
            <v>0</v>
          </cell>
        </row>
        <row r="35">
          <cell r="D35">
            <v>298658</v>
          </cell>
          <cell r="G35">
            <v>38720</v>
          </cell>
          <cell r="J35">
            <v>202714</v>
          </cell>
          <cell r="N35">
            <v>0</v>
          </cell>
          <cell r="Q35">
            <v>0</v>
          </cell>
          <cell r="X35">
            <v>16311</v>
          </cell>
          <cell r="AA35">
            <v>0</v>
          </cell>
          <cell r="AD35">
            <v>0</v>
          </cell>
        </row>
        <row r="36">
          <cell r="D36">
            <v>556733</v>
          </cell>
          <cell r="G36">
            <v>71680</v>
          </cell>
          <cell r="J36">
            <v>282134</v>
          </cell>
          <cell r="N36">
            <v>0</v>
          </cell>
          <cell r="Q36">
            <v>0</v>
          </cell>
          <cell r="X36">
            <v>12395</v>
          </cell>
          <cell r="AA36">
            <v>0</v>
          </cell>
          <cell r="AD36">
            <v>0</v>
          </cell>
        </row>
        <row r="39">
          <cell r="D39">
            <v>1013550</v>
          </cell>
          <cell r="G39">
            <v>156288</v>
          </cell>
          <cell r="J39">
            <v>630734</v>
          </cell>
          <cell r="N39">
            <v>0</v>
          </cell>
          <cell r="Q39">
            <v>70</v>
          </cell>
          <cell r="X39">
            <v>22996</v>
          </cell>
          <cell r="AA39">
            <v>62394</v>
          </cell>
          <cell r="AD39">
            <v>0</v>
          </cell>
        </row>
        <row r="41">
          <cell r="D41">
            <v>660863</v>
          </cell>
          <cell r="G41">
            <v>99168</v>
          </cell>
          <cell r="J41">
            <v>325002</v>
          </cell>
          <cell r="N41">
            <v>0</v>
          </cell>
          <cell r="Q41">
            <v>0</v>
          </cell>
          <cell r="X41">
            <v>6381</v>
          </cell>
          <cell r="AA41">
            <v>0</v>
          </cell>
          <cell r="AD41">
            <v>0</v>
          </cell>
        </row>
        <row r="43">
          <cell r="D43">
            <v>1320697</v>
          </cell>
          <cell r="G43">
            <v>210956</v>
          </cell>
          <cell r="J43">
            <v>233165</v>
          </cell>
          <cell r="N43">
            <v>0</v>
          </cell>
          <cell r="Q43">
            <v>0</v>
          </cell>
          <cell r="X43">
            <v>11989</v>
          </cell>
          <cell r="AA43">
            <v>60625</v>
          </cell>
          <cell r="AD43">
            <v>0</v>
          </cell>
        </row>
        <row r="45">
          <cell r="D45">
            <v>78937</v>
          </cell>
          <cell r="G45">
            <v>10396</v>
          </cell>
          <cell r="J45">
            <v>134244</v>
          </cell>
          <cell r="N45">
            <v>0</v>
          </cell>
          <cell r="Q45">
            <v>0</v>
          </cell>
          <cell r="X45">
            <v>6270</v>
          </cell>
          <cell r="AA45">
            <v>2055</v>
          </cell>
          <cell r="AD45">
            <v>0</v>
          </cell>
        </row>
        <row r="46">
          <cell r="D46">
            <v>2385031</v>
          </cell>
          <cell r="G46">
            <v>358679</v>
          </cell>
          <cell r="J46">
            <v>494309</v>
          </cell>
          <cell r="N46">
            <v>0</v>
          </cell>
          <cell r="Q46">
            <v>5000</v>
          </cell>
          <cell r="X46">
            <v>206325</v>
          </cell>
          <cell r="AA46">
            <v>6909</v>
          </cell>
          <cell r="AD46">
            <v>0</v>
          </cell>
        </row>
      </sheetData>
      <sheetData sheetId="6">
        <row r="10">
          <cell r="AT10">
            <v>250738</v>
          </cell>
        </row>
      </sheetData>
      <sheetData sheetId="7">
        <row r="10">
          <cell r="AG10">
            <v>3473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. RM III"/>
      <sheetName val="2024. okt pótlnélkül"/>
      <sheetName val="2024. RM II "/>
      <sheetName val="2024. májusi pótlnélkül"/>
      <sheetName val="2024.májusi"/>
      <sheetName val="2024. RM I"/>
      <sheetName val="2024.költségvetési rendelet"/>
    </sheetNames>
    <sheetDataSet>
      <sheetData sheetId="0"/>
      <sheetData sheetId="1">
        <row r="17">
          <cell r="C17">
            <v>-638</v>
          </cell>
        </row>
        <row r="22">
          <cell r="C22">
            <v>-1004</v>
          </cell>
        </row>
        <row r="31">
          <cell r="C31">
            <v>-1864</v>
          </cell>
        </row>
        <row r="32">
          <cell r="C32">
            <v>-5883</v>
          </cell>
        </row>
        <row r="48">
          <cell r="C48">
            <v>-1993</v>
          </cell>
        </row>
        <row r="51">
          <cell r="C51">
            <v>-1188</v>
          </cell>
        </row>
        <row r="53">
          <cell r="C53">
            <v>-603</v>
          </cell>
        </row>
        <row r="54">
          <cell r="C54">
            <v>1399</v>
          </cell>
        </row>
        <row r="55">
          <cell r="C55">
            <v>1944</v>
          </cell>
        </row>
        <row r="59">
          <cell r="C59">
            <v>2557</v>
          </cell>
        </row>
        <row r="60">
          <cell r="C60">
            <v>-2051</v>
          </cell>
        </row>
        <row r="61">
          <cell r="C61">
            <v>-21031</v>
          </cell>
        </row>
        <row r="64">
          <cell r="C64">
            <v>-7249</v>
          </cell>
        </row>
        <row r="70">
          <cell r="C70">
            <v>6625</v>
          </cell>
        </row>
        <row r="71">
          <cell r="C71">
            <v>7445</v>
          </cell>
        </row>
        <row r="72">
          <cell r="C72">
            <v>-200</v>
          </cell>
        </row>
      </sheetData>
      <sheetData sheetId="2" refreshError="1"/>
      <sheetData sheetId="3">
        <row r="17">
          <cell r="C17">
            <v>1207</v>
          </cell>
        </row>
        <row r="19">
          <cell r="C19">
            <v>5023</v>
          </cell>
        </row>
        <row r="25">
          <cell r="C25">
            <v>10536</v>
          </cell>
        </row>
        <row r="31">
          <cell r="C31">
            <v>-3800</v>
          </cell>
        </row>
        <row r="32">
          <cell r="C32">
            <v>2674</v>
          </cell>
        </row>
        <row r="48">
          <cell r="C48">
            <v>3986</v>
          </cell>
        </row>
        <row r="51">
          <cell r="C51">
            <v>5431</v>
          </cell>
        </row>
        <row r="52">
          <cell r="C52">
            <v>-25</v>
          </cell>
        </row>
        <row r="53">
          <cell r="C53">
            <v>-1807</v>
          </cell>
        </row>
        <row r="54">
          <cell r="C54">
            <v>2799</v>
          </cell>
        </row>
        <row r="55">
          <cell r="C55">
            <v>-972</v>
          </cell>
        </row>
        <row r="59">
          <cell r="C59">
            <v>-6818</v>
          </cell>
        </row>
        <row r="60">
          <cell r="C60">
            <v>17095</v>
          </cell>
        </row>
        <row r="61">
          <cell r="C61">
            <v>25173</v>
          </cell>
        </row>
        <row r="65">
          <cell r="C65">
            <v>849</v>
          </cell>
        </row>
        <row r="70">
          <cell r="C70">
            <v>24725</v>
          </cell>
        </row>
        <row r="71">
          <cell r="C71">
            <v>50902</v>
          </cell>
        </row>
        <row r="72">
          <cell r="C72">
            <v>13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étszám ei mód 2023-2024eltérés"/>
      <sheetName val="2024 évi nyitó létszám"/>
      <sheetName val="létszám ei mód RM I."/>
      <sheetName val="létszám ei mód RM II."/>
      <sheetName val="létszám ei mód RM III."/>
    </sheetNames>
    <sheetDataSet>
      <sheetData sheetId="0" refreshError="1"/>
      <sheetData sheetId="1" refreshError="1"/>
      <sheetData sheetId="2" refreshError="1"/>
      <sheetData sheetId="3">
        <row r="9">
          <cell r="G9">
            <v>33</v>
          </cell>
          <cell r="H9">
            <v>33</v>
          </cell>
          <cell r="M9">
            <v>1</v>
          </cell>
          <cell r="N9">
            <v>1</v>
          </cell>
        </row>
        <row r="10">
          <cell r="G10">
            <v>23</v>
          </cell>
          <cell r="H10">
            <v>23</v>
          </cell>
          <cell r="M10">
            <v>1</v>
          </cell>
          <cell r="N10">
            <v>1</v>
          </cell>
        </row>
        <row r="11">
          <cell r="G11">
            <v>23</v>
          </cell>
          <cell r="H11">
            <v>23</v>
          </cell>
          <cell r="M11">
            <v>1</v>
          </cell>
          <cell r="N11">
            <v>1</v>
          </cell>
        </row>
        <row r="12">
          <cell r="G12">
            <v>28</v>
          </cell>
          <cell r="H12">
            <v>28</v>
          </cell>
          <cell r="M12">
            <v>1</v>
          </cell>
          <cell r="N12">
            <v>1</v>
          </cell>
        </row>
        <row r="13">
          <cell r="G13">
            <v>26</v>
          </cell>
          <cell r="H13">
            <v>26</v>
          </cell>
          <cell r="M13">
            <v>1</v>
          </cell>
          <cell r="N13">
            <v>1</v>
          </cell>
        </row>
        <row r="14">
          <cell r="G14">
            <v>23</v>
          </cell>
          <cell r="H14">
            <v>23</v>
          </cell>
          <cell r="M14">
            <v>1</v>
          </cell>
          <cell r="N14">
            <v>1</v>
          </cell>
        </row>
        <row r="15">
          <cell r="G15">
            <v>19</v>
          </cell>
          <cell r="H15">
            <v>19</v>
          </cell>
          <cell r="M15">
            <v>1</v>
          </cell>
          <cell r="N15">
            <v>1</v>
          </cell>
        </row>
        <row r="16">
          <cell r="G16">
            <v>18</v>
          </cell>
          <cell r="H16">
            <v>18</v>
          </cell>
          <cell r="M16">
            <v>1</v>
          </cell>
          <cell r="N16">
            <v>1</v>
          </cell>
        </row>
        <row r="17">
          <cell r="G17">
            <v>27</v>
          </cell>
          <cell r="H17">
            <v>27</v>
          </cell>
          <cell r="M17">
            <v>1</v>
          </cell>
          <cell r="N17">
            <v>1</v>
          </cell>
        </row>
        <row r="18">
          <cell r="G18">
            <v>30</v>
          </cell>
          <cell r="H18">
            <v>30</v>
          </cell>
          <cell r="M18">
            <v>1</v>
          </cell>
          <cell r="N18">
            <v>1</v>
          </cell>
        </row>
        <row r="19">
          <cell r="G19">
            <v>15</v>
          </cell>
          <cell r="H19">
            <v>15</v>
          </cell>
          <cell r="M19">
            <v>1</v>
          </cell>
          <cell r="N19">
            <v>1</v>
          </cell>
        </row>
        <row r="20">
          <cell r="G20">
            <v>13.5</v>
          </cell>
          <cell r="H20">
            <v>13</v>
          </cell>
          <cell r="M20">
            <v>1.5</v>
          </cell>
        </row>
        <row r="21">
          <cell r="G21">
            <v>19</v>
          </cell>
          <cell r="H21">
            <v>19</v>
          </cell>
          <cell r="M21">
            <v>1</v>
          </cell>
          <cell r="N21">
            <v>1</v>
          </cell>
        </row>
        <row r="22">
          <cell r="G22">
            <v>20</v>
          </cell>
          <cell r="H22">
            <v>20</v>
          </cell>
          <cell r="M22">
            <v>1</v>
          </cell>
          <cell r="N22">
            <v>1</v>
          </cell>
        </row>
        <row r="23">
          <cell r="G23">
            <v>30</v>
          </cell>
          <cell r="H23">
            <v>30</v>
          </cell>
          <cell r="M23">
            <v>1</v>
          </cell>
          <cell r="N23">
            <v>1</v>
          </cell>
        </row>
        <row r="24">
          <cell r="G24">
            <v>23</v>
          </cell>
          <cell r="H24">
            <v>23</v>
          </cell>
          <cell r="M24">
            <v>1</v>
          </cell>
          <cell r="N24">
            <v>1</v>
          </cell>
        </row>
        <row r="25">
          <cell r="G25">
            <v>17</v>
          </cell>
          <cell r="H25">
            <v>17</v>
          </cell>
          <cell r="M25">
            <v>1</v>
          </cell>
          <cell r="N25">
            <v>1</v>
          </cell>
        </row>
        <row r="26">
          <cell r="G26">
            <v>11.5</v>
          </cell>
          <cell r="H26">
            <v>12</v>
          </cell>
          <cell r="M26">
            <v>1.5</v>
          </cell>
          <cell r="N26">
            <v>1</v>
          </cell>
        </row>
        <row r="28">
          <cell r="G28">
            <v>0</v>
          </cell>
          <cell r="H28">
            <v>0</v>
          </cell>
          <cell r="M28">
            <v>44</v>
          </cell>
          <cell r="N28">
            <v>44</v>
          </cell>
        </row>
        <row r="32">
          <cell r="G32">
            <v>18</v>
          </cell>
          <cell r="H32">
            <v>18</v>
          </cell>
          <cell r="M32">
            <v>1.75</v>
          </cell>
          <cell r="N32">
            <v>2</v>
          </cell>
        </row>
        <row r="33">
          <cell r="G33">
            <v>77</v>
          </cell>
          <cell r="H33">
            <v>77</v>
          </cell>
          <cell r="M33">
            <v>7.5</v>
          </cell>
          <cell r="N33">
            <v>7</v>
          </cell>
        </row>
        <row r="34">
          <cell r="G34">
            <v>35</v>
          </cell>
          <cell r="H34">
            <v>35</v>
          </cell>
          <cell r="M34">
            <v>11</v>
          </cell>
          <cell r="N34">
            <v>11</v>
          </cell>
        </row>
        <row r="35">
          <cell r="G35">
            <v>66.5</v>
          </cell>
          <cell r="H35">
            <v>67</v>
          </cell>
          <cell r="M35">
            <v>34.25</v>
          </cell>
          <cell r="N35">
            <v>34</v>
          </cell>
        </row>
        <row r="38">
          <cell r="G38">
            <v>161.25</v>
          </cell>
          <cell r="H38">
            <v>161</v>
          </cell>
          <cell r="M38">
            <v>21.5</v>
          </cell>
          <cell r="N38">
            <v>22</v>
          </cell>
        </row>
        <row r="40">
          <cell r="G40">
            <v>45</v>
          </cell>
          <cell r="H40">
            <v>45</v>
          </cell>
          <cell r="M40">
            <v>30</v>
          </cell>
          <cell r="N40">
            <v>30</v>
          </cell>
        </row>
        <row r="42">
          <cell r="G42">
            <v>146.01</v>
          </cell>
          <cell r="H42">
            <v>146</v>
          </cell>
          <cell r="M42">
            <v>42.74499999999999</v>
          </cell>
          <cell r="N42">
            <v>43</v>
          </cell>
        </row>
        <row r="44">
          <cell r="G44">
            <v>1</v>
          </cell>
          <cell r="H44">
            <v>1</v>
          </cell>
          <cell r="M44">
            <v>13.5</v>
          </cell>
          <cell r="N44">
            <v>13</v>
          </cell>
        </row>
        <row r="45">
          <cell r="G45">
            <v>282.5</v>
          </cell>
          <cell r="H45">
            <v>283</v>
          </cell>
          <cell r="M45">
            <v>0</v>
          </cell>
          <cell r="N45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zoomScale="124" zoomScaleNormal="124" workbookViewId="0">
      <selection activeCell="E29" sqref="E29"/>
    </sheetView>
  </sheetViews>
  <sheetFormatPr defaultRowHeight="15.75" x14ac:dyDescent="0.25"/>
  <cols>
    <col min="1" max="1" width="10.83203125" style="399" customWidth="1"/>
    <col min="2" max="2" width="102.83203125" style="399" customWidth="1"/>
    <col min="3" max="3" width="31.33203125" style="399" customWidth="1"/>
    <col min="4" max="6" width="27" style="399" customWidth="1"/>
    <col min="7" max="7" width="27.5" style="407" customWidth="1"/>
    <col min="8" max="8" width="14" style="407" customWidth="1"/>
    <col min="9" max="9" width="86.1640625" style="399" customWidth="1"/>
    <col min="10" max="13" width="27" style="399" customWidth="1"/>
    <col min="14" max="14" width="27" style="407" customWidth="1"/>
    <col min="15" max="15" width="17.5" style="399" customWidth="1"/>
    <col min="16" max="16384" width="9.33203125" style="399"/>
  </cols>
  <sheetData>
    <row r="1" spans="1:15" ht="29.25" customHeight="1" x14ac:dyDescent="0.3">
      <c r="B1" s="920" t="s">
        <v>231</v>
      </c>
      <c r="C1" s="920"/>
      <c r="D1" s="920"/>
      <c r="E1" s="920"/>
      <c r="F1" s="920"/>
      <c r="G1" s="920"/>
      <c r="H1" s="417"/>
      <c r="I1" s="920" t="s">
        <v>231</v>
      </c>
      <c r="J1" s="920"/>
      <c r="K1" s="920"/>
      <c r="L1" s="920"/>
      <c r="M1" s="920"/>
      <c r="N1" s="920"/>
    </row>
    <row r="2" spans="1:15" ht="36" customHeight="1" x14ac:dyDescent="0.3">
      <c r="B2" s="920" t="s">
        <v>549</v>
      </c>
      <c r="C2" s="920"/>
      <c r="D2" s="920"/>
      <c r="E2" s="920"/>
      <c r="F2" s="920"/>
      <c r="G2" s="920"/>
      <c r="H2" s="417"/>
      <c r="I2" s="920" t="s">
        <v>550</v>
      </c>
      <c r="J2" s="920"/>
      <c r="K2" s="920"/>
      <c r="L2" s="920"/>
      <c r="M2" s="920"/>
      <c r="N2" s="920"/>
    </row>
    <row r="3" spans="1:15" ht="16.5" thickBot="1" x14ac:dyDescent="0.3">
      <c r="A3" s="418"/>
      <c r="N3" s="419" t="s">
        <v>224</v>
      </c>
    </row>
    <row r="4" spans="1:15" ht="33.75" customHeight="1" x14ac:dyDescent="0.25">
      <c r="A4" s="420"/>
      <c r="B4" s="401" t="s">
        <v>220</v>
      </c>
      <c r="C4" s="420" t="s">
        <v>323</v>
      </c>
      <c r="D4" s="421" t="s">
        <v>324</v>
      </c>
      <c r="E4" s="420" t="s">
        <v>324</v>
      </c>
      <c r="F4" s="421" t="s">
        <v>324</v>
      </c>
      <c r="G4" s="421" t="s">
        <v>238</v>
      </c>
      <c r="H4" s="420"/>
      <c r="I4" s="401" t="s">
        <v>246</v>
      </c>
      <c r="J4" s="420" t="s">
        <v>323</v>
      </c>
      <c r="K4" s="421" t="s">
        <v>324</v>
      </c>
      <c r="L4" s="420" t="s">
        <v>324</v>
      </c>
      <c r="M4" s="421" t="s">
        <v>324</v>
      </c>
      <c r="N4" s="421" t="s">
        <v>238</v>
      </c>
    </row>
    <row r="5" spans="1:15" ht="20.100000000000001" customHeight="1" x14ac:dyDescent="0.25">
      <c r="A5" s="422"/>
      <c r="B5" s="403"/>
      <c r="C5" s="422" t="s">
        <v>325</v>
      </c>
      <c r="D5" s="423"/>
      <c r="E5" s="422"/>
      <c r="F5" s="423" t="s">
        <v>238</v>
      </c>
      <c r="G5" s="423" t="s">
        <v>239</v>
      </c>
      <c r="H5" s="422"/>
      <c r="I5" s="403"/>
      <c r="J5" s="422" t="s">
        <v>326</v>
      </c>
      <c r="K5" s="423"/>
      <c r="L5" s="422"/>
      <c r="M5" s="423" t="s">
        <v>238</v>
      </c>
      <c r="N5" s="423" t="s">
        <v>247</v>
      </c>
    </row>
    <row r="6" spans="1:15" ht="88.5" customHeight="1" thickBot="1" x14ac:dyDescent="0.3">
      <c r="A6" s="424"/>
      <c r="B6" s="404"/>
      <c r="C6" s="425" t="s">
        <v>203</v>
      </c>
      <c r="D6" s="426" t="s">
        <v>327</v>
      </c>
      <c r="E6" s="405" t="s">
        <v>328</v>
      </c>
      <c r="F6" s="426"/>
      <c r="G6" s="427"/>
      <c r="H6" s="424"/>
      <c r="I6" s="404"/>
      <c r="J6" s="425" t="s">
        <v>203</v>
      </c>
      <c r="K6" s="426" t="s">
        <v>329</v>
      </c>
      <c r="L6" s="405" t="s">
        <v>328</v>
      </c>
      <c r="M6" s="426"/>
      <c r="N6" s="427"/>
    </row>
    <row r="7" spans="1:15" ht="24" customHeight="1" x14ac:dyDescent="0.25">
      <c r="A7" s="422"/>
      <c r="B7" s="428" t="s">
        <v>330</v>
      </c>
      <c r="C7" s="402"/>
      <c r="D7" s="429"/>
      <c r="E7" s="429"/>
      <c r="F7" s="429"/>
      <c r="G7" s="421"/>
      <c r="H7" s="422"/>
      <c r="I7" s="401" t="s">
        <v>331</v>
      </c>
      <c r="J7" s="402"/>
      <c r="K7" s="429"/>
      <c r="L7" s="429"/>
      <c r="M7" s="429"/>
      <c r="N7" s="421"/>
    </row>
    <row r="8" spans="1:15" ht="24" customHeight="1" x14ac:dyDescent="0.3">
      <c r="A8" s="430" t="s">
        <v>332</v>
      </c>
      <c r="B8" s="431" t="s">
        <v>263</v>
      </c>
      <c r="C8" s="432">
        <v>928917</v>
      </c>
      <c r="D8" s="432">
        <v>9226843</v>
      </c>
      <c r="E8" s="432">
        <v>130542</v>
      </c>
      <c r="F8" s="432">
        <f>SUM(D8:E8)</f>
        <v>9357385</v>
      </c>
      <c r="G8" s="433">
        <f>SUM(C8+F8)</f>
        <v>10286302</v>
      </c>
      <c r="H8" s="434" t="s">
        <v>333</v>
      </c>
      <c r="I8" s="431" t="s">
        <v>264</v>
      </c>
      <c r="J8" s="435">
        <v>10069188</v>
      </c>
      <c r="K8" s="435">
        <v>378657</v>
      </c>
      <c r="L8" s="432">
        <v>-1277</v>
      </c>
      <c r="M8" s="432">
        <f>SUM(K8:L8)</f>
        <v>377380</v>
      </c>
      <c r="N8" s="433">
        <f>SUM(J8+M8)</f>
        <v>10446568</v>
      </c>
      <c r="O8" s="400"/>
    </row>
    <row r="9" spans="1:15" ht="44.85" customHeight="1" x14ac:dyDescent="0.3">
      <c r="A9" s="436" t="s">
        <v>334</v>
      </c>
      <c r="B9" s="437" t="s">
        <v>196</v>
      </c>
      <c r="C9" s="432">
        <v>1850</v>
      </c>
      <c r="D9" s="432">
        <v>13653268</v>
      </c>
      <c r="E9" s="432">
        <v>0</v>
      </c>
      <c r="F9" s="432">
        <f>SUM(D9:E9)</f>
        <v>13653268</v>
      </c>
      <c r="G9" s="433">
        <f>SUM(C9+F9)</f>
        <v>13655118</v>
      </c>
      <c r="H9" s="436" t="s">
        <v>335</v>
      </c>
      <c r="I9" s="438" t="s">
        <v>265</v>
      </c>
      <c r="J9" s="439">
        <v>1447802</v>
      </c>
      <c r="K9" s="439">
        <v>56415</v>
      </c>
      <c r="L9" s="432">
        <v>176</v>
      </c>
      <c r="M9" s="432">
        <f>SUM(K9:L9)</f>
        <v>56591</v>
      </c>
      <c r="N9" s="433">
        <f>SUM(J9+M9)</f>
        <v>1504393</v>
      </c>
      <c r="O9" s="400"/>
    </row>
    <row r="10" spans="1:15" ht="24" customHeight="1" x14ac:dyDescent="0.3">
      <c r="A10" s="430" t="s">
        <v>336</v>
      </c>
      <c r="B10" s="431" t="s">
        <v>337</v>
      </c>
      <c r="C10" s="432">
        <v>1577093</v>
      </c>
      <c r="D10" s="432">
        <v>3268464</v>
      </c>
      <c r="E10" s="432">
        <v>0</v>
      </c>
      <c r="F10" s="432">
        <f>SUM(D10:E10)</f>
        <v>3268464</v>
      </c>
      <c r="G10" s="433">
        <f>SUM(C10+F10)</f>
        <v>4845557</v>
      </c>
      <c r="H10" s="436" t="s">
        <v>338</v>
      </c>
      <c r="I10" s="437" t="s">
        <v>266</v>
      </c>
      <c r="J10" s="439">
        <v>5021140</v>
      </c>
      <c r="K10" s="439">
        <v>5816822</v>
      </c>
      <c r="L10" s="432">
        <v>185665</v>
      </c>
      <c r="M10" s="432">
        <f>SUM(K10:L10)</f>
        <v>6002487</v>
      </c>
      <c r="N10" s="433">
        <f>SUM(J10+M10)</f>
        <v>11023627</v>
      </c>
      <c r="O10" s="400"/>
    </row>
    <row r="11" spans="1:15" ht="24" customHeight="1" x14ac:dyDescent="0.3">
      <c r="A11" s="436" t="s">
        <v>339</v>
      </c>
      <c r="B11" s="437" t="s">
        <v>115</v>
      </c>
      <c r="C11" s="432">
        <v>21832</v>
      </c>
      <c r="D11" s="432">
        <v>174522</v>
      </c>
      <c r="E11" s="432">
        <v>0</v>
      </c>
      <c r="F11" s="432">
        <f>SUM(D11:E11)</f>
        <v>174522</v>
      </c>
      <c r="G11" s="433">
        <f>SUM(C11+F11)</f>
        <v>196354</v>
      </c>
      <c r="H11" s="440" t="s">
        <v>340</v>
      </c>
      <c r="I11" s="441" t="s">
        <v>267</v>
      </c>
      <c r="J11" s="439">
        <v>0</v>
      </c>
      <c r="K11" s="439">
        <v>466186</v>
      </c>
      <c r="L11" s="432">
        <v>0</v>
      </c>
      <c r="M11" s="432">
        <f>SUM(K11:L11)</f>
        <v>466186</v>
      </c>
      <c r="N11" s="433">
        <f>SUM(J11+M11)</f>
        <v>466186</v>
      </c>
      <c r="O11" s="400"/>
    </row>
    <row r="12" spans="1:15" ht="24" customHeight="1" thickBot="1" x14ac:dyDescent="0.35">
      <c r="A12" s="430"/>
      <c r="B12" s="431"/>
      <c r="C12" s="442"/>
      <c r="D12" s="432"/>
      <c r="E12" s="435"/>
      <c r="F12" s="432">
        <f>SUM(D12:E12)</f>
        <v>0</v>
      </c>
      <c r="G12" s="433">
        <f>SUM(C12+F12)</f>
        <v>0</v>
      </c>
      <c r="H12" s="436" t="s">
        <v>341</v>
      </c>
      <c r="I12" s="437" t="s">
        <v>342</v>
      </c>
      <c r="J12" s="432">
        <v>5070</v>
      </c>
      <c r="K12" s="432">
        <v>10140699</v>
      </c>
      <c r="L12" s="432">
        <v>-10000</v>
      </c>
      <c r="M12" s="432">
        <f>SUM(K12:L12)</f>
        <v>10130699</v>
      </c>
      <c r="N12" s="433">
        <f>SUM(J12+M12)</f>
        <v>10135769</v>
      </c>
      <c r="O12" s="400"/>
    </row>
    <row r="13" spans="1:15" ht="24" customHeight="1" thickBot="1" x14ac:dyDescent="0.35">
      <c r="A13" s="443"/>
      <c r="B13" s="409" t="s">
        <v>241</v>
      </c>
      <c r="C13" s="444">
        <f>SUM(C8:C12)</f>
        <v>2529692</v>
      </c>
      <c r="D13" s="444">
        <f>SUM(D8:D12)</f>
        <v>26323097</v>
      </c>
      <c r="E13" s="444">
        <f>SUM(E8:E12)</f>
        <v>130542</v>
      </c>
      <c r="F13" s="444">
        <f>SUM(F8:F12)</f>
        <v>26453639</v>
      </c>
      <c r="G13" s="444">
        <f>SUM(G8:G12)</f>
        <v>28983331</v>
      </c>
      <c r="H13" s="443"/>
      <c r="I13" s="409" t="s">
        <v>248</v>
      </c>
      <c r="J13" s="444">
        <f>SUM(J8:J12)</f>
        <v>16543200</v>
      </c>
      <c r="K13" s="444">
        <f>SUM(K8:K12)</f>
        <v>16858779</v>
      </c>
      <c r="L13" s="444">
        <f>SUM(L8:L12)</f>
        <v>174564</v>
      </c>
      <c r="M13" s="444">
        <f>SUM(M8:M12)</f>
        <v>17033343</v>
      </c>
      <c r="N13" s="444">
        <f>SUM(N8:N12)</f>
        <v>33576543</v>
      </c>
      <c r="O13" s="400"/>
    </row>
    <row r="14" spans="1:15" s="407" customFormat="1" ht="24" customHeight="1" x14ac:dyDescent="0.3">
      <c r="A14" s="430" t="s">
        <v>343</v>
      </c>
      <c r="B14" s="437" t="s">
        <v>74</v>
      </c>
      <c r="C14" s="432">
        <v>40076</v>
      </c>
      <c r="D14" s="432">
        <v>568871</v>
      </c>
      <c r="E14" s="432">
        <v>-130542</v>
      </c>
      <c r="F14" s="432">
        <f>SUM(D14:E14)</f>
        <v>438329</v>
      </c>
      <c r="G14" s="433">
        <f>SUM(C14+F14)</f>
        <v>478405</v>
      </c>
      <c r="H14" s="445" t="s">
        <v>344</v>
      </c>
      <c r="I14" s="446" t="s">
        <v>151</v>
      </c>
      <c r="J14" s="447">
        <v>463582</v>
      </c>
      <c r="K14" s="447">
        <v>1992816</v>
      </c>
      <c r="L14" s="447">
        <v>-170212</v>
      </c>
      <c r="M14" s="432">
        <f>SUM(K14:L14)</f>
        <v>1822604</v>
      </c>
      <c r="N14" s="433">
        <f>SUM(J14+M14)</f>
        <v>2286186</v>
      </c>
      <c r="O14" s="400"/>
    </row>
    <row r="15" spans="1:15" ht="24" customHeight="1" x14ac:dyDescent="0.3">
      <c r="A15" s="430" t="s">
        <v>345</v>
      </c>
      <c r="B15" s="437" t="s">
        <v>73</v>
      </c>
      <c r="C15" s="432">
        <v>12115</v>
      </c>
      <c r="D15" s="432">
        <v>413931</v>
      </c>
      <c r="E15" s="432">
        <v>0</v>
      </c>
      <c r="F15" s="432">
        <f>SUM(D15:E15)</f>
        <v>413931</v>
      </c>
      <c r="G15" s="433">
        <f>SUM(C15+F15)</f>
        <v>426046</v>
      </c>
      <c r="H15" s="430" t="s">
        <v>346</v>
      </c>
      <c r="I15" s="437" t="s">
        <v>268</v>
      </c>
      <c r="J15" s="439">
        <v>214379</v>
      </c>
      <c r="K15" s="439">
        <v>933896</v>
      </c>
      <c r="L15" s="439">
        <v>-92248</v>
      </c>
      <c r="M15" s="432">
        <f>SUM(K15:L15)</f>
        <v>841648</v>
      </c>
      <c r="N15" s="433">
        <f>SUM(J15+M15)</f>
        <v>1056027</v>
      </c>
      <c r="O15" s="400"/>
    </row>
    <row r="16" spans="1:15" ht="24" customHeight="1" thickBot="1" x14ac:dyDescent="0.35">
      <c r="A16" s="430" t="s">
        <v>347</v>
      </c>
      <c r="B16" s="437" t="s">
        <v>269</v>
      </c>
      <c r="C16" s="432">
        <v>0</v>
      </c>
      <c r="D16" s="432">
        <v>117349</v>
      </c>
      <c r="E16" s="435">
        <v>0</v>
      </c>
      <c r="F16" s="432">
        <f>SUM(D16:E16)</f>
        <v>117349</v>
      </c>
      <c r="G16" s="433">
        <f>SUM(C16+F16)</f>
        <v>117349</v>
      </c>
      <c r="H16" s="440" t="s">
        <v>348</v>
      </c>
      <c r="I16" s="448" t="s">
        <v>270</v>
      </c>
      <c r="J16" s="435">
        <v>0</v>
      </c>
      <c r="K16" s="435">
        <v>164107</v>
      </c>
      <c r="L16" s="432">
        <v>87896</v>
      </c>
      <c r="M16" s="432">
        <f>SUM(K16:L16)</f>
        <v>252003</v>
      </c>
      <c r="N16" s="433">
        <f>SUM(J16+M16)</f>
        <v>252003</v>
      </c>
      <c r="O16" s="400"/>
    </row>
    <row r="17" spans="1:14" ht="24" customHeight="1" thickBot="1" x14ac:dyDescent="0.35">
      <c r="A17" s="443"/>
      <c r="B17" s="409" t="s">
        <v>242</v>
      </c>
      <c r="C17" s="444">
        <f>SUM(C14:C16)</f>
        <v>52191</v>
      </c>
      <c r="D17" s="444">
        <f>SUM(D14:D16)</f>
        <v>1100151</v>
      </c>
      <c r="E17" s="444">
        <f>SUM(E14:E16)</f>
        <v>-130542</v>
      </c>
      <c r="F17" s="444">
        <f>SUM(F14:F16)</f>
        <v>969609</v>
      </c>
      <c r="G17" s="444">
        <f>SUM(G14:G16)</f>
        <v>1021800</v>
      </c>
      <c r="H17" s="443"/>
      <c r="I17" s="408" t="s">
        <v>249</v>
      </c>
      <c r="J17" s="444">
        <f>SUM(J14:J16)</f>
        <v>677961</v>
      </c>
      <c r="K17" s="444">
        <f>SUM(K14:K16)</f>
        <v>3090819</v>
      </c>
      <c r="L17" s="444">
        <f>SUM(L14:L16)</f>
        <v>-174564</v>
      </c>
      <c r="M17" s="444">
        <f>SUM(M14:M16)</f>
        <v>2916255</v>
      </c>
      <c r="N17" s="444">
        <f>SUM(N14:N16)</f>
        <v>3594216</v>
      </c>
    </row>
    <row r="18" spans="1:14" ht="24" customHeight="1" thickBot="1" x14ac:dyDescent="0.35">
      <c r="A18" s="443"/>
      <c r="B18" s="408" t="s">
        <v>243</v>
      </c>
      <c r="C18" s="444">
        <f>+C13+C17</f>
        <v>2581883</v>
      </c>
      <c r="D18" s="444">
        <f>D13+D17</f>
        <v>27423248</v>
      </c>
      <c r="E18" s="444">
        <f>+E13+E17</f>
        <v>0</v>
      </c>
      <c r="F18" s="444">
        <f>F13+F17</f>
        <v>27423248</v>
      </c>
      <c r="G18" s="444">
        <f>SUM(G13+G17)</f>
        <v>30005131</v>
      </c>
      <c r="H18" s="443"/>
      <c r="I18" s="409" t="s">
        <v>250</v>
      </c>
      <c r="J18" s="444">
        <f>SUM(J17,J13)</f>
        <v>17221161</v>
      </c>
      <c r="K18" s="444">
        <f>SUM(K17,K13)</f>
        <v>19949598</v>
      </c>
      <c r="L18" s="444">
        <f>+L13+L17</f>
        <v>0</v>
      </c>
      <c r="M18" s="444">
        <f>SUM(M13+M17)</f>
        <v>19949598</v>
      </c>
      <c r="N18" s="444">
        <f>SUM(N17,N13)</f>
        <v>37170759</v>
      </c>
    </row>
    <row r="19" spans="1:14" ht="24" customHeight="1" thickBot="1" x14ac:dyDescent="0.35">
      <c r="A19" s="434" t="s">
        <v>349</v>
      </c>
      <c r="B19" s="449" t="s">
        <v>244</v>
      </c>
      <c r="C19" s="450">
        <v>497891</v>
      </c>
      <c r="D19" s="451">
        <v>9831675</v>
      </c>
      <c r="E19" s="451">
        <v>0</v>
      </c>
      <c r="F19" s="432">
        <f>SUM(D19:E19)</f>
        <v>9831675</v>
      </c>
      <c r="G19" s="433">
        <f>SUM(C19+F19)</f>
        <v>10329566</v>
      </c>
      <c r="H19" s="452" t="s">
        <v>350</v>
      </c>
      <c r="I19" s="414" t="s">
        <v>251</v>
      </c>
      <c r="J19" s="439">
        <v>0</v>
      </c>
      <c r="K19" s="439">
        <v>3163938</v>
      </c>
      <c r="L19" s="453">
        <v>0</v>
      </c>
      <c r="M19" s="432">
        <f>SUM(K19:L19)</f>
        <v>3163938</v>
      </c>
      <c r="N19" s="433">
        <f>SUM(J19+M19)</f>
        <v>3163938</v>
      </c>
    </row>
    <row r="20" spans="1:14" ht="49.5" customHeight="1" thickBot="1" x14ac:dyDescent="0.35">
      <c r="A20" s="443"/>
      <c r="B20" s="409" t="s">
        <v>245</v>
      </c>
      <c r="C20" s="444">
        <f>SUM(C18:C19)</f>
        <v>3079774</v>
      </c>
      <c r="D20" s="444">
        <f>SUM(D18:D19)</f>
        <v>37254923</v>
      </c>
      <c r="E20" s="444">
        <f>+E18+E19</f>
        <v>0</v>
      </c>
      <c r="F20" s="444">
        <f>SUM(F18:F19)</f>
        <v>37254923</v>
      </c>
      <c r="G20" s="444">
        <f>SUM(G18:G19)</f>
        <v>40334697</v>
      </c>
      <c r="H20" s="443"/>
      <c r="I20" s="409" t="s">
        <v>252</v>
      </c>
      <c r="J20" s="444">
        <f>SUM(J18:J19)</f>
        <v>17221161</v>
      </c>
      <c r="K20" s="444">
        <f>SUM(K18:K19)</f>
        <v>23113536</v>
      </c>
      <c r="L20" s="444">
        <f>SUM(L18:L19)</f>
        <v>0</v>
      </c>
      <c r="M20" s="444">
        <f>SUM(M18:M19)</f>
        <v>23113536</v>
      </c>
      <c r="N20" s="444">
        <f>SUM(N18:N19)</f>
        <v>40334697</v>
      </c>
    </row>
  </sheetData>
  <mergeCells count="4">
    <mergeCell ref="B1:G1"/>
    <mergeCell ref="I1:N1"/>
    <mergeCell ref="B2:G2"/>
    <mergeCell ref="I2:N2"/>
  </mergeCells>
  <printOptions horizontalCentered="1" verticalCentered="1"/>
  <pageMargins left="0.19685039370078741" right="0.19685039370078741" top="0.15748031496062992" bottom="0" header="0.55118110236220474" footer="0.15748031496062992"/>
  <pageSetup paperSize="9" scale="77" orientation="landscape" r:id="rId1"/>
  <headerFooter alignWithMargins="0">
    <oddHeader xml:space="preserve">&amp;R&amp;"-,Félkövér"&amp;16 1. melléklet az    1/2025.(I.31.) önkormányzati rendelethez
"1. melléklet a 8/2024.(III.5.) önkormányzati rendelethez"
&amp;"Times New Roman CE,Félkövér" </oddHeader>
  </headerFooter>
  <colBreaks count="1" manualBreakCount="1">
    <brk id="7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1"/>
  <dimension ref="A1:D47"/>
  <sheetViews>
    <sheetView zoomScale="91" zoomScaleNormal="91" workbookViewId="0">
      <selection activeCell="A50" sqref="A50:XFD51"/>
    </sheetView>
  </sheetViews>
  <sheetFormatPr defaultRowHeight="15.75" x14ac:dyDescent="0.25"/>
  <cols>
    <col min="1" max="1" width="90.1640625" style="209" customWidth="1"/>
    <col min="2" max="2" width="29.6640625" style="209" bestFit="1" customWidth="1"/>
    <col min="3" max="3" width="39.33203125" style="209" customWidth="1"/>
    <col min="4" max="4" width="38.33203125" style="209" bestFit="1" customWidth="1"/>
    <col min="5" max="16384" width="9.33203125" style="209"/>
  </cols>
  <sheetData>
    <row r="1" spans="1:4" x14ac:dyDescent="0.25">
      <c r="A1" s="208"/>
      <c r="B1" s="208"/>
      <c r="C1" s="208"/>
      <c r="D1" s="208"/>
    </row>
    <row r="2" spans="1:4" ht="21" x14ac:dyDescent="0.35">
      <c r="A2" s="979" t="s">
        <v>59</v>
      </c>
      <c r="B2" s="979"/>
      <c r="C2" s="979"/>
    </row>
    <row r="3" spans="1:4" x14ac:dyDescent="0.25">
      <c r="A3" s="208"/>
      <c r="B3" s="208"/>
      <c r="C3" s="208"/>
      <c r="D3" s="208"/>
    </row>
    <row r="4" spans="1:4" ht="19.5" thickBot="1" x14ac:dyDescent="0.35">
      <c r="A4" s="100" t="s">
        <v>38</v>
      </c>
      <c r="B4" s="100"/>
      <c r="C4" s="100"/>
      <c r="D4" s="210" t="s">
        <v>224</v>
      </c>
    </row>
    <row r="5" spans="1:4" x14ac:dyDescent="0.25">
      <c r="A5" s="211" t="s">
        <v>170</v>
      </c>
      <c r="B5" s="19" t="s">
        <v>614</v>
      </c>
      <c r="C5" s="19" t="s">
        <v>557</v>
      </c>
      <c r="D5" s="19" t="s">
        <v>651</v>
      </c>
    </row>
    <row r="6" spans="1:4" ht="16.5" thickBot="1" x14ac:dyDescent="0.3">
      <c r="A6" s="212"/>
      <c r="B6" s="23" t="s">
        <v>372</v>
      </c>
      <c r="C6" s="23" t="s">
        <v>558</v>
      </c>
      <c r="D6" s="23" t="s">
        <v>372</v>
      </c>
    </row>
    <row r="7" spans="1:4" s="77" customFormat="1" ht="21.75" thickBot="1" x14ac:dyDescent="0.4">
      <c r="A7" s="612" t="s">
        <v>551</v>
      </c>
      <c r="B7" s="543">
        <v>1800642</v>
      </c>
      <c r="C7" s="543">
        <f>52759+482-10496+403</f>
        <v>43148</v>
      </c>
      <c r="D7" s="543">
        <f>SUM(B7:C7)</f>
        <v>1843790</v>
      </c>
    </row>
    <row r="8" spans="1:4" ht="21" x14ac:dyDescent="0.35">
      <c r="A8" s="214" t="s">
        <v>206</v>
      </c>
      <c r="B8" s="215"/>
      <c r="C8" s="215"/>
      <c r="D8" s="216"/>
    </row>
    <row r="9" spans="1:4" ht="21" x14ac:dyDescent="0.35">
      <c r="A9" s="549" t="s">
        <v>547</v>
      </c>
      <c r="B9" s="217">
        <v>470302</v>
      </c>
      <c r="C9" s="217">
        <f>4580+1459-148-10000-600-13-2000-4400-387</f>
        <v>-11509</v>
      </c>
      <c r="D9" s="217">
        <f t="shared" ref="D9:D34" si="0">SUM(B9:C9)</f>
        <v>458793</v>
      </c>
    </row>
    <row r="10" spans="1:4" ht="21" x14ac:dyDescent="0.35">
      <c r="A10" s="218" t="s">
        <v>379</v>
      </c>
      <c r="B10" s="183">
        <v>2000</v>
      </c>
      <c r="C10" s="183"/>
      <c r="D10" s="183">
        <f t="shared" si="0"/>
        <v>2000</v>
      </c>
    </row>
    <row r="11" spans="1:4" ht="21" x14ac:dyDescent="0.35">
      <c r="A11" s="213" t="s">
        <v>478</v>
      </c>
      <c r="B11" s="217">
        <v>181272</v>
      </c>
      <c r="C11" s="217"/>
      <c r="D11" s="217">
        <f t="shared" si="0"/>
        <v>181272</v>
      </c>
    </row>
    <row r="12" spans="1:4" ht="33" x14ac:dyDescent="0.35">
      <c r="A12" s="220" t="s">
        <v>634</v>
      </c>
      <c r="B12" s="183">
        <v>15000</v>
      </c>
      <c r="C12" s="183"/>
      <c r="D12" s="183">
        <f t="shared" si="0"/>
        <v>15000</v>
      </c>
    </row>
    <row r="13" spans="1:4" ht="21" x14ac:dyDescent="0.35">
      <c r="A13" s="163" t="s">
        <v>276</v>
      </c>
      <c r="B13" s="183">
        <v>2154</v>
      </c>
      <c r="C13" s="183"/>
      <c r="D13" s="183">
        <f t="shared" si="0"/>
        <v>2154</v>
      </c>
    </row>
    <row r="14" spans="1:4" ht="21" x14ac:dyDescent="0.35">
      <c r="A14" s="163" t="s">
        <v>20</v>
      </c>
      <c r="B14" s="183">
        <v>2500</v>
      </c>
      <c r="C14" s="183"/>
      <c r="D14" s="183">
        <f t="shared" si="0"/>
        <v>2500</v>
      </c>
    </row>
    <row r="15" spans="1:4" ht="21" x14ac:dyDescent="0.35">
      <c r="A15" s="163" t="s">
        <v>18</v>
      </c>
      <c r="B15" s="183">
        <v>0</v>
      </c>
      <c r="C15" s="183"/>
      <c r="D15" s="183">
        <f t="shared" si="0"/>
        <v>0</v>
      </c>
    </row>
    <row r="16" spans="1:4" ht="21" x14ac:dyDescent="0.35">
      <c r="A16" s="163" t="s">
        <v>101</v>
      </c>
      <c r="B16" s="183">
        <v>11000</v>
      </c>
      <c r="C16" s="183"/>
      <c r="D16" s="183">
        <f t="shared" si="0"/>
        <v>11000</v>
      </c>
    </row>
    <row r="17" spans="1:4" ht="21" x14ac:dyDescent="0.35">
      <c r="A17" s="163" t="s">
        <v>383</v>
      </c>
      <c r="B17" s="183">
        <v>10000</v>
      </c>
      <c r="C17" s="183"/>
      <c r="D17" s="183">
        <f t="shared" si="0"/>
        <v>10000</v>
      </c>
    </row>
    <row r="18" spans="1:4" ht="33" x14ac:dyDescent="0.35">
      <c r="A18" s="219" t="s">
        <v>382</v>
      </c>
      <c r="B18" s="183">
        <v>3325</v>
      </c>
      <c r="C18" s="183"/>
      <c r="D18" s="183">
        <f t="shared" si="0"/>
        <v>3325</v>
      </c>
    </row>
    <row r="19" spans="1:4" ht="21" x14ac:dyDescent="0.35">
      <c r="A19" s="220" t="s">
        <v>0</v>
      </c>
      <c r="B19" s="183">
        <v>80007</v>
      </c>
      <c r="C19" s="183"/>
      <c r="D19" s="183">
        <f t="shared" si="0"/>
        <v>80007</v>
      </c>
    </row>
    <row r="20" spans="1:4" ht="21" x14ac:dyDescent="0.35">
      <c r="A20" s="220" t="s">
        <v>381</v>
      </c>
      <c r="B20" s="183">
        <v>26326</v>
      </c>
      <c r="C20" s="183">
        <v>12743</v>
      </c>
      <c r="D20" s="183">
        <f t="shared" si="0"/>
        <v>39069</v>
      </c>
    </row>
    <row r="21" spans="1:4" ht="21" x14ac:dyDescent="0.35">
      <c r="A21" s="220" t="s">
        <v>452</v>
      </c>
      <c r="B21" s="183">
        <v>37</v>
      </c>
      <c r="C21" s="183">
        <v>13</v>
      </c>
      <c r="D21" s="183">
        <f t="shared" si="0"/>
        <v>50</v>
      </c>
    </row>
    <row r="22" spans="1:4" ht="21" x14ac:dyDescent="0.35">
      <c r="A22" s="213" t="s">
        <v>273</v>
      </c>
      <c r="B22" s="217">
        <v>16</v>
      </c>
      <c r="C22" s="217">
        <f>-403+387</f>
        <v>-16</v>
      </c>
      <c r="D22" s="217">
        <f t="shared" si="0"/>
        <v>0</v>
      </c>
    </row>
    <row r="23" spans="1:4" ht="21" x14ac:dyDescent="0.35">
      <c r="A23" s="220" t="s">
        <v>278</v>
      </c>
      <c r="B23" s="183">
        <v>660</v>
      </c>
      <c r="C23" s="183"/>
      <c r="D23" s="183">
        <f t="shared" si="0"/>
        <v>660</v>
      </c>
    </row>
    <row r="24" spans="1:4" ht="48.75" x14ac:dyDescent="0.35">
      <c r="A24" s="220" t="s">
        <v>529</v>
      </c>
      <c r="B24" s="183">
        <v>10000</v>
      </c>
      <c r="C24" s="183"/>
      <c r="D24" s="183">
        <f t="shared" si="0"/>
        <v>10000</v>
      </c>
    </row>
    <row r="25" spans="1:4" ht="21" x14ac:dyDescent="0.35">
      <c r="A25" s="220" t="s">
        <v>320</v>
      </c>
      <c r="B25" s="183">
        <v>10809</v>
      </c>
      <c r="C25" s="183"/>
      <c r="D25" s="183">
        <f t="shared" si="0"/>
        <v>10809</v>
      </c>
    </row>
    <row r="26" spans="1:4" ht="21" x14ac:dyDescent="0.35">
      <c r="A26" s="220" t="s">
        <v>513</v>
      </c>
      <c r="B26" s="183">
        <v>10000</v>
      </c>
      <c r="C26" s="183"/>
      <c r="D26" s="183">
        <f t="shared" si="0"/>
        <v>10000</v>
      </c>
    </row>
    <row r="27" spans="1:4" ht="21" x14ac:dyDescent="0.35">
      <c r="A27" s="220" t="s">
        <v>371</v>
      </c>
      <c r="B27" s="183">
        <v>3000</v>
      </c>
      <c r="C27" s="183"/>
      <c r="D27" s="183">
        <f t="shared" si="0"/>
        <v>3000</v>
      </c>
    </row>
    <row r="28" spans="1:4" ht="21" x14ac:dyDescent="0.35">
      <c r="A28" s="220" t="s">
        <v>577</v>
      </c>
      <c r="B28" s="183">
        <v>200</v>
      </c>
      <c r="C28" s="183"/>
      <c r="D28" s="183">
        <f t="shared" si="0"/>
        <v>200</v>
      </c>
    </row>
    <row r="29" spans="1:4" ht="33" x14ac:dyDescent="0.35">
      <c r="A29" s="220" t="s">
        <v>633</v>
      </c>
      <c r="B29" s="183">
        <v>400</v>
      </c>
      <c r="C29" s="183">
        <v>148</v>
      </c>
      <c r="D29" s="183">
        <f t="shared" si="0"/>
        <v>548</v>
      </c>
    </row>
    <row r="30" spans="1:4" ht="21" x14ac:dyDescent="0.35">
      <c r="A30" s="220" t="s">
        <v>621</v>
      </c>
      <c r="B30" s="183">
        <v>400</v>
      </c>
      <c r="C30" s="183"/>
      <c r="D30" s="183">
        <f t="shared" si="0"/>
        <v>400</v>
      </c>
    </row>
    <row r="31" spans="1:4" ht="48.75" x14ac:dyDescent="0.35">
      <c r="A31" s="220" t="s">
        <v>446</v>
      </c>
      <c r="B31" s="183">
        <v>200</v>
      </c>
      <c r="C31" s="183">
        <v>1200</v>
      </c>
      <c r="D31" s="183">
        <f t="shared" si="0"/>
        <v>1400</v>
      </c>
    </row>
    <row r="32" spans="1:4" ht="31.5" x14ac:dyDescent="0.35">
      <c r="A32" s="645" t="s">
        <v>664</v>
      </c>
      <c r="B32" s="183"/>
      <c r="C32" s="183">
        <v>2000</v>
      </c>
      <c r="D32" s="183">
        <f t="shared" si="0"/>
        <v>2000</v>
      </c>
    </row>
    <row r="33" spans="1:4" ht="21" x14ac:dyDescent="0.35">
      <c r="A33" s="220" t="s">
        <v>667</v>
      </c>
      <c r="B33" s="183"/>
      <c r="C33" s="183">
        <v>600</v>
      </c>
      <c r="D33" s="183">
        <f t="shared" si="0"/>
        <v>600</v>
      </c>
    </row>
    <row r="34" spans="1:4" ht="49.5" thickBot="1" x14ac:dyDescent="0.4">
      <c r="A34" s="220" t="s">
        <v>466</v>
      </c>
      <c r="B34" s="221">
        <v>10432</v>
      </c>
      <c r="C34" s="221">
        <v>2358</v>
      </c>
      <c r="D34" s="221">
        <f t="shared" si="0"/>
        <v>12790</v>
      </c>
    </row>
    <row r="35" spans="1:4" ht="39" customHeight="1" thickBot="1" x14ac:dyDescent="0.4">
      <c r="A35" s="222" t="s">
        <v>13</v>
      </c>
      <c r="B35" s="223">
        <f>SUM(B8:B34)</f>
        <v>850040</v>
      </c>
      <c r="C35" s="223">
        <f>SUM(C8:C34)</f>
        <v>7537</v>
      </c>
      <c r="D35" s="223">
        <f>SUM(D8:D34)</f>
        <v>857577</v>
      </c>
    </row>
    <row r="36" spans="1:4" ht="21.75" thickBot="1" x14ac:dyDescent="0.4">
      <c r="A36" s="224" t="s">
        <v>122</v>
      </c>
      <c r="B36" s="225">
        <f>B35</f>
        <v>850040</v>
      </c>
      <c r="C36" s="225">
        <f>C35</f>
        <v>7537</v>
      </c>
      <c r="D36" s="225">
        <f>D35</f>
        <v>857577</v>
      </c>
    </row>
    <row r="37" spans="1:4" s="228" customFormat="1" ht="21.75" thickBot="1" x14ac:dyDescent="0.4">
      <c r="A37" s="226" t="s">
        <v>298</v>
      </c>
      <c r="B37" s="227">
        <f>+B7+B36</f>
        <v>2650682</v>
      </c>
      <c r="C37" s="227">
        <f>+C7+C36</f>
        <v>50685</v>
      </c>
      <c r="D37" s="227">
        <f>+D7+D36</f>
        <v>2701367</v>
      </c>
    </row>
    <row r="39" spans="1:4" ht="19.5" thickBot="1" x14ac:dyDescent="0.35">
      <c r="A39" s="100" t="s">
        <v>87</v>
      </c>
      <c r="B39" s="100"/>
      <c r="C39" s="100"/>
      <c r="D39" s="100"/>
    </row>
    <row r="40" spans="1:4" x14ac:dyDescent="0.25">
      <c r="A40" s="229" t="s">
        <v>170</v>
      </c>
      <c r="B40" s="19" t="s">
        <v>614</v>
      </c>
      <c r="C40" s="19" t="s">
        <v>557</v>
      </c>
      <c r="D40" s="19" t="s">
        <v>651</v>
      </c>
    </row>
    <row r="41" spans="1:4" ht="16.5" thickBot="1" x14ac:dyDescent="0.3">
      <c r="A41" s="230"/>
      <c r="B41" s="23" t="s">
        <v>372</v>
      </c>
      <c r="C41" s="23" t="s">
        <v>558</v>
      </c>
      <c r="D41" s="23" t="s">
        <v>372</v>
      </c>
    </row>
    <row r="42" spans="1:4" ht="21.75" thickBot="1" x14ac:dyDescent="0.4">
      <c r="A42" s="551" t="s">
        <v>551</v>
      </c>
      <c r="B42" s="223">
        <v>85390</v>
      </c>
      <c r="C42" s="227">
        <f>23890+600</f>
        <v>24490</v>
      </c>
      <c r="D42" s="227">
        <f>SUM(B42:C42)</f>
        <v>109880</v>
      </c>
    </row>
    <row r="43" spans="1:4" ht="21.75" thickBot="1" x14ac:dyDescent="0.4">
      <c r="A43" s="232"/>
      <c r="B43" s="233"/>
      <c r="C43" s="233"/>
      <c r="D43" s="233"/>
    </row>
    <row r="44" spans="1:4" ht="21.75" thickBot="1" x14ac:dyDescent="0.4">
      <c r="A44" s="234" t="s">
        <v>299</v>
      </c>
      <c r="B44" s="235">
        <f>+B42+B37</f>
        <v>2736072</v>
      </c>
      <c r="C44" s="235">
        <f>+C42+C37</f>
        <v>75175</v>
      </c>
      <c r="D44" s="235">
        <f>+D42+D37</f>
        <v>2811247</v>
      </c>
    </row>
    <row r="46" spans="1:4" x14ac:dyDescent="0.25">
      <c r="A46" s="228" t="s">
        <v>79</v>
      </c>
      <c r="B46" s="228"/>
      <c r="C46" s="228"/>
      <c r="D46" s="236"/>
    </row>
    <row r="47" spans="1:4" x14ac:dyDescent="0.25">
      <c r="A47" s="228" t="s">
        <v>80</v>
      </c>
      <c r="B47" s="228"/>
      <c r="C47" s="228"/>
      <c r="D47" s="228"/>
    </row>
  </sheetData>
  <customSheetViews>
    <customSheetView guid="{6D4B996F-8915-4E78-98C2-E7EAE9C4580C}" scale="75" printArea="1" showRuler="0" topLeftCell="A10">
      <selection activeCell="B28" sqref="B28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1"/>
      <headerFooter alignWithMargins="0">
        <oddHeader>&amp;L&amp;F   &amp;A&amp;RM.III/4. sz. melléklet</oddHeader>
      </headerFooter>
    </customSheetView>
    <customSheetView guid="{186732C5-520C-4E06-B066-B4F3F0A3E322}" scale="75" showRuler="0" topLeftCell="A13">
      <selection activeCell="B33" sqref="B33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2"/>
      <headerFooter alignWithMargins="0">
        <oddHeader>&amp;L&amp;F   &amp;A&amp;RM.III/4. sz. melléklet</oddHeader>
      </headerFooter>
    </customSheetView>
  </customSheetViews>
  <mergeCells count="1">
    <mergeCell ref="A2:C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53" orientation="portrait" r:id="rId3"/>
  <headerFooter alignWithMargins="0">
    <oddHeader xml:space="preserve">&amp;R&amp;"Times New Roman CE,Félkövér"&amp;12
10. melléklet az    1/2025.(I.31.) önkormányzati rendelethez
"10. melléklet a 8/2024.(III.5.) önkormányzati rendelethez"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2"/>
  <dimension ref="A1:D37"/>
  <sheetViews>
    <sheetView zoomScale="89" zoomScaleNormal="89" workbookViewId="0">
      <selection activeCell="A36" sqref="A36:XFD38"/>
    </sheetView>
  </sheetViews>
  <sheetFormatPr defaultRowHeight="15.75" x14ac:dyDescent="0.25"/>
  <cols>
    <col min="1" max="1" width="91.1640625" style="77" customWidth="1"/>
    <col min="2" max="2" width="29.5" style="77" bestFit="1" customWidth="1"/>
    <col min="3" max="3" width="39.1640625" style="77" customWidth="1"/>
    <col min="4" max="4" width="38.1640625" style="77" bestFit="1" customWidth="1"/>
    <col min="5" max="16384" width="9.33203125" style="77"/>
  </cols>
  <sheetData>
    <row r="1" spans="1:4" x14ac:dyDescent="0.25">
      <c r="A1" s="75"/>
      <c r="B1" s="75"/>
      <c r="C1" s="75"/>
      <c r="D1" s="75"/>
    </row>
    <row r="2" spans="1:4" ht="21" x14ac:dyDescent="0.35">
      <c r="A2" s="978" t="s">
        <v>60</v>
      </c>
      <c r="B2" s="978"/>
      <c r="C2" s="978"/>
    </row>
    <row r="3" spans="1:4" x14ac:dyDescent="0.25">
      <c r="A3" s="75"/>
      <c r="B3" s="75"/>
      <c r="C3" s="75"/>
      <c r="D3" s="75"/>
    </row>
    <row r="4" spans="1:4" ht="19.5" thickBot="1" x14ac:dyDescent="0.35">
      <c r="A4" s="6" t="s">
        <v>38</v>
      </c>
      <c r="B4" s="6"/>
      <c r="C4" s="6"/>
      <c r="D4" s="155" t="s">
        <v>224</v>
      </c>
    </row>
    <row r="5" spans="1:4" x14ac:dyDescent="0.25">
      <c r="A5" s="156" t="s">
        <v>170</v>
      </c>
      <c r="B5" s="19" t="s">
        <v>614</v>
      </c>
      <c r="C5" s="19" t="s">
        <v>557</v>
      </c>
      <c r="D5" s="19" t="s">
        <v>651</v>
      </c>
    </row>
    <row r="6" spans="1:4" ht="16.5" thickBot="1" x14ac:dyDescent="0.3">
      <c r="A6" s="157"/>
      <c r="B6" s="23" t="s">
        <v>372</v>
      </c>
      <c r="C6" s="23" t="s">
        <v>558</v>
      </c>
      <c r="D6" s="23" t="s">
        <v>372</v>
      </c>
    </row>
    <row r="7" spans="1:4" s="81" customFormat="1" ht="21.75" thickBot="1" x14ac:dyDescent="0.4">
      <c r="A7" s="601" t="s">
        <v>618</v>
      </c>
      <c r="B7" s="543">
        <v>1085033</v>
      </c>
      <c r="C7" s="543">
        <v>23497</v>
      </c>
      <c r="D7" s="543">
        <f>SUM(B7:C7)</f>
        <v>1108530</v>
      </c>
    </row>
    <row r="8" spans="1:4" ht="21" x14ac:dyDescent="0.35">
      <c r="A8" s="238" t="s">
        <v>197</v>
      </c>
      <c r="B8" s="162">
        <v>0</v>
      </c>
      <c r="C8" s="162"/>
      <c r="D8" s="162">
        <f t="shared" ref="D8:D19" si="0">SUM(B8:C8)</f>
        <v>0</v>
      </c>
    </row>
    <row r="9" spans="1:4" ht="21" x14ac:dyDescent="0.35">
      <c r="A9" s="164" t="s">
        <v>147</v>
      </c>
      <c r="B9" s="32">
        <v>0</v>
      </c>
      <c r="C9" s="35"/>
      <c r="D9" s="32">
        <f t="shared" si="0"/>
        <v>0</v>
      </c>
    </row>
    <row r="10" spans="1:4" ht="32.25" customHeight="1" x14ac:dyDescent="0.35">
      <c r="A10" s="163" t="s">
        <v>514</v>
      </c>
      <c r="B10" s="32">
        <v>612</v>
      </c>
      <c r="C10" s="35">
        <v>-23</v>
      </c>
      <c r="D10" s="32">
        <f t="shared" si="0"/>
        <v>589</v>
      </c>
    </row>
    <row r="11" spans="1:4" ht="21" x14ac:dyDescent="0.35">
      <c r="A11" s="164" t="s">
        <v>274</v>
      </c>
      <c r="B11" s="32">
        <v>3512</v>
      </c>
      <c r="C11" s="35"/>
      <c r="D11" s="32">
        <f t="shared" si="0"/>
        <v>3512</v>
      </c>
    </row>
    <row r="12" spans="1:4" ht="21" x14ac:dyDescent="0.35">
      <c r="A12" s="164" t="s">
        <v>152</v>
      </c>
      <c r="B12" s="32">
        <v>2500</v>
      </c>
      <c r="C12" s="35"/>
      <c r="D12" s="32">
        <f t="shared" si="0"/>
        <v>2500</v>
      </c>
    </row>
    <row r="13" spans="1:4" ht="33" x14ac:dyDescent="0.35">
      <c r="A13" s="165" t="s">
        <v>460</v>
      </c>
      <c r="B13" s="32">
        <v>2500</v>
      </c>
      <c r="C13" s="35"/>
      <c r="D13" s="32">
        <f t="shared" si="0"/>
        <v>2500</v>
      </c>
    </row>
    <row r="14" spans="1:4" ht="21" x14ac:dyDescent="0.35">
      <c r="A14" s="164" t="s">
        <v>83</v>
      </c>
      <c r="B14" s="32">
        <v>2000</v>
      </c>
      <c r="C14" s="35"/>
      <c r="D14" s="32">
        <f t="shared" si="0"/>
        <v>2000</v>
      </c>
    </row>
    <row r="15" spans="1:4" ht="21" x14ac:dyDescent="0.35">
      <c r="A15" s="164" t="s">
        <v>490</v>
      </c>
      <c r="B15" s="32">
        <v>6000</v>
      </c>
      <c r="C15" s="35"/>
      <c r="D15" s="32">
        <f t="shared" si="0"/>
        <v>6000</v>
      </c>
    </row>
    <row r="16" spans="1:4" ht="21" x14ac:dyDescent="0.35">
      <c r="A16" s="165" t="s">
        <v>543</v>
      </c>
      <c r="B16" s="32">
        <v>6979</v>
      </c>
      <c r="C16" s="35"/>
      <c r="D16" s="32">
        <f t="shared" si="0"/>
        <v>6979</v>
      </c>
    </row>
    <row r="17" spans="1:4" ht="21" x14ac:dyDescent="0.35">
      <c r="A17" s="165" t="s">
        <v>388</v>
      </c>
      <c r="B17" s="32">
        <v>40599</v>
      </c>
      <c r="C17" s="35"/>
      <c r="D17" s="32">
        <f t="shared" si="0"/>
        <v>40599</v>
      </c>
    </row>
    <row r="18" spans="1:4" ht="21" x14ac:dyDescent="0.35">
      <c r="A18" s="165" t="s">
        <v>576</v>
      </c>
      <c r="B18" s="32">
        <v>2000</v>
      </c>
      <c r="C18" s="35"/>
      <c r="D18" s="32">
        <f t="shared" si="0"/>
        <v>2000</v>
      </c>
    </row>
    <row r="19" spans="1:4" ht="21" x14ac:dyDescent="0.35">
      <c r="A19" s="239" t="s">
        <v>393</v>
      </c>
      <c r="B19" s="32">
        <v>3796</v>
      </c>
      <c r="C19" s="35">
        <v>23</v>
      </c>
      <c r="D19" s="32">
        <f t="shared" si="0"/>
        <v>3819</v>
      </c>
    </row>
    <row r="20" spans="1:4" ht="21.75" thickBot="1" x14ac:dyDescent="0.4">
      <c r="A20" s="240" t="s">
        <v>123</v>
      </c>
      <c r="B20" s="57">
        <f>SUM(B8:B19)</f>
        <v>70498</v>
      </c>
      <c r="C20" s="57">
        <f>SUM(C8:C19)</f>
        <v>0</v>
      </c>
      <c r="D20" s="57">
        <f>SUM(D8:D19)</f>
        <v>70498</v>
      </c>
    </row>
    <row r="21" spans="1:4" s="81" customFormat="1" ht="21.75" thickBot="1" x14ac:dyDescent="0.4">
      <c r="A21" s="241" t="s">
        <v>301</v>
      </c>
      <c r="B21" s="125">
        <f>B7+B20</f>
        <v>1155531</v>
      </c>
      <c r="C21" s="125">
        <f>C7+C20</f>
        <v>23497</v>
      </c>
      <c r="D21" s="125">
        <f>D7+D20</f>
        <v>1179028</v>
      </c>
    </row>
    <row r="24" spans="1:4" ht="19.5" thickBot="1" x14ac:dyDescent="0.35">
      <c r="A24" s="6" t="s">
        <v>87</v>
      </c>
      <c r="B24" s="6"/>
      <c r="C24" s="6"/>
      <c r="D24" s="6"/>
    </row>
    <row r="25" spans="1:4" x14ac:dyDescent="0.25">
      <c r="A25" s="156" t="s">
        <v>170</v>
      </c>
      <c r="B25" s="19" t="s">
        <v>614</v>
      </c>
      <c r="C25" s="19" t="s">
        <v>557</v>
      </c>
      <c r="D25" s="19" t="s">
        <v>651</v>
      </c>
    </row>
    <row r="26" spans="1:4" ht="16.5" thickBot="1" x14ac:dyDescent="0.3">
      <c r="A26" s="157"/>
      <c r="B26" s="23" t="s">
        <v>372</v>
      </c>
      <c r="C26" s="23" t="s">
        <v>558</v>
      </c>
      <c r="D26" s="23" t="s">
        <v>372</v>
      </c>
    </row>
    <row r="27" spans="1:4" ht="21.75" thickBot="1" x14ac:dyDescent="0.4">
      <c r="A27" s="185" t="s">
        <v>618</v>
      </c>
      <c r="B27" s="58">
        <v>6381</v>
      </c>
      <c r="C27" s="58">
        <v>22</v>
      </c>
      <c r="D27" s="58">
        <f>SUM(B27:C27)</f>
        <v>6403</v>
      </c>
    </row>
    <row r="28" spans="1:4" ht="21.75" thickBot="1" x14ac:dyDescent="0.4">
      <c r="A28" s="204"/>
      <c r="B28" s="178"/>
      <c r="C28" s="178"/>
      <c r="D28" s="178"/>
    </row>
    <row r="29" spans="1:4" ht="21.75" thickBot="1" x14ac:dyDescent="0.4">
      <c r="A29" s="147" t="s">
        <v>302</v>
      </c>
      <c r="B29" s="58">
        <f>+B21+B27</f>
        <v>1161912</v>
      </c>
      <c r="C29" s="58">
        <f>+C21+C27</f>
        <v>23519</v>
      </c>
      <c r="D29" s="58">
        <f>+D21+D27</f>
        <v>1185431</v>
      </c>
    </row>
    <row r="31" spans="1:4" x14ac:dyDescent="0.25">
      <c r="A31" s="81" t="s">
        <v>79</v>
      </c>
      <c r="B31" s="81"/>
      <c r="C31" s="81"/>
      <c r="D31" s="179"/>
    </row>
    <row r="32" spans="1:4" x14ac:dyDescent="0.25">
      <c r="A32" s="81" t="s">
        <v>80</v>
      </c>
      <c r="B32" s="81"/>
      <c r="C32" s="81"/>
      <c r="D32" s="81"/>
    </row>
    <row r="37" spans="4:4" x14ac:dyDescent="0.25">
      <c r="D37" s="78"/>
    </row>
  </sheetData>
  <customSheetViews>
    <customSheetView guid="{6D4B996F-8915-4E78-98C2-E7EAE9C4580C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1"/>
      <headerFooter alignWithMargins="0">
        <oddHeader>&amp;L&amp;F  &amp;A&amp;RM.III/5.sz. melléklet</oddHeader>
      </headerFooter>
    </customSheetView>
    <customSheetView guid="{186732C5-520C-4E06-B066-B4F3F0A3E322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2"/>
      <headerFooter alignWithMargins="0">
        <oddHeader>&amp;L&amp;F  &amp;A&amp;RM.III/5.sz. melléklet</oddHeader>
      </headerFooter>
    </customSheetView>
  </customSheetViews>
  <mergeCells count="1">
    <mergeCell ref="A2:C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55" orientation="portrait" r:id="rId3"/>
  <headerFooter alignWithMargins="0">
    <oddHeader xml:space="preserve">&amp;R&amp;"Times New Roman CE,Félkövér"&amp;12
11. melléklet az    1/2025.(I.31.) önkormányzati rendelethez
"11. melléklet a 8/2024.(III.5.) önkormányzati rendelethez"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3"/>
  <dimension ref="A1:D21"/>
  <sheetViews>
    <sheetView zoomScale="95" zoomScaleNormal="95" workbookViewId="0">
      <selection activeCell="D28" sqref="D28"/>
    </sheetView>
  </sheetViews>
  <sheetFormatPr defaultRowHeight="15.75" x14ac:dyDescent="0.25"/>
  <cols>
    <col min="1" max="1" width="99.6640625" style="77" customWidth="1"/>
    <col min="2" max="2" width="36.6640625" style="77" customWidth="1"/>
    <col min="3" max="3" width="35.5" style="77" customWidth="1"/>
    <col min="4" max="4" width="38.1640625" style="77" bestFit="1" customWidth="1"/>
    <col min="5" max="16384" width="9.33203125" style="77"/>
  </cols>
  <sheetData>
    <row r="1" spans="1:4" x14ac:dyDescent="0.25">
      <c r="A1" s="75"/>
      <c r="B1" s="75"/>
      <c r="C1" s="75"/>
      <c r="D1" s="75"/>
    </row>
    <row r="2" spans="1:4" ht="21" x14ac:dyDescent="0.35">
      <c r="A2" s="978" t="s">
        <v>305</v>
      </c>
      <c r="B2" s="978"/>
      <c r="C2" s="978"/>
    </row>
    <row r="4" spans="1:4" ht="19.5" thickBot="1" x14ac:dyDescent="0.35">
      <c r="A4" s="6" t="s">
        <v>38</v>
      </c>
      <c r="B4" s="6"/>
      <c r="C4" s="6"/>
      <c r="D4" s="16" t="s">
        <v>224</v>
      </c>
    </row>
    <row r="5" spans="1:4" x14ac:dyDescent="0.25">
      <c r="A5" s="156" t="s">
        <v>170</v>
      </c>
      <c r="B5" s="19" t="s">
        <v>614</v>
      </c>
      <c r="C5" s="19" t="s">
        <v>557</v>
      </c>
      <c r="D5" s="19" t="s">
        <v>651</v>
      </c>
    </row>
    <row r="6" spans="1:4" ht="16.5" thickBot="1" x14ac:dyDescent="0.3">
      <c r="A6" s="181"/>
      <c r="B6" s="23" t="s">
        <v>372</v>
      </c>
      <c r="C6" s="23" t="s">
        <v>558</v>
      </c>
      <c r="D6" s="23" t="s">
        <v>372</v>
      </c>
    </row>
    <row r="7" spans="1:4" ht="21.75" thickBot="1" x14ac:dyDescent="0.4">
      <c r="A7" s="603" t="s">
        <v>619</v>
      </c>
      <c r="B7" s="543">
        <v>1764818</v>
      </c>
      <c r="C7" s="543">
        <f>8103+5846+400</f>
        <v>14349</v>
      </c>
      <c r="D7" s="543">
        <f>SUM(B7:C7)</f>
        <v>1779167</v>
      </c>
    </row>
    <row r="8" spans="1:4" ht="21" x14ac:dyDescent="0.35">
      <c r="A8" s="602" t="s">
        <v>275</v>
      </c>
      <c r="B8" s="242">
        <v>241</v>
      </c>
      <c r="C8" s="243"/>
      <c r="D8" s="35">
        <f>SUM(B8:C8)</f>
        <v>241</v>
      </c>
    </row>
    <row r="9" spans="1:4" ht="52.5" customHeight="1" thickBot="1" x14ac:dyDescent="0.4">
      <c r="A9" s="165" t="s">
        <v>131</v>
      </c>
      <c r="B9" s="35">
        <v>3000</v>
      </c>
      <c r="C9" s="35"/>
      <c r="D9" s="35">
        <f>SUM(B9:C9)</f>
        <v>3000</v>
      </c>
    </row>
    <row r="10" spans="1:4" ht="21.75" thickBot="1" x14ac:dyDescent="0.4">
      <c r="A10" s="202" t="s">
        <v>124</v>
      </c>
      <c r="B10" s="58">
        <f>SUM(B8:B9)</f>
        <v>3241</v>
      </c>
      <c r="C10" s="58">
        <f>SUM(C8:C9)</f>
        <v>0</v>
      </c>
      <c r="D10" s="58">
        <f>SUM(D8:D9)</f>
        <v>3241</v>
      </c>
    </row>
    <row r="11" spans="1:4" ht="21.75" thickBot="1" x14ac:dyDescent="0.4">
      <c r="A11" s="244" t="s">
        <v>303</v>
      </c>
      <c r="B11" s="125">
        <f>B7+B10</f>
        <v>1768059</v>
      </c>
      <c r="C11" s="125">
        <f>C7+C10</f>
        <v>14349</v>
      </c>
      <c r="D11" s="125">
        <f>D7+D10</f>
        <v>1782408</v>
      </c>
    </row>
    <row r="12" spans="1:4" x14ac:dyDescent="0.25">
      <c r="A12" s="84"/>
      <c r="B12" s="84"/>
      <c r="C12" s="84"/>
      <c r="D12" s="84"/>
    </row>
    <row r="13" spans="1:4" ht="19.5" thickBot="1" x14ac:dyDescent="0.35">
      <c r="A13" s="6" t="s">
        <v>87</v>
      </c>
      <c r="B13" s="6"/>
      <c r="C13" s="6"/>
      <c r="D13" s="6"/>
    </row>
    <row r="14" spans="1:4" x14ac:dyDescent="0.25">
      <c r="A14" s="173" t="s">
        <v>170</v>
      </c>
      <c r="B14" s="19" t="s">
        <v>614</v>
      </c>
      <c r="C14" s="19" t="s">
        <v>557</v>
      </c>
      <c r="D14" s="19" t="s">
        <v>651</v>
      </c>
    </row>
    <row r="15" spans="1:4" ht="16.5" thickBot="1" x14ac:dyDescent="0.3">
      <c r="A15" s="174"/>
      <c r="B15" s="23" t="s">
        <v>372</v>
      </c>
      <c r="C15" s="23" t="s">
        <v>558</v>
      </c>
      <c r="D15" s="23" t="s">
        <v>372</v>
      </c>
    </row>
    <row r="16" spans="1:4" ht="21.75" thickBot="1" x14ac:dyDescent="0.4">
      <c r="A16" s="551" t="s">
        <v>552</v>
      </c>
      <c r="B16" s="58">
        <v>72614</v>
      </c>
      <c r="C16" s="58">
        <f>9550+400</f>
        <v>9950</v>
      </c>
      <c r="D16" s="58">
        <f>SUM(B16:C16)</f>
        <v>82564</v>
      </c>
    </row>
    <row r="17" spans="1:4" ht="21.75" thickBot="1" x14ac:dyDescent="0.4">
      <c r="A17" s="204"/>
      <c r="B17" s="178"/>
      <c r="C17" s="70"/>
      <c r="D17" s="70"/>
    </row>
    <row r="18" spans="1:4" ht="21.75" thickBot="1" x14ac:dyDescent="0.4">
      <c r="A18" s="147" t="s">
        <v>304</v>
      </c>
      <c r="B18" s="245">
        <f>B11+B16</f>
        <v>1840673</v>
      </c>
      <c r="C18" s="245">
        <f>C11+C16</f>
        <v>24299</v>
      </c>
      <c r="D18" s="245">
        <f>D11+D16</f>
        <v>1864972</v>
      </c>
    </row>
    <row r="20" spans="1:4" x14ac:dyDescent="0.25">
      <c r="A20" s="81" t="s">
        <v>79</v>
      </c>
      <c r="B20" s="81"/>
      <c r="C20" s="81"/>
      <c r="D20" s="246"/>
    </row>
    <row r="21" spans="1:4" x14ac:dyDescent="0.25">
      <c r="A21" s="81" t="s">
        <v>80</v>
      </c>
      <c r="B21" s="81"/>
      <c r="C21" s="81"/>
      <c r="D21" s="81"/>
    </row>
  </sheetData>
  <customSheetViews>
    <customSheetView guid="{6D4B996F-8915-4E78-98C2-E7EAE9C4580C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1"/>
      <headerFooter alignWithMargins="0">
        <oddHeader>&amp;L&amp;F  &amp;A&amp;RM.III/6. sz. melléklet</oddHeader>
      </headerFooter>
    </customSheetView>
    <customSheetView guid="{186732C5-520C-4E06-B066-B4F3F0A3E322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2"/>
      <headerFooter alignWithMargins="0">
        <oddHeader>&amp;L&amp;F  &amp;A&amp;RM.III/6. sz. melléklet</oddHeader>
      </headerFooter>
    </customSheetView>
  </customSheetViews>
  <mergeCells count="1">
    <mergeCell ref="A2:C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54" orientation="portrait" r:id="rId3"/>
  <headerFooter alignWithMargins="0">
    <oddHeader xml:space="preserve">&amp;R&amp;"Times New Roman CE,Félkövér"&amp;12
12. melléklet az    1/2025.(I.31.) önkormányzati rendelethez
"12. melléklet a 8/2024.(III.5.) önkormányzati rendelethez"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4"/>
  <dimension ref="A2:D118"/>
  <sheetViews>
    <sheetView zoomScale="112" zoomScaleNormal="112" workbookViewId="0">
      <selection activeCell="A115" sqref="A115:XFD119"/>
    </sheetView>
  </sheetViews>
  <sheetFormatPr defaultRowHeight="15.75" x14ac:dyDescent="0.25"/>
  <cols>
    <col min="1" max="1" width="111.6640625" style="280" customWidth="1"/>
    <col min="2" max="2" width="34.1640625" style="281" customWidth="1"/>
    <col min="3" max="3" width="41.1640625" style="281" customWidth="1"/>
    <col min="4" max="4" width="38.1640625" style="210" bestFit="1" customWidth="1"/>
    <col min="5" max="16384" width="9.33203125" style="247"/>
  </cols>
  <sheetData>
    <row r="2" spans="1:4" ht="21" x14ac:dyDescent="0.35">
      <c r="A2" s="979" t="s">
        <v>132</v>
      </c>
      <c r="B2" s="979"/>
      <c r="C2" s="979"/>
    </row>
    <row r="3" spans="1:4" ht="19.5" thickBot="1" x14ac:dyDescent="0.35">
      <c r="A3" s="248" t="s">
        <v>38</v>
      </c>
      <c r="B3" s="249"/>
      <c r="C3" s="249"/>
      <c r="D3" s="250" t="s">
        <v>224</v>
      </c>
    </row>
    <row r="4" spans="1:4" x14ac:dyDescent="0.25">
      <c r="A4" s="211" t="s">
        <v>170</v>
      </c>
      <c r="B4" s="19" t="s">
        <v>614</v>
      </c>
      <c r="C4" s="19" t="s">
        <v>557</v>
      </c>
      <c r="D4" s="19" t="s">
        <v>651</v>
      </c>
    </row>
    <row r="5" spans="1:4" ht="16.5" thickBot="1" x14ac:dyDescent="0.3">
      <c r="A5" s="251"/>
      <c r="B5" s="23" t="s">
        <v>372</v>
      </c>
      <c r="C5" s="23" t="s">
        <v>558</v>
      </c>
      <c r="D5" s="23" t="s">
        <v>372</v>
      </c>
    </row>
    <row r="6" spans="1:4" s="81" customFormat="1" ht="21" x14ac:dyDescent="0.35">
      <c r="A6" s="606" t="s">
        <v>620</v>
      </c>
      <c r="B6" s="607">
        <v>223577</v>
      </c>
      <c r="C6" s="607">
        <f>-7909+3000</f>
        <v>-4909</v>
      </c>
      <c r="D6" s="607">
        <f>SUM(B6:C6)</f>
        <v>218668</v>
      </c>
    </row>
    <row r="7" spans="1:4" ht="21.75" thickBot="1" x14ac:dyDescent="0.4">
      <c r="A7" s="608" t="s">
        <v>4</v>
      </c>
      <c r="B7" s="609">
        <v>3243019</v>
      </c>
      <c r="C7" s="609">
        <f>6813+300+19053+464+5246+750+1771+397</f>
        <v>34794</v>
      </c>
      <c r="D7" s="609">
        <f>SUM(B7:C7)</f>
        <v>3277813</v>
      </c>
    </row>
    <row r="8" spans="1:4" ht="21.75" thickBot="1" x14ac:dyDescent="0.4">
      <c r="A8" s="275" t="s">
        <v>126</v>
      </c>
      <c r="B8" s="276">
        <f>SUM(B6:B7)</f>
        <v>3466596</v>
      </c>
      <c r="C8" s="276">
        <f>SUM(C6:C7)</f>
        <v>29885</v>
      </c>
      <c r="D8" s="276">
        <f>SUM(D6:D7)</f>
        <v>3496481</v>
      </c>
    </row>
    <row r="9" spans="1:4" ht="21" x14ac:dyDescent="0.35">
      <c r="A9" s="256" t="s">
        <v>191</v>
      </c>
      <c r="B9" s="257"/>
      <c r="C9" s="257"/>
      <c r="D9" s="257"/>
    </row>
    <row r="10" spans="1:4" ht="21" x14ac:dyDescent="0.35">
      <c r="A10" s="254" t="s">
        <v>209</v>
      </c>
      <c r="B10" s="258">
        <v>266286</v>
      </c>
      <c r="C10" s="258"/>
      <c r="D10" s="258">
        <f t="shared" ref="D10:D15" si="0">SUM(B10:C10)</f>
        <v>266286</v>
      </c>
    </row>
    <row r="11" spans="1:4" ht="21" x14ac:dyDescent="0.35">
      <c r="A11" s="259" t="s">
        <v>216</v>
      </c>
      <c r="B11" s="258">
        <v>700000</v>
      </c>
      <c r="C11" s="258"/>
      <c r="D11" s="258">
        <f t="shared" si="0"/>
        <v>700000</v>
      </c>
    </row>
    <row r="12" spans="1:4" ht="21" x14ac:dyDescent="0.35">
      <c r="A12" s="259" t="s">
        <v>272</v>
      </c>
      <c r="B12" s="258">
        <v>300000</v>
      </c>
      <c r="C12" s="258"/>
      <c r="D12" s="258">
        <f t="shared" si="0"/>
        <v>300000</v>
      </c>
    </row>
    <row r="13" spans="1:4" ht="21" x14ac:dyDescent="0.35">
      <c r="A13" s="259" t="s">
        <v>137</v>
      </c>
      <c r="B13" s="258">
        <v>538480</v>
      </c>
      <c r="C13" s="258"/>
      <c r="D13" s="258">
        <f t="shared" si="0"/>
        <v>538480</v>
      </c>
    </row>
    <row r="14" spans="1:4" ht="21" x14ac:dyDescent="0.35">
      <c r="A14" s="259" t="s">
        <v>590</v>
      </c>
      <c r="B14" s="258">
        <v>2403</v>
      </c>
      <c r="C14" s="258">
        <v>3737</v>
      </c>
      <c r="D14" s="258">
        <f t="shared" si="0"/>
        <v>6140</v>
      </c>
    </row>
    <row r="15" spans="1:4" ht="21" x14ac:dyDescent="0.35">
      <c r="A15" s="259" t="s">
        <v>622</v>
      </c>
      <c r="B15" s="258">
        <v>75865</v>
      </c>
      <c r="C15" s="258"/>
      <c r="D15" s="258">
        <f t="shared" si="0"/>
        <v>75865</v>
      </c>
    </row>
    <row r="16" spans="1:4" ht="21" x14ac:dyDescent="0.35">
      <c r="A16" s="260" t="s">
        <v>203</v>
      </c>
      <c r="B16" s="261">
        <f>SUM(B10:B15)</f>
        <v>1883034</v>
      </c>
      <c r="C16" s="261">
        <f>SUM(C10:C15)</f>
        <v>3737</v>
      </c>
      <c r="D16" s="261">
        <f>SUM(D10:D15)</f>
        <v>1886771</v>
      </c>
    </row>
    <row r="17" spans="1:4" ht="21" x14ac:dyDescent="0.35">
      <c r="A17" s="262" t="s">
        <v>5</v>
      </c>
      <c r="B17" s="257"/>
      <c r="C17" s="257"/>
      <c r="D17" s="257"/>
    </row>
    <row r="18" spans="1:4" ht="21" x14ac:dyDescent="0.35">
      <c r="A18" s="254" t="s">
        <v>389</v>
      </c>
      <c r="B18" s="258">
        <v>68242</v>
      </c>
      <c r="C18" s="258">
        <v>26141</v>
      </c>
      <c r="D18" s="258">
        <f t="shared" ref="D18:D64" si="1">SUM(B18:C18)</f>
        <v>94383</v>
      </c>
    </row>
    <row r="19" spans="1:4" ht="21" x14ac:dyDescent="0.35">
      <c r="A19" s="254" t="s">
        <v>374</v>
      </c>
      <c r="B19" s="258">
        <v>130000</v>
      </c>
      <c r="C19" s="258">
        <v>-44609</v>
      </c>
      <c r="D19" s="258">
        <f t="shared" si="1"/>
        <v>85391</v>
      </c>
    </row>
    <row r="20" spans="1:4" ht="21" x14ac:dyDescent="0.35">
      <c r="A20" s="263" t="s">
        <v>229</v>
      </c>
      <c r="B20" s="231">
        <v>26600</v>
      </c>
      <c r="C20" s="231"/>
      <c r="D20" s="231">
        <f t="shared" si="1"/>
        <v>26600</v>
      </c>
    </row>
    <row r="21" spans="1:4" ht="21" x14ac:dyDescent="0.35">
      <c r="A21" s="259" t="s">
        <v>210</v>
      </c>
      <c r="B21" s="258">
        <v>15000</v>
      </c>
      <c r="C21" s="258"/>
      <c r="D21" s="258">
        <f t="shared" si="1"/>
        <v>15000</v>
      </c>
    </row>
    <row r="22" spans="1:4" ht="21" x14ac:dyDescent="0.35">
      <c r="A22" s="264" t="s">
        <v>119</v>
      </c>
      <c r="B22" s="231">
        <v>4000</v>
      </c>
      <c r="C22" s="231"/>
      <c r="D22" s="231">
        <f t="shared" si="1"/>
        <v>4000</v>
      </c>
    </row>
    <row r="23" spans="1:4" ht="21" x14ac:dyDescent="0.35">
      <c r="A23" s="264" t="s">
        <v>145</v>
      </c>
      <c r="B23" s="231">
        <v>37397</v>
      </c>
      <c r="C23" s="231">
        <f>-300-3000</f>
        <v>-3300</v>
      </c>
      <c r="D23" s="231">
        <f t="shared" si="1"/>
        <v>34097</v>
      </c>
    </row>
    <row r="24" spans="1:4" ht="21" x14ac:dyDescent="0.35">
      <c r="A24" s="264" t="s">
        <v>207</v>
      </c>
      <c r="B24" s="231">
        <v>1000</v>
      </c>
      <c r="C24" s="231">
        <v>-150</v>
      </c>
      <c r="D24" s="231">
        <f t="shared" si="1"/>
        <v>850</v>
      </c>
    </row>
    <row r="25" spans="1:4" ht="21" x14ac:dyDescent="0.35">
      <c r="A25" s="263" t="s">
        <v>459</v>
      </c>
      <c r="B25" s="231">
        <v>2000</v>
      </c>
      <c r="C25" s="231"/>
      <c r="D25" s="231">
        <f t="shared" si="1"/>
        <v>2000</v>
      </c>
    </row>
    <row r="26" spans="1:4" ht="21" x14ac:dyDescent="0.35">
      <c r="A26" s="254" t="s">
        <v>133</v>
      </c>
      <c r="B26" s="258">
        <v>13040</v>
      </c>
      <c r="C26" s="258"/>
      <c r="D26" s="258">
        <f t="shared" si="1"/>
        <v>13040</v>
      </c>
    </row>
    <row r="27" spans="1:4" ht="21" x14ac:dyDescent="0.35">
      <c r="A27" s="264" t="s">
        <v>161</v>
      </c>
      <c r="B27" s="231">
        <v>1200</v>
      </c>
      <c r="C27" s="231"/>
      <c r="D27" s="231">
        <f t="shared" si="1"/>
        <v>1200</v>
      </c>
    </row>
    <row r="28" spans="1:4" ht="21" x14ac:dyDescent="0.35">
      <c r="A28" s="263" t="s">
        <v>461</v>
      </c>
      <c r="B28" s="231">
        <v>1500</v>
      </c>
      <c r="C28" s="231"/>
      <c r="D28" s="231">
        <f t="shared" si="1"/>
        <v>1500</v>
      </c>
    </row>
    <row r="29" spans="1:4" ht="21" x14ac:dyDescent="0.35">
      <c r="A29" s="269" t="s">
        <v>554</v>
      </c>
      <c r="B29" s="231">
        <v>1000</v>
      </c>
      <c r="C29" s="231"/>
      <c r="D29" s="231">
        <f t="shared" si="1"/>
        <v>1000</v>
      </c>
    </row>
    <row r="30" spans="1:4" ht="21" x14ac:dyDescent="0.35">
      <c r="A30" s="184" t="s">
        <v>556</v>
      </c>
      <c r="B30" s="231">
        <v>1500</v>
      </c>
      <c r="C30" s="231"/>
      <c r="D30" s="231">
        <f t="shared" si="1"/>
        <v>1500</v>
      </c>
    </row>
    <row r="31" spans="1:4" ht="21" x14ac:dyDescent="0.35">
      <c r="A31" s="10" t="s">
        <v>647</v>
      </c>
      <c r="B31" s="231">
        <v>3000</v>
      </c>
      <c r="C31" s="231"/>
      <c r="D31" s="231">
        <f t="shared" si="1"/>
        <v>3000</v>
      </c>
    </row>
    <row r="32" spans="1:4" ht="21" x14ac:dyDescent="0.35">
      <c r="A32" s="263" t="s">
        <v>218</v>
      </c>
      <c r="B32" s="231">
        <v>3168</v>
      </c>
      <c r="C32" s="231"/>
      <c r="D32" s="231">
        <f t="shared" si="1"/>
        <v>3168</v>
      </c>
    </row>
    <row r="33" spans="1:4" ht="21" x14ac:dyDescent="0.35">
      <c r="A33" s="264" t="s">
        <v>217</v>
      </c>
      <c r="B33" s="231">
        <v>4200</v>
      </c>
      <c r="C33" s="231"/>
      <c r="D33" s="231">
        <f t="shared" si="1"/>
        <v>4200</v>
      </c>
    </row>
    <row r="34" spans="1:4" ht="21" x14ac:dyDescent="0.35">
      <c r="A34" s="264" t="s">
        <v>441</v>
      </c>
      <c r="B34" s="231">
        <v>1579650</v>
      </c>
      <c r="C34" s="231"/>
      <c r="D34" s="231">
        <f t="shared" si="1"/>
        <v>1579650</v>
      </c>
    </row>
    <row r="35" spans="1:4" ht="21" x14ac:dyDescent="0.35">
      <c r="A35" s="264" t="s">
        <v>531</v>
      </c>
      <c r="B35" s="231">
        <v>3810</v>
      </c>
      <c r="C35" s="231"/>
      <c r="D35" s="231">
        <f t="shared" si="1"/>
        <v>3810</v>
      </c>
    </row>
    <row r="36" spans="1:4" ht="33" x14ac:dyDescent="0.35">
      <c r="A36" s="264" t="s">
        <v>432</v>
      </c>
      <c r="B36" s="231">
        <v>1956</v>
      </c>
      <c r="C36" s="231"/>
      <c r="D36" s="231">
        <f t="shared" si="1"/>
        <v>1956</v>
      </c>
    </row>
    <row r="37" spans="1:4" ht="21" x14ac:dyDescent="0.35">
      <c r="A37" s="254" t="s">
        <v>658</v>
      </c>
      <c r="B37" s="258">
        <v>232319</v>
      </c>
      <c r="C37" s="258">
        <v>22198</v>
      </c>
      <c r="D37" s="258">
        <f t="shared" si="1"/>
        <v>254517</v>
      </c>
    </row>
    <row r="38" spans="1:4" ht="21" x14ac:dyDescent="0.35">
      <c r="A38" s="259" t="s">
        <v>625</v>
      </c>
      <c r="B38" s="258">
        <v>3670722</v>
      </c>
      <c r="C38" s="258"/>
      <c r="D38" s="258">
        <f t="shared" si="1"/>
        <v>3670722</v>
      </c>
    </row>
    <row r="39" spans="1:4" ht="21" x14ac:dyDescent="0.35">
      <c r="A39" s="264" t="s">
        <v>592</v>
      </c>
      <c r="B39" s="231">
        <v>5000</v>
      </c>
      <c r="C39" s="231"/>
      <c r="D39" s="231">
        <f t="shared" si="1"/>
        <v>5000</v>
      </c>
    </row>
    <row r="40" spans="1:4" ht="21" x14ac:dyDescent="0.35">
      <c r="A40" s="264" t="s">
        <v>591</v>
      </c>
      <c r="B40" s="231">
        <v>5500</v>
      </c>
      <c r="C40" s="231"/>
      <c r="D40" s="231">
        <f t="shared" si="1"/>
        <v>5500</v>
      </c>
    </row>
    <row r="41" spans="1:4" ht="21" x14ac:dyDescent="0.35">
      <c r="A41" s="266" t="s">
        <v>407</v>
      </c>
      <c r="B41" s="257"/>
      <c r="C41" s="257"/>
      <c r="D41" s="257"/>
    </row>
    <row r="42" spans="1:4" ht="21" x14ac:dyDescent="0.35">
      <c r="A42" s="263" t="s">
        <v>408</v>
      </c>
      <c r="B42" s="231">
        <v>180000</v>
      </c>
      <c r="C42" s="231"/>
      <c r="D42" s="231">
        <f t="shared" si="1"/>
        <v>180000</v>
      </c>
    </row>
    <row r="43" spans="1:4" ht="33" x14ac:dyDescent="0.35">
      <c r="A43" s="263" t="s">
        <v>467</v>
      </c>
      <c r="B43" s="231">
        <v>98978</v>
      </c>
      <c r="C43" s="231"/>
      <c r="D43" s="231">
        <f t="shared" si="1"/>
        <v>98978</v>
      </c>
    </row>
    <row r="44" spans="1:4" ht="21" x14ac:dyDescent="0.35">
      <c r="A44" s="256" t="s">
        <v>392</v>
      </c>
      <c r="B44" s="231"/>
      <c r="C44" s="231"/>
      <c r="D44" s="231"/>
    </row>
    <row r="45" spans="1:4" ht="21" x14ac:dyDescent="0.35">
      <c r="A45" s="264" t="s">
        <v>588</v>
      </c>
      <c r="B45" s="231">
        <v>2350</v>
      </c>
      <c r="C45" s="231">
        <v>-300</v>
      </c>
      <c r="D45" s="231">
        <f t="shared" si="1"/>
        <v>2050</v>
      </c>
    </row>
    <row r="46" spans="1:4" ht="21" x14ac:dyDescent="0.35">
      <c r="A46" s="263" t="s">
        <v>130</v>
      </c>
      <c r="B46" s="231">
        <v>6000</v>
      </c>
      <c r="C46" s="231"/>
      <c r="D46" s="231">
        <f t="shared" si="1"/>
        <v>6000</v>
      </c>
    </row>
    <row r="47" spans="1:4" ht="21" x14ac:dyDescent="0.35">
      <c r="A47" s="264" t="s">
        <v>86</v>
      </c>
      <c r="B47" s="231">
        <v>2000</v>
      </c>
      <c r="C47" s="231"/>
      <c r="D47" s="231">
        <f t="shared" si="1"/>
        <v>2000</v>
      </c>
    </row>
    <row r="48" spans="1:4" ht="21" x14ac:dyDescent="0.35">
      <c r="A48" s="267" t="s">
        <v>548</v>
      </c>
      <c r="B48" s="231">
        <v>2000</v>
      </c>
      <c r="C48" s="231"/>
      <c r="D48" s="231">
        <f t="shared" si="1"/>
        <v>2000</v>
      </c>
    </row>
    <row r="49" spans="1:4" ht="21" x14ac:dyDescent="0.35">
      <c r="A49" s="264" t="s">
        <v>456</v>
      </c>
      <c r="B49" s="231">
        <v>4000</v>
      </c>
      <c r="C49" s="231"/>
      <c r="D49" s="231">
        <f t="shared" si="1"/>
        <v>4000</v>
      </c>
    </row>
    <row r="50" spans="1:4" ht="21" x14ac:dyDescent="0.35">
      <c r="A50" s="256" t="s">
        <v>394</v>
      </c>
      <c r="B50" s="268"/>
      <c r="C50" s="268"/>
      <c r="D50" s="268"/>
    </row>
    <row r="51" spans="1:4" ht="21" x14ac:dyDescent="0.35">
      <c r="A51" s="263" t="s">
        <v>397</v>
      </c>
      <c r="B51" s="231">
        <v>130000</v>
      </c>
      <c r="C51" s="231"/>
      <c r="D51" s="231">
        <f t="shared" si="1"/>
        <v>130000</v>
      </c>
    </row>
    <row r="52" spans="1:4" ht="33" customHeight="1" x14ac:dyDescent="0.35">
      <c r="A52" s="256" t="s">
        <v>401</v>
      </c>
      <c r="B52" s="252"/>
      <c r="C52" s="252"/>
      <c r="D52" s="252"/>
    </row>
    <row r="53" spans="1:4" ht="21" x14ac:dyDescent="0.35">
      <c r="A53" s="254" t="s">
        <v>484</v>
      </c>
      <c r="B53" s="258">
        <v>16678</v>
      </c>
      <c r="C53" s="258"/>
      <c r="D53" s="258">
        <f t="shared" si="1"/>
        <v>16678</v>
      </c>
    </row>
    <row r="54" spans="1:4" ht="21" x14ac:dyDescent="0.35">
      <c r="A54" s="259" t="s">
        <v>148</v>
      </c>
      <c r="B54" s="258">
        <v>30000</v>
      </c>
      <c r="C54" s="258"/>
      <c r="D54" s="258">
        <f t="shared" si="1"/>
        <v>30000</v>
      </c>
    </row>
    <row r="55" spans="1:4" ht="21" x14ac:dyDescent="0.35">
      <c r="A55" s="264" t="s">
        <v>90</v>
      </c>
      <c r="B55" s="231">
        <v>22543</v>
      </c>
      <c r="C55" s="231">
        <f>2500+1581</f>
        <v>4081</v>
      </c>
      <c r="D55" s="231">
        <f t="shared" si="1"/>
        <v>26624</v>
      </c>
    </row>
    <row r="56" spans="1:4" ht="21" x14ac:dyDescent="0.35">
      <c r="A56" s="264" t="s">
        <v>403</v>
      </c>
      <c r="B56" s="231">
        <v>4482</v>
      </c>
      <c r="C56" s="231"/>
      <c r="D56" s="231">
        <f t="shared" si="1"/>
        <v>4482</v>
      </c>
    </row>
    <row r="57" spans="1:4" ht="21" x14ac:dyDescent="0.35">
      <c r="A57" s="264" t="s">
        <v>386</v>
      </c>
      <c r="B57" s="231">
        <v>18957</v>
      </c>
      <c r="C57" s="231"/>
      <c r="D57" s="231">
        <f t="shared" si="1"/>
        <v>18957</v>
      </c>
    </row>
    <row r="58" spans="1:4" ht="21" x14ac:dyDescent="0.35">
      <c r="A58" s="264" t="s">
        <v>442</v>
      </c>
      <c r="B58" s="231">
        <v>3300</v>
      </c>
      <c r="C58" s="231"/>
      <c r="D58" s="231">
        <f t="shared" si="1"/>
        <v>3300</v>
      </c>
    </row>
    <row r="59" spans="1:4" ht="21" x14ac:dyDescent="0.35">
      <c r="A59" s="264" t="s">
        <v>468</v>
      </c>
      <c r="B59" s="231">
        <v>26741</v>
      </c>
      <c r="C59" s="231"/>
      <c r="D59" s="231">
        <f t="shared" si="1"/>
        <v>26741</v>
      </c>
    </row>
    <row r="60" spans="1:4" ht="21" x14ac:dyDescent="0.35">
      <c r="A60" s="264" t="s">
        <v>545</v>
      </c>
      <c r="B60" s="231">
        <v>200000</v>
      </c>
      <c r="C60" s="231"/>
      <c r="D60" s="231">
        <f t="shared" si="1"/>
        <v>200000</v>
      </c>
    </row>
    <row r="61" spans="1:4" ht="21" x14ac:dyDescent="0.35">
      <c r="A61" s="264" t="s">
        <v>544</v>
      </c>
      <c r="B61" s="231">
        <v>384000</v>
      </c>
      <c r="C61" s="231"/>
      <c r="D61" s="231">
        <f t="shared" si="1"/>
        <v>384000</v>
      </c>
    </row>
    <row r="62" spans="1:4" ht="21" x14ac:dyDescent="0.35">
      <c r="A62" s="264" t="s">
        <v>485</v>
      </c>
      <c r="B62" s="231">
        <v>20024</v>
      </c>
      <c r="C62" s="231"/>
      <c r="D62" s="231">
        <f t="shared" si="1"/>
        <v>20024</v>
      </c>
    </row>
    <row r="63" spans="1:4" ht="21" x14ac:dyDescent="0.35">
      <c r="A63" s="264" t="s">
        <v>365</v>
      </c>
      <c r="B63" s="231">
        <v>80000</v>
      </c>
      <c r="C63" s="231"/>
      <c r="D63" s="231">
        <f t="shared" si="1"/>
        <v>80000</v>
      </c>
    </row>
    <row r="64" spans="1:4" ht="21" x14ac:dyDescent="0.35">
      <c r="A64" s="264" t="s">
        <v>639</v>
      </c>
      <c r="B64" s="231">
        <v>118515</v>
      </c>
      <c r="C64" s="231"/>
      <c r="D64" s="231">
        <f t="shared" si="1"/>
        <v>118515</v>
      </c>
    </row>
    <row r="65" spans="1:4" ht="21" x14ac:dyDescent="0.35">
      <c r="A65" s="256" t="s">
        <v>8</v>
      </c>
      <c r="B65" s="268"/>
      <c r="C65" s="268"/>
      <c r="D65" s="268"/>
    </row>
    <row r="66" spans="1:4" ht="33" x14ac:dyDescent="0.35">
      <c r="A66" s="254" t="s">
        <v>37</v>
      </c>
      <c r="B66" s="258">
        <v>8310</v>
      </c>
      <c r="C66" s="258"/>
      <c r="D66" s="258">
        <f t="shared" ref="D66:D87" si="2">SUM(B66:C66)</f>
        <v>8310</v>
      </c>
    </row>
    <row r="67" spans="1:4" ht="21" x14ac:dyDescent="0.35">
      <c r="A67" s="269" t="s">
        <v>49</v>
      </c>
      <c r="B67" s="231">
        <v>25500</v>
      </c>
      <c r="C67" s="231"/>
      <c r="D67" s="231">
        <f t="shared" si="2"/>
        <v>25500</v>
      </c>
    </row>
    <row r="68" spans="1:4" ht="21" x14ac:dyDescent="0.35">
      <c r="A68" s="269" t="s">
        <v>30</v>
      </c>
      <c r="B68" s="231">
        <v>8006</v>
      </c>
      <c r="C68" s="231"/>
      <c r="D68" s="231">
        <f t="shared" si="2"/>
        <v>8006</v>
      </c>
    </row>
    <row r="69" spans="1:4" ht="21" x14ac:dyDescent="0.35">
      <c r="A69" s="269" t="s">
        <v>360</v>
      </c>
      <c r="B69" s="231">
        <v>31880</v>
      </c>
      <c r="C69" s="231"/>
      <c r="D69" s="231">
        <f t="shared" si="2"/>
        <v>31880</v>
      </c>
    </row>
    <row r="70" spans="1:4" ht="21" x14ac:dyDescent="0.35">
      <c r="A70" s="269" t="s">
        <v>236</v>
      </c>
      <c r="B70" s="231">
        <v>600</v>
      </c>
      <c r="C70" s="231"/>
      <c r="D70" s="231">
        <f t="shared" si="2"/>
        <v>600</v>
      </c>
    </row>
    <row r="71" spans="1:4" ht="21" x14ac:dyDescent="0.35">
      <c r="A71" s="269" t="s">
        <v>134</v>
      </c>
      <c r="B71" s="231">
        <v>9215</v>
      </c>
      <c r="C71" s="231"/>
      <c r="D71" s="231">
        <f t="shared" si="2"/>
        <v>9215</v>
      </c>
    </row>
    <row r="72" spans="1:4" ht="21" x14ac:dyDescent="0.35">
      <c r="A72" s="267" t="s">
        <v>368</v>
      </c>
      <c r="B72" s="231">
        <v>4000</v>
      </c>
      <c r="C72" s="231"/>
      <c r="D72" s="231">
        <f t="shared" si="2"/>
        <v>4000</v>
      </c>
    </row>
    <row r="73" spans="1:4" ht="26.65" customHeight="1" x14ac:dyDescent="0.35">
      <c r="A73" s="267" t="s">
        <v>410</v>
      </c>
      <c r="B73" s="231">
        <v>3810</v>
      </c>
      <c r="C73" s="231"/>
      <c r="D73" s="231">
        <f t="shared" si="2"/>
        <v>3810</v>
      </c>
    </row>
    <row r="74" spans="1:4" ht="21" x14ac:dyDescent="0.35">
      <c r="A74" s="267" t="s">
        <v>387</v>
      </c>
      <c r="B74" s="231">
        <v>500</v>
      </c>
      <c r="C74" s="231"/>
      <c r="D74" s="231">
        <f t="shared" si="2"/>
        <v>500</v>
      </c>
    </row>
    <row r="75" spans="1:4" ht="21" x14ac:dyDescent="0.35">
      <c r="A75" s="267" t="s">
        <v>451</v>
      </c>
      <c r="B75" s="231">
        <v>1600</v>
      </c>
      <c r="C75" s="231"/>
      <c r="D75" s="231">
        <f t="shared" si="2"/>
        <v>1600</v>
      </c>
    </row>
    <row r="76" spans="1:4" ht="21" x14ac:dyDescent="0.35">
      <c r="A76" s="267" t="s">
        <v>507</v>
      </c>
      <c r="B76" s="231">
        <v>5500</v>
      </c>
      <c r="C76" s="231"/>
      <c r="D76" s="231">
        <f t="shared" si="2"/>
        <v>5500</v>
      </c>
    </row>
    <row r="77" spans="1:4" ht="21" x14ac:dyDescent="0.35">
      <c r="A77" s="267" t="s">
        <v>508</v>
      </c>
      <c r="B77" s="231">
        <v>1500</v>
      </c>
      <c r="C77" s="231"/>
      <c r="D77" s="231">
        <f t="shared" si="2"/>
        <v>1500</v>
      </c>
    </row>
    <row r="78" spans="1:4" ht="21" x14ac:dyDescent="0.35">
      <c r="A78" s="267" t="s">
        <v>509</v>
      </c>
      <c r="B78" s="231">
        <v>2500</v>
      </c>
      <c r="C78" s="231"/>
      <c r="D78" s="231">
        <f t="shared" si="2"/>
        <v>2500</v>
      </c>
    </row>
    <row r="79" spans="1:4" ht="21" x14ac:dyDescent="0.35">
      <c r="A79" s="267" t="s">
        <v>510</v>
      </c>
      <c r="B79" s="231">
        <v>2500</v>
      </c>
      <c r="C79" s="231"/>
      <c r="D79" s="231">
        <f t="shared" si="2"/>
        <v>2500</v>
      </c>
    </row>
    <row r="80" spans="1:4" ht="21" x14ac:dyDescent="0.35">
      <c r="A80" s="256" t="s">
        <v>7</v>
      </c>
      <c r="B80" s="268"/>
      <c r="C80" s="268"/>
      <c r="D80" s="268"/>
    </row>
    <row r="81" spans="1:4" ht="21" x14ac:dyDescent="0.35">
      <c r="A81" s="263" t="s">
        <v>43</v>
      </c>
      <c r="B81" s="231">
        <v>81003</v>
      </c>
      <c r="C81" s="231">
        <v>18311</v>
      </c>
      <c r="D81" s="231">
        <f t="shared" si="2"/>
        <v>99314</v>
      </c>
    </row>
    <row r="82" spans="1:4" ht="21" x14ac:dyDescent="0.35">
      <c r="A82" s="271" t="s">
        <v>515</v>
      </c>
      <c r="B82" s="231">
        <v>0</v>
      </c>
      <c r="C82" s="231"/>
      <c r="D82" s="231">
        <f t="shared" si="2"/>
        <v>0</v>
      </c>
    </row>
    <row r="83" spans="1:4" ht="21" x14ac:dyDescent="0.35">
      <c r="A83" s="269" t="s">
        <v>361</v>
      </c>
      <c r="B83" s="231">
        <v>1975</v>
      </c>
      <c r="C83" s="231"/>
      <c r="D83" s="231">
        <f t="shared" si="2"/>
        <v>1975</v>
      </c>
    </row>
    <row r="84" spans="1:4" ht="21" x14ac:dyDescent="0.35">
      <c r="A84" s="269" t="s">
        <v>457</v>
      </c>
      <c r="B84" s="231">
        <v>1000</v>
      </c>
      <c r="C84" s="231"/>
      <c r="D84" s="231">
        <f t="shared" si="2"/>
        <v>1000</v>
      </c>
    </row>
    <row r="85" spans="1:4" ht="48.75" x14ac:dyDescent="0.35">
      <c r="A85" s="269" t="s">
        <v>376</v>
      </c>
      <c r="B85" s="231">
        <v>4000</v>
      </c>
      <c r="C85" s="231"/>
      <c r="D85" s="231">
        <f t="shared" si="2"/>
        <v>4000</v>
      </c>
    </row>
    <row r="86" spans="1:4" ht="21" x14ac:dyDescent="0.35">
      <c r="A86" s="272" t="s">
        <v>6</v>
      </c>
      <c r="B86" s="252"/>
      <c r="C86" s="252"/>
      <c r="D86" s="252"/>
    </row>
    <row r="87" spans="1:4" ht="21" x14ac:dyDescent="0.35">
      <c r="A87" s="263" t="s">
        <v>291</v>
      </c>
      <c r="B87" s="231">
        <v>11969</v>
      </c>
      <c r="C87" s="231"/>
      <c r="D87" s="231">
        <f t="shared" si="2"/>
        <v>11969</v>
      </c>
    </row>
    <row r="88" spans="1:4" s="208" customFormat="1" ht="21.75" thickBot="1" x14ac:dyDescent="0.4">
      <c r="A88" s="255" t="s">
        <v>219</v>
      </c>
      <c r="B88" s="171">
        <f>SUM(B18:B87)</f>
        <v>7367740</v>
      </c>
      <c r="C88" s="171">
        <f>SUM(C18:C87)</f>
        <v>22372</v>
      </c>
      <c r="D88" s="171">
        <f>SUM(D18:D87)</f>
        <v>7390112</v>
      </c>
    </row>
    <row r="89" spans="1:4" ht="21" x14ac:dyDescent="0.35">
      <c r="A89" s="273" t="s">
        <v>102</v>
      </c>
      <c r="B89" s="257"/>
      <c r="C89" s="257"/>
      <c r="D89" s="257"/>
    </row>
    <row r="90" spans="1:4" ht="21" x14ac:dyDescent="0.35">
      <c r="A90" s="274" t="s">
        <v>418</v>
      </c>
      <c r="B90" s="231">
        <v>0</v>
      </c>
      <c r="C90" s="231"/>
      <c r="D90" s="231">
        <f t="shared" ref="D90:D98" si="3">SUM(B90:C90)</f>
        <v>0</v>
      </c>
    </row>
    <row r="91" spans="1:4" ht="21" x14ac:dyDescent="0.35">
      <c r="A91" s="274" t="s">
        <v>540</v>
      </c>
      <c r="B91" s="231">
        <v>1618</v>
      </c>
      <c r="C91" s="231"/>
      <c r="D91" s="231">
        <f t="shared" si="3"/>
        <v>1618</v>
      </c>
    </row>
    <row r="92" spans="1:4" ht="21" x14ac:dyDescent="0.35">
      <c r="A92" s="274" t="s">
        <v>608</v>
      </c>
      <c r="B92" s="231">
        <v>28087</v>
      </c>
      <c r="C92" s="231">
        <v>-5246</v>
      </c>
      <c r="D92" s="231">
        <f t="shared" si="3"/>
        <v>22841</v>
      </c>
    </row>
    <row r="93" spans="1:4" ht="21" x14ac:dyDescent="0.35">
      <c r="A93" s="274" t="s">
        <v>607</v>
      </c>
      <c r="B93" s="231">
        <v>14592</v>
      </c>
      <c r="C93" s="231">
        <f>674-500-750-397</f>
        <v>-973</v>
      </c>
      <c r="D93" s="231">
        <f t="shared" si="3"/>
        <v>13619</v>
      </c>
    </row>
    <row r="94" spans="1:4" ht="21" x14ac:dyDescent="0.35">
      <c r="A94" s="274" t="s">
        <v>499</v>
      </c>
      <c r="B94" s="231">
        <v>35485</v>
      </c>
      <c r="C94" s="231">
        <v>-19053</v>
      </c>
      <c r="D94" s="231">
        <f t="shared" si="3"/>
        <v>16432</v>
      </c>
    </row>
    <row r="95" spans="1:4" ht="33" x14ac:dyDescent="0.35">
      <c r="A95" s="274" t="s">
        <v>623</v>
      </c>
      <c r="B95" s="231">
        <v>2000</v>
      </c>
      <c r="C95" s="231"/>
      <c r="D95" s="231">
        <f t="shared" si="3"/>
        <v>2000</v>
      </c>
    </row>
    <row r="96" spans="1:4" ht="21" x14ac:dyDescent="0.35">
      <c r="A96" s="274" t="s">
        <v>635</v>
      </c>
      <c r="B96" s="231">
        <v>5370</v>
      </c>
      <c r="C96" s="231">
        <v>250</v>
      </c>
      <c r="D96" s="231">
        <f t="shared" si="3"/>
        <v>5620</v>
      </c>
    </row>
    <row r="97" spans="1:4" ht="21" x14ac:dyDescent="0.35">
      <c r="A97" s="274" t="s">
        <v>649</v>
      </c>
      <c r="B97" s="231">
        <v>6355</v>
      </c>
      <c r="C97" s="231"/>
      <c r="D97" s="231">
        <f t="shared" si="3"/>
        <v>6355</v>
      </c>
    </row>
    <row r="98" spans="1:4" ht="21" x14ac:dyDescent="0.35">
      <c r="A98" s="265" t="s">
        <v>493</v>
      </c>
      <c r="B98" s="231">
        <v>20828</v>
      </c>
      <c r="C98" s="231"/>
      <c r="D98" s="231">
        <f t="shared" si="3"/>
        <v>20828</v>
      </c>
    </row>
    <row r="99" spans="1:4" s="208" customFormat="1" ht="21.75" thickBot="1" x14ac:dyDescent="0.4">
      <c r="A99" s="255" t="s">
        <v>512</v>
      </c>
      <c r="B99" s="171">
        <f>SUM(B90:B98)</f>
        <v>114335</v>
      </c>
      <c r="C99" s="171">
        <f>SUM(C90:C98)</f>
        <v>-25022</v>
      </c>
      <c r="D99" s="171">
        <f>SUM(D90:D98)</f>
        <v>89313</v>
      </c>
    </row>
    <row r="100" spans="1:4" s="208" customFormat="1" ht="21.75" thickBot="1" x14ac:dyDescent="0.4">
      <c r="A100" s="275" t="s">
        <v>127</v>
      </c>
      <c r="B100" s="276">
        <f>B16+B88+B99</f>
        <v>9365109</v>
      </c>
      <c r="C100" s="276">
        <f>C16+C88+C99</f>
        <v>1087</v>
      </c>
      <c r="D100" s="276">
        <f>D16+D88+D99</f>
        <v>9366196</v>
      </c>
    </row>
    <row r="101" spans="1:4" s="279" customFormat="1" ht="44.25" customHeight="1" thickBot="1" x14ac:dyDescent="0.4">
      <c r="A101" s="277" t="s">
        <v>309</v>
      </c>
      <c r="B101" s="278">
        <f>B100+B8</f>
        <v>12831705</v>
      </c>
      <c r="C101" s="278">
        <f>C100+C8</f>
        <v>30972</v>
      </c>
      <c r="D101" s="278">
        <f>D100+D8</f>
        <v>12862677</v>
      </c>
    </row>
    <row r="103" spans="1:4" ht="19.5" thickBot="1" x14ac:dyDescent="0.35">
      <c r="A103" s="248" t="s">
        <v>87</v>
      </c>
      <c r="B103" s="282"/>
      <c r="C103" s="282"/>
      <c r="D103" s="283"/>
    </row>
    <row r="104" spans="1:4" x14ac:dyDescent="0.25">
      <c r="A104" s="229" t="s">
        <v>170</v>
      </c>
      <c r="B104" s="19" t="s">
        <v>614</v>
      </c>
      <c r="C104" s="19" t="s">
        <v>557</v>
      </c>
      <c r="D104" s="19" t="s">
        <v>651</v>
      </c>
    </row>
    <row r="105" spans="1:4" ht="16.5" thickBot="1" x14ac:dyDescent="0.3">
      <c r="A105" s="284"/>
      <c r="B105" s="23" t="s">
        <v>372</v>
      </c>
      <c r="C105" s="23" t="s">
        <v>558</v>
      </c>
      <c r="D105" s="23" t="s">
        <v>372</v>
      </c>
    </row>
    <row r="106" spans="1:4" ht="21" x14ac:dyDescent="0.35">
      <c r="A106" s="559" t="s">
        <v>553</v>
      </c>
      <c r="B106" s="560">
        <v>8325</v>
      </c>
      <c r="C106" s="560">
        <v>4800</v>
      </c>
      <c r="D106" s="560">
        <f>SUM(B106:C106)</f>
        <v>13125</v>
      </c>
    </row>
    <row r="107" spans="1:4" ht="21.75" thickBot="1" x14ac:dyDescent="0.4">
      <c r="A107" s="263" t="s">
        <v>4</v>
      </c>
      <c r="B107" s="231">
        <v>213234</v>
      </c>
      <c r="C107" s="231">
        <v>2354</v>
      </c>
      <c r="D107" s="231">
        <f>SUM(B107:C107)</f>
        <v>215588</v>
      </c>
    </row>
    <row r="108" spans="1:4" s="208" customFormat="1" ht="42.75" customHeight="1" thickBot="1" x14ac:dyDescent="0.4">
      <c r="A108" s="604" t="s">
        <v>308</v>
      </c>
      <c r="B108" s="605">
        <f>B106+B107</f>
        <v>221559</v>
      </c>
      <c r="C108" s="605">
        <f>C106+C107</f>
        <v>7154</v>
      </c>
      <c r="D108" s="605">
        <f>D106+D107</f>
        <v>228713</v>
      </c>
    </row>
    <row r="109" spans="1:4" ht="21.75" thickBot="1" x14ac:dyDescent="0.4">
      <c r="A109" s="270"/>
      <c r="B109" s="285"/>
      <c r="C109" s="285"/>
      <c r="D109" s="285"/>
    </row>
    <row r="110" spans="1:4" s="208" customFormat="1" ht="41.25" customHeight="1" thickBot="1" x14ac:dyDescent="0.4">
      <c r="A110" s="286" t="s">
        <v>310</v>
      </c>
      <c r="B110" s="253">
        <f>B101+B108</f>
        <v>13053264</v>
      </c>
      <c r="C110" s="253">
        <f>C101+C108</f>
        <v>38126</v>
      </c>
      <c r="D110" s="253">
        <f>D101+D108</f>
        <v>13091390</v>
      </c>
    </row>
    <row r="112" spans="1:4" ht="18.75" x14ac:dyDescent="0.3">
      <c r="A112" s="280" t="s">
        <v>79</v>
      </c>
      <c r="D112" s="287"/>
    </row>
    <row r="113" spans="1:3" x14ac:dyDescent="0.25">
      <c r="A113" s="280" t="s">
        <v>80</v>
      </c>
    </row>
    <row r="118" spans="1:3" x14ac:dyDescent="0.25">
      <c r="C118" s="210"/>
    </row>
  </sheetData>
  <customSheetViews>
    <customSheetView guid="{6D4B996F-8915-4E78-98C2-E7EAE9C4580C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1"/>
      <headerFooter alignWithMargins="0">
        <oddHeader>&amp;L&amp;F   &amp;A&amp;RM.III.7. sz. melléklet</oddHeader>
      </headerFooter>
    </customSheetView>
    <customSheetView guid="{186732C5-520C-4E06-B066-B4F3F0A3E322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2"/>
      <headerFooter alignWithMargins="0">
        <oddHeader>&amp;L&amp;F   &amp;A&amp;RM.III.7. sz. melléklet</oddHeader>
      </headerFooter>
    </customSheetView>
  </customSheetViews>
  <mergeCells count="1">
    <mergeCell ref="A2:C2"/>
  </mergeCells>
  <phoneticPr fontId="0" type="noConversion"/>
  <printOptions horizontalCentered="1" verticalCentered="1"/>
  <pageMargins left="0.39370078740157483" right="0.39370078740157483" top="0" bottom="0" header="0" footer="0.51181102362204722"/>
  <pageSetup paperSize="9" scale="53" orientation="portrait" r:id="rId3"/>
  <headerFooter alignWithMargins="0">
    <oddHeader xml:space="preserve">&amp;R&amp;"Times New Roman CE,Félkövér"&amp;12
13. melléklet az    1/2025.(I.31.) önkormányzati rendelethez
"13. melléklet a 8/2024.(III.5.) önkormányzati rendelethez"
</oddHeader>
  </headerFooter>
  <rowBreaks count="1" manualBreakCount="1">
    <brk id="64" max="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7"/>
  <dimension ref="A1:D40"/>
  <sheetViews>
    <sheetView zoomScale="89" zoomScaleNormal="89" workbookViewId="0">
      <selection activeCell="I75" sqref="I75"/>
    </sheetView>
  </sheetViews>
  <sheetFormatPr defaultRowHeight="15.75" x14ac:dyDescent="0.25"/>
  <cols>
    <col min="1" max="1" width="88.6640625" style="77" customWidth="1"/>
    <col min="2" max="2" width="39.6640625" style="77" customWidth="1"/>
    <col min="3" max="3" width="39.1640625" style="77" customWidth="1"/>
    <col min="4" max="4" width="38.1640625" style="77" bestFit="1" customWidth="1"/>
    <col min="5" max="8" width="9.33203125" style="77"/>
    <col min="9" max="9" width="11.33203125" style="77" bestFit="1" customWidth="1"/>
    <col min="10" max="16384" width="9.33203125" style="77"/>
  </cols>
  <sheetData>
    <row r="1" spans="1:4" x14ac:dyDescent="0.25">
      <c r="A1" s="75"/>
      <c r="B1" s="75"/>
      <c r="C1" s="75"/>
      <c r="D1" s="75"/>
    </row>
    <row r="2" spans="1:4" ht="21" x14ac:dyDescent="0.35">
      <c r="A2" s="978" t="s">
        <v>163</v>
      </c>
      <c r="B2" s="978"/>
      <c r="C2" s="978"/>
    </row>
    <row r="3" spans="1:4" x14ac:dyDescent="0.25">
      <c r="A3" s="81" t="s">
        <v>11</v>
      </c>
      <c r="B3" s="81"/>
      <c r="C3" s="81"/>
      <c r="D3" s="81"/>
    </row>
    <row r="4" spans="1:4" ht="16.5" thickBot="1" x14ac:dyDescent="0.3">
      <c r="D4" s="155" t="s">
        <v>224</v>
      </c>
    </row>
    <row r="5" spans="1:4" x14ac:dyDescent="0.25">
      <c r="A5" s="173" t="s">
        <v>170</v>
      </c>
      <c r="B5" s="19" t="s">
        <v>614</v>
      </c>
      <c r="C5" s="19" t="s">
        <v>557</v>
      </c>
      <c r="D5" s="19" t="s">
        <v>651</v>
      </c>
    </row>
    <row r="6" spans="1:4" ht="16.5" thickBot="1" x14ac:dyDescent="0.3">
      <c r="A6" s="174"/>
      <c r="B6" s="23" t="s">
        <v>372</v>
      </c>
      <c r="C6" s="23" t="s">
        <v>558</v>
      </c>
      <c r="D6" s="23" t="s">
        <v>372</v>
      </c>
    </row>
    <row r="7" spans="1:4" ht="21" x14ac:dyDescent="0.35">
      <c r="A7" s="186" t="s">
        <v>50</v>
      </c>
      <c r="B7" s="162">
        <v>32689</v>
      </c>
      <c r="C7" s="162"/>
      <c r="D7" s="162">
        <f>SUM(B7:C7)</f>
        <v>32689</v>
      </c>
    </row>
    <row r="8" spans="1:4" ht="21" x14ac:dyDescent="0.35">
      <c r="A8" s="239" t="s">
        <v>453</v>
      </c>
      <c r="B8" s="35">
        <v>6000</v>
      </c>
      <c r="C8" s="35"/>
      <c r="D8" s="35">
        <f t="shared" ref="D8:D26" si="0">SUM(B8:C8)</f>
        <v>6000</v>
      </c>
    </row>
    <row r="9" spans="1:4" ht="48.75" x14ac:dyDescent="0.35">
      <c r="A9" s="239" t="s">
        <v>648</v>
      </c>
      <c r="B9" s="32">
        <v>18000</v>
      </c>
      <c r="C9" s="32"/>
      <c r="D9" s="32">
        <f t="shared" si="0"/>
        <v>18000</v>
      </c>
    </row>
    <row r="10" spans="1:4" ht="21" x14ac:dyDescent="0.35">
      <c r="A10" s="10" t="s">
        <v>51</v>
      </c>
      <c r="B10" s="32">
        <v>480000</v>
      </c>
      <c r="C10" s="32"/>
      <c r="D10" s="32">
        <f t="shared" si="0"/>
        <v>480000</v>
      </c>
    </row>
    <row r="11" spans="1:4" ht="42.6" customHeight="1" x14ac:dyDescent="0.35">
      <c r="A11" s="239" t="s">
        <v>409</v>
      </c>
      <c r="B11" s="35">
        <v>347000</v>
      </c>
      <c r="C11" s="40"/>
      <c r="D11" s="35">
        <f t="shared" si="0"/>
        <v>347000</v>
      </c>
    </row>
    <row r="12" spans="1:4" ht="21" x14ac:dyDescent="0.35">
      <c r="A12" s="167" t="s">
        <v>287</v>
      </c>
      <c r="B12" s="35">
        <v>55000</v>
      </c>
      <c r="C12" s="35">
        <f>-21345-18655</f>
        <v>-40000</v>
      </c>
      <c r="D12" s="35">
        <f t="shared" si="0"/>
        <v>15000</v>
      </c>
    </row>
    <row r="13" spans="1:4" ht="21" x14ac:dyDescent="0.35">
      <c r="A13" s="167" t="s">
        <v>650</v>
      </c>
      <c r="B13" s="35">
        <v>91523</v>
      </c>
      <c r="C13" s="35">
        <v>1114</v>
      </c>
      <c r="D13" s="35">
        <f t="shared" si="0"/>
        <v>92637</v>
      </c>
    </row>
    <row r="14" spans="1:4" ht="21" x14ac:dyDescent="0.35">
      <c r="A14" s="167" t="s">
        <v>489</v>
      </c>
      <c r="B14" s="35">
        <v>40000</v>
      </c>
      <c r="C14" s="35"/>
      <c r="D14" s="35">
        <f t="shared" si="0"/>
        <v>40000</v>
      </c>
    </row>
    <row r="15" spans="1:4" ht="21" x14ac:dyDescent="0.35">
      <c r="A15" s="167" t="s">
        <v>445</v>
      </c>
      <c r="B15" s="35">
        <v>10000</v>
      </c>
      <c r="C15" s="35"/>
      <c r="D15" s="35">
        <f t="shared" si="0"/>
        <v>10000</v>
      </c>
    </row>
    <row r="16" spans="1:4" ht="33" x14ac:dyDescent="0.35">
      <c r="A16" s="167" t="s">
        <v>378</v>
      </c>
      <c r="B16" s="35">
        <v>8268</v>
      </c>
      <c r="C16" s="35"/>
      <c r="D16" s="35">
        <f t="shared" si="0"/>
        <v>8268</v>
      </c>
    </row>
    <row r="17" spans="1:4" ht="33" x14ac:dyDescent="0.35">
      <c r="A17" s="167" t="s">
        <v>377</v>
      </c>
      <c r="B17" s="35">
        <v>8220</v>
      </c>
      <c r="C17" s="35"/>
      <c r="D17" s="35">
        <f t="shared" si="0"/>
        <v>8220</v>
      </c>
    </row>
    <row r="18" spans="1:4" ht="33" x14ac:dyDescent="0.35">
      <c r="A18" s="167" t="s">
        <v>447</v>
      </c>
      <c r="B18" s="40">
        <v>1870</v>
      </c>
      <c r="C18" s="40">
        <v>-1114</v>
      </c>
      <c r="D18" s="40">
        <f t="shared" si="0"/>
        <v>756</v>
      </c>
    </row>
    <row r="19" spans="1:4" ht="21" x14ac:dyDescent="0.35">
      <c r="A19" s="167" t="s">
        <v>448</v>
      </c>
      <c r="B19" s="40">
        <v>5000</v>
      </c>
      <c r="C19" s="40"/>
      <c r="D19" s="40">
        <f t="shared" si="0"/>
        <v>5000</v>
      </c>
    </row>
    <row r="20" spans="1:4" ht="21" x14ac:dyDescent="0.35">
      <c r="A20" s="184" t="s">
        <v>52</v>
      </c>
      <c r="B20" s="35">
        <v>1192</v>
      </c>
      <c r="C20" s="35"/>
      <c r="D20" s="35">
        <f t="shared" si="0"/>
        <v>1192</v>
      </c>
    </row>
    <row r="21" spans="1:4" ht="21" x14ac:dyDescent="0.35">
      <c r="A21" s="184" t="s">
        <v>521</v>
      </c>
      <c r="B21" s="35">
        <v>5900</v>
      </c>
      <c r="C21" s="35"/>
      <c r="D21" s="35">
        <f t="shared" si="0"/>
        <v>5900</v>
      </c>
    </row>
    <row r="22" spans="1:4" ht="21" x14ac:dyDescent="0.35">
      <c r="A22" s="184" t="s">
        <v>480</v>
      </c>
      <c r="B22" s="35">
        <v>1000</v>
      </c>
      <c r="C22" s="35"/>
      <c r="D22" s="35">
        <f t="shared" si="0"/>
        <v>1000</v>
      </c>
    </row>
    <row r="23" spans="1:4" ht="21" x14ac:dyDescent="0.35">
      <c r="A23" s="184" t="s">
        <v>632</v>
      </c>
      <c r="B23" s="35">
        <v>10000</v>
      </c>
      <c r="C23" s="35">
        <f>10000+10000</f>
        <v>20000</v>
      </c>
      <c r="D23" s="35">
        <f t="shared" si="0"/>
        <v>30000</v>
      </c>
    </row>
    <row r="24" spans="1:4" ht="21" x14ac:dyDescent="0.35">
      <c r="A24" s="184" t="s">
        <v>646</v>
      </c>
      <c r="B24" s="35">
        <v>20000</v>
      </c>
      <c r="C24" s="35">
        <v>-8000</v>
      </c>
      <c r="D24" s="35">
        <f t="shared" si="0"/>
        <v>12000</v>
      </c>
    </row>
    <row r="25" spans="1:4" ht="21" x14ac:dyDescent="0.35">
      <c r="A25" s="184" t="s">
        <v>669</v>
      </c>
      <c r="B25" s="35"/>
      <c r="C25" s="35">
        <v>8000</v>
      </c>
      <c r="D25" s="35">
        <f t="shared" si="0"/>
        <v>8000</v>
      </c>
    </row>
    <row r="26" spans="1:4" ht="21.75" thickBot="1" x14ac:dyDescent="0.4">
      <c r="A26" s="589" t="s">
        <v>593</v>
      </c>
      <c r="B26" s="37">
        <v>2000</v>
      </c>
      <c r="C26" s="37"/>
      <c r="D26" s="35">
        <f t="shared" si="0"/>
        <v>2000</v>
      </c>
    </row>
    <row r="27" spans="1:4" ht="21.75" thickBot="1" x14ac:dyDescent="0.4">
      <c r="A27" s="202" t="s">
        <v>311</v>
      </c>
      <c r="B27" s="58">
        <f>SUM(B7:B26)</f>
        <v>1143662</v>
      </c>
      <c r="C27" s="58">
        <f>SUM(C7:C26)</f>
        <v>-20000</v>
      </c>
      <c r="D27" s="58">
        <f>SUM(D7:D26)</f>
        <v>1123662</v>
      </c>
    </row>
    <row r="29" spans="1:4" x14ac:dyDescent="0.25">
      <c r="A29" s="81" t="s">
        <v>79</v>
      </c>
      <c r="B29" s="81"/>
      <c r="C29" s="81"/>
      <c r="D29" s="179"/>
    </row>
    <row r="30" spans="1:4" x14ac:dyDescent="0.25">
      <c r="A30" s="81" t="s">
        <v>80</v>
      </c>
      <c r="B30" s="81"/>
      <c r="C30" s="81"/>
      <c r="D30" s="81"/>
    </row>
    <row r="32" spans="1:4" x14ac:dyDescent="0.25">
      <c r="D32" s="78"/>
    </row>
    <row r="33" spans="4:4" x14ac:dyDescent="0.25">
      <c r="D33" s="78"/>
    </row>
    <row r="34" spans="4:4" x14ac:dyDescent="0.25">
      <c r="D34" s="78"/>
    </row>
    <row r="35" spans="4:4" x14ac:dyDescent="0.25">
      <c r="D35" s="78"/>
    </row>
    <row r="36" spans="4:4" x14ac:dyDescent="0.25">
      <c r="D36" s="172"/>
    </row>
    <row r="37" spans="4:4" x14ac:dyDescent="0.25">
      <c r="D37" s="78"/>
    </row>
    <row r="38" spans="4:4" x14ac:dyDescent="0.25">
      <c r="D38" s="78"/>
    </row>
    <row r="39" spans="4:4" x14ac:dyDescent="0.25">
      <c r="D39" s="78"/>
    </row>
    <row r="40" spans="4:4" x14ac:dyDescent="0.25">
      <c r="D40" s="78"/>
    </row>
  </sheetData>
  <customSheetViews>
    <customSheetView guid="{6D4B996F-8915-4E78-98C2-E7EAE9C4580C}" scale="75" showRuler="0" topLeftCell="A25">
      <selection activeCell="B43" sqref="B43"/>
      <pageMargins left="0.39370078740157483" right="0.39370078740157483" top="0.98425196850393704" bottom="0.98425196850393704" header="0.51181102362204722" footer="0.51181102362204722"/>
      <printOptions horizontalCentered="1" verticalCentered="1"/>
      <pageSetup paperSize="9" scale="65" orientation="portrait" horizontalDpi="300" verticalDpi="300" r:id="rId1"/>
      <headerFooter alignWithMargins="0">
        <oddHeader>&amp;L&amp;F  &amp;A&amp;C&amp;RM.III.9. sz. melléklet</oddHeader>
      </headerFooter>
    </customSheetView>
    <customSheetView guid="{186732C5-520C-4E06-B066-B4F3F0A3E322}" scale="75" showRuler="0" topLeftCell="A25">
      <selection activeCell="B43" sqref="B43"/>
      <pageMargins left="0.39370078740157483" right="0.39370078740157483" top="0.98425196850393704" bottom="0.98425196850393704" header="0.51181102362204722" footer="0.51181102362204722"/>
      <printOptions horizontalCentered="1" verticalCentered="1"/>
      <pageSetup paperSize="9" scale="65" orientation="portrait" horizontalDpi="300" verticalDpi="300" r:id="rId2"/>
      <headerFooter alignWithMargins="0">
        <oddHeader>&amp;L&amp;F  &amp;A&amp;C&amp;RM.III.9. sz. melléklet</oddHeader>
      </headerFooter>
    </customSheetView>
  </customSheetViews>
  <mergeCells count="1">
    <mergeCell ref="A2:C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58" orientation="portrait" r:id="rId3"/>
  <headerFooter alignWithMargins="0">
    <oddHeader xml:space="preserve">&amp;R&amp;"Times New Roman CE,Félkövér"&amp;12
14. melléklet az    1/2025.(I.31.) önkormányzati rendelethez
"14. melléklet a 8/2024.(III.5.) önkormányzati rendelethez"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18"/>
  <dimension ref="A1:N33"/>
  <sheetViews>
    <sheetView zoomScale="87" zoomScaleNormal="87" workbookViewId="0">
      <selection activeCell="I75" sqref="I75"/>
    </sheetView>
  </sheetViews>
  <sheetFormatPr defaultRowHeight="23.25" x14ac:dyDescent="0.35"/>
  <cols>
    <col min="1" max="1" width="141.33203125" style="77" bestFit="1" customWidth="1"/>
    <col min="2" max="2" width="38.83203125" style="77" customWidth="1"/>
    <col min="3" max="4" width="39.1640625" style="77" customWidth="1"/>
    <col min="5" max="11" width="9.33203125" style="77"/>
    <col min="12" max="12" width="38" style="288" customWidth="1"/>
    <col min="13" max="13" width="9.33203125" style="77"/>
    <col min="14" max="14" width="10.6640625" style="77" bestFit="1" customWidth="1"/>
    <col min="15" max="16" width="9.33203125" style="77"/>
    <col min="17" max="17" width="17.1640625" style="77" customWidth="1"/>
    <col min="18" max="16384" width="9.33203125" style="77"/>
  </cols>
  <sheetData>
    <row r="1" spans="1:14" x14ac:dyDescent="0.35">
      <c r="A1" s="75"/>
      <c r="B1" s="75"/>
      <c r="C1" s="75"/>
      <c r="D1" s="75"/>
    </row>
    <row r="2" spans="1:14" x14ac:dyDescent="0.35">
      <c r="A2" s="978" t="s">
        <v>97</v>
      </c>
      <c r="B2" s="978"/>
      <c r="C2" s="978"/>
    </row>
    <row r="3" spans="1:14" x14ac:dyDescent="0.35">
      <c r="B3" s="75"/>
      <c r="C3" s="75"/>
      <c r="D3" s="75"/>
    </row>
    <row r="4" spans="1:14" ht="24" thickBot="1" x14ac:dyDescent="0.4">
      <c r="A4" s="79"/>
      <c r="D4" s="289" t="s">
        <v>224</v>
      </c>
    </row>
    <row r="5" spans="1:14" x14ac:dyDescent="0.35">
      <c r="A5" s="173" t="s">
        <v>170</v>
      </c>
      <c r="B5" s="19" t="s">
        <v>614</v>
      </c>
      <c r="C5" s="19" t="s">
        <v>557</v>
      </c>
      <c r="D5" s="19" t="s">
        <v>651</v>
      </c>
    </row>
    <row r="6" spans="1:14" ht="24" thickBot="1" x14ac:dyDescent="0.4">
      <c r="A6" s="174"/>
      <c r="B6" s="88" t="s">
        <v>372</v>
      </c>
      <c r="C6" s="88" t="s">
        <v>558</v>
      </c>
      <c r="D6" s="88" t="s">
        <v>372</v>
      </c>
    </row>
    <row r="7" spans="1:14" x14ac:dyDescent="0.35">
      <c r="A7" s="290" t="s">
        <v>375</v>
      </c>
      <c r="B7" s="291">
        <v>439163</v>
      </c>
      <c r="C7" s="291"/>
      <c r="D7" s="291">
        <f>SUM(B7:C7)</f>
        <v>439163</v>
      </c>
    </row>
    <row r="8" spans="1:14" x14ac:dyDescent="0.35">
      <c r="A8" s="292" t="s">
        <v>366</v>
      </c>
      <c r="B8" s="291">
        <v>598652</v>
      </c>
      <c r="C8" s="291">
        <v>-3340</v>
      </c>
      <c r="D8" s="291">
        <f t="shared" ref="D8:D20" si="0">SUM(B8:C8)</f>
        <v>595312</v>
      </c>
    </row>
    <row r="9" spans="1:14" x14ac:dyDescent="0.35">
      <c r="A9" s="292" t="s">
        <v>322</v>
      </c>
      <c r="B9" s="291">
        <v>7000</v>
      </c>
      <c r="C9" s="291">
        <v>-2100</v>
      </c>
      <c r="D9" s="291">
        <f t="shared" si="0"/>
        <v>4900</v>
      </c>
      <c r="N9" s="78"/>
    </row>
    <row r="10" spans="1:14" x14ac:dyDescent="0.35">
      <c r="A10" s="292" t="s">
        <v>81</v>
      </c>
      <c r="B10" s="291">
        <v>3933</v>
      </c>
      <c r="C10" s="291"/>
      <c r="D10" s="291">
        <f t="shared" si="0"/>
        <v>3933</v>
      </c>
    </row>
    <row r="11" spans="1:14" x14ac:dyDescent="0.35">
      <c r="A11" s="294" t="s">
        <v>417</v>
      </c>
      <c r="B11" s="291">
        <v>839899</v>
      </c>
      <c r="C11" s="291"/>
      <c r="D11" s="291">
        <f t="shared" si="0"/>
        <v>839899</v>
      </c>
    </row>
    <row r="12" spans="1:14" x14ac:dyDescent="0.35">
      <c r="A12" s="550" t="s">
        <v>522</v>
      </c>
      <c r="B12" s="105">
        <v>23607</v>
      </c>
      <c r="C12" s="105"/>
      <c r="D12" s="105">
        <f t="shared" si="0"/>
        <v>23607</v>
      </c>
    </row>
    <row r="13" spans="1:14" x14ac:dyDescent="0.35">
      <c r="A13" s="294" t="s">
        <v>391</v>
      </c>
      <c r="B13" s="291">
        <v>1254</v>
      </c>
      <c r="C13" s="291"/>
      <c r="D13" s="291">
        <f t="shared" si="0"/>
        <v>1254</v>
      </c>
      <c r="H13" s="78"/>
    </row>
    <row r="14" spans="1:14" x14ac:dyDescent="0.35">
      <c r="A14" s="294" t="s">
        <v>91</v>
      </c>
      <c r="B14" s="291">
        <v>4536</v>
      </c>
      <c r="C14" s="291"/>
      <c r="D14" s="291">
        <f t="shared" si="0"/>
        <v>4536</v>
      </c>
    </row>
    <row r="15" spans="1:14" x14ac:dyDescent="0.35">
      <c r="A15" s="294" t="s">
        <v>121</v>
      </c>
      <c r="B15" s="291">
        <v>5549</v>
      </c>
      <c r="C15" s="291"/>
      <c r="D15" s="291">
        <f t="shared" si="0"/>
        <v>5549</v>
      </c>
    </row>
    <row r="16" spans="1:14" x14ac:dyDescent="0.35">
      <c r="A16" s="294" t="s">
        <v>362</v>
      </c>
      <c r="B16" s="291">
        <v>6896</v>
      </c>
      <c r="C16" s="291"/>
      <c r="D16" s="291">
        <f t="shared" si="0"/>
        <v>6896</v>
      </c>
    </row>
    <row r="17" spans="1:4" x14ac:dyDescent="0.35">
      <c r="A17" s="294" t="s">
        <v>198</v>
      </c>
      <c r="B17" s="291">
        <v>17400</v>
      </c>
      <c r="C17" s="291"/>
      <c r="D17" s="291">
        <f t="shared" si="0"/>
        <v>17400</v>
      </c>
    </row>
    <row r="18" spans="1:4" x14ac:dyDescent="0.35">
      <c r="A18" s="294" t="s">
        <v>45</v>
      </c>
      <c r="B18" s="291">
        <v>72100</v>
      </c>
      <c r="C18" s="291">
        <v>5440</v>
      </c>
      <c r="D18" s="291">
        <f t="shared" si="0"/>
        <v>77540</v>
      </c>
    </row>
    <row r="19" spans="1:4" x14ac:dyDescent="0.35">
      <c r="A19" s="294" t="s">
        <v>523</v>
      </c>
      <c r="B19" s="291">
        <v>20000</v>
      </c>
      <c r="C19" s="291"/>
      <c r="D19" s="291">
        <f t="shared" si="0"/>
        <v>20000</v>
      </c>
    </row>
    <row r="20" spans="1:4" ht="24" thickBot="1" x14ac:dyDescent="0.4">
      <c r="A20" s="598" t="s">
        <v>612</v>
      </c>
      <c r="B20" s="110">
        <v>28632</v>
      </c>
      <c r="C20" s="110"/>
      <c r="D20" s="110">
        <f t="shared" si="0"/>
        <v>28632</v>
      </c>
    </row>
    <row r="21" spans="1:4" ht="24" thickBot="1" x14ac:dyDescent="0.4">
      <c r="A21" s="295" t="s">
        <v>98</v>
      </c>
      <c r="B21" s="58">
        <f>SUM(B7:B20)</f>
        <v>2068621</v>
      </c>
      <c r="C21" s="58">
        <f>SUM(C7:C20)</f>
        <v>0</v>
      </c>
      <c r="D21" s="58">
        <f>SUM(D7:D20)</f>
        <v>2068621</v>
      </c>
    </row>
    <row r="22" spans="1:4" x14ac:dyDescent="0.35">
      <c r="A22" s="29" t="s">
        <v>99</v>
      </c>
      <c r="B22" s="296">
        <v>1000</v>
      </c>
      <c r="C22" s="296">
        <v>-180</v>
      </c>
      <c r="D22" s="296">
        <f t="shared" ref="D22:D28" si="1">SUM(B22:C22)</f>
        <v>820</v>
      </c>
    </row>
    <row r="23" spans="1:4" x14ac:dyDescent="0.35">
      <c r="A23" s="293" t="s">
        <v>524</v>
      </c>
      <c r="B23" s="105">
        <v>1000</v>
      </c>
      <c r="C23" s="105"/>
      <c r="D23" s="110">
        <f t="shared" si="1"/>
        <v>1000</v>
      </c>
    </row>
    <row r="24" spans="1:4" x14ac:dyDescent="0.35">
      <c r="A24" s="293" t="s">
        <v>525</v>
      </c>
      <c r="B24" s="105">
        <v>5000</v>
      </c>
      <c r="C24" s="105"/>
      <c r="D24" s="110">
        <f t="shared" si="1"/>
        <v>5000</v>
      </c>
    </row>
    <row r="25" spans="1:4" x14ac:dyDescent="0.35">
      <c r="A25" s="587" t="s">
        <v>271</v>
      </c>
      <c r="B25" s="146">
        <v>5450</v>
      </c>
      <c r="C25" s="146"/>
      <c r="D25" s="146">
        <f t="shared" si="1"/>
        <v>5450</v>
      </c>
    </row>
    <row r="26" spans="1:4" x14ac:dyDescent="0.35">
      <c r="A26" s="599" t="s">
        <v>609</v>
      </c>
      <c r="B26" s="146">
        <v>23860</v>
      </c>
      <c r="C26" s="146"/>
      <c r="D26" s="146">
        <f t="shared" si="1"/>
        <v>23860</v>
      </c>
    </row>
    <row r="27" spans="1:4" x14ac:dyDescent="0.35">
      <c r="A27" s="599" t="s">
        <v>610</v>
      </c>
      <c r="B27" s="146">
        <v>3500</v>
      </c>
      <c r="C27" s="146"/>
      <c r="D27" s="146">
        <f t="shared" si="1"/>
        <v>3500</v>
      </c>
    </row>
    <row r="28" spans="1:4" ht="24" thickBot="1" x14ac:dyDescent="0.4">
      <c r="A28" s="588" t="s">
        <v>582</v>
      </c>
      <c r="B28" s="297">
        <v>2159</v>
      </c>
      <c r="C28" s="297"/>
      <c r="D28" s="297">
        <f t="shared" si="1"/>
        <v>2159</v>
      </c>
    </row>
    <row r="29" spans="1:4" ht="24" thickBot="1" x14ac:dyDescent="0.4">
      <c r="A29" s="241" t="s">
        <v>312</v>
      </c>
      <c r="B29" s="125">
        <f>SUM(B21:B28)</f>
        <v>2110590</v>
      </c>
      <c r="C29" s="125">
        <f>SUM(C21:C28)</f>
        <v>-180</v>
      </c>
      <c r="D29" s="125">
        <f>SUM(D21:D28)</f>
        <v>2110410</v>
      </c>
    </row>
    <row r="32" spans="1:4" x14ac:dyDescent="0.35">
      <c r="A32" s="81" t="s">
        <v>79</v>
      </c>
      <c r="D32" s="298"/>
    </row>
    <row r="33" spans="1:1" x14ac:dyDescent="0.35">
      <c r="A33" s="81" t="s">
        <v>80</v>
      </c>
    </row>
  </sheetData>
  <customSheetViews>
    <customSheetView guid="{6D4B996F-8915-4E78-98C2-E7EAE9C4580C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1"/>
      <headerFooter alignWithMargins="0">
        <oddHeader>&amp;L&amp;F   &amp;A&amp;R&amp;"Times New Roman CE,Félkövér"&amp;16M.III/11.sz.melléklet</oddHeader>
      </headerFooter>
    </customSheetView>
    <customSheetView guid="{186732C5-520C-4E06-B066-B4F3F0A3E322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2"/>
      <headerFooter alignWithMargins="0">
        <oddHeader>&amp;L&amp;F   &amp;A&amp;R&amp;"Times New Roman CE,Félkövér"&amp;16M.III/11.sz.melléklet</oddHeader>
      </headerFooter>
    </customSheetView>
  </customSheetViews>
  <mergeCells count="1">
    <mergeCell ref="A2:C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8" orientation="portrait" r:id="rId3"/>
  <headerFooter alignWithMargins="0">
    <oddHeader xml:space="preserve">&amp;R&amp;"Times New Roman CE,Félkövér"&amp;12
15. melléklet az    1/2025.(I.31.) önkormányzati rendelethez
"15. melléklet a 8/2024.(III.5.) önkormányzati rendelethez"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19"/>
  <dimension ref="A1:D42"/>
  <sheetViews>
    <sheetView zoomScale="87" zoomScaleNormal="87" workbookViewId="0">
      <selection activeCell="I75" sqref="I75"/>
    </sheetView>
  </sheetViews>
  <sheetFormatPr defaultColWidth="12" defaultRowHeight="15.75" x14ac:dyDescent="0.25"/>
  <cols>
    <col min="1" max="1" width="90" style="77" customWidth="1"/>
    <col min="2" max="2" width="34" style="77" customWidth="1"/>
    <col min="3" max="3" width="39.1640625" style="77" customWidth="1"/>
    <col min="4" max="4" width="38.1640625" style="77" bestFit="1" customWidth="1"/>
    <col min="5" max="16384" width="12" style="77"/>
  </cols>
  <sheetData>
    <row r="1" spans="1:4" x14ac:dyDescent="0.25">
      <c r="A1" s="75"/>
      <c r="B1" s="75"/>
      <c r="C1" s="75"/>
      <c r="D1" s="75"/>
    </row>
    <row r="2" spans="1:4" ht="21" x14ac:dyDescent="0.35">
      <c r="A2" s="978" t="s">
        <v>110</v>
      </c>
      <c r="B2" s="978"/>
      <c r="C2" s="978"/>
    </row>
    <row r="3" spans="1:4" x14ac:dyDescent="0.25">
      <c r="A3" s="75"/>
      <c r="B3" s="75"/>
      <c r="C3" s="75"/>
      <c r="D3" s="75"/>
    </row>
    <row r="4" spans="1:4" ht="19.5" thickBot="1" x14ac:dyDescent="0.35">
      <c r="A4" s="80"/>
      <c r="B4" s="81"/>
      <c r="C4" s="81"/>
      <c r="D4" s="16" t="s">
        <v>224</v>
      </c>
    </row>
    <row r="5" spans="1:4" s="209" customFormat="1" x14ac:dyDescent="0.25">
      <c r="A5" s="299" t="s">
        <v>170</v>
      </c>
      <c r="B5" s="19" t="s">
        <v>614</v>
      </c>
      <c r="C5" s="19" t="s">
        <v>557</v>
      </c>
      <c r="D5" s="19" t="s">
        <v>651</v>
      </c>
    </row>
    <row r="6" spans="1:4" s="209" customFormat="1" ht="16.5" thickBot="1" x14ac:dyDescent="0.3">
      <c r="A6" s="300"/>
      <c r="B6" s="88" t="s">
        <v>372</v>
      </c>
      <c r="C6" s="88" t="s">
        <v>558</v>
      </c>
      <c r="D6" s="88" t="s">
        <v>372</v>
      </c>
    </row>
    <row r="7" spans="1:4" ht="21" x14ac:dyDescent="0.35">
      <c r="A7" s="301" t="s">
        <v>82</v>
      </c>
      <c r="B7" s="291">
        <v>40000</v>
      </c>
      <c r="C7" s="291"/>
      <c r="D7" s="613">
        <f>SUM(B7:C7)</f>
        <v>40000</v>
      </c>
    </row>
    <row r="8" spans="1:4" ht="21" x14ac:dyDescent="0.35">
      <c r="A8" s="304" t="s">
        <v>193</v>
      </c>
      <c r="B8" s="302">
        <v>15000</v>
      </c>
      <c r="C8" s="302"/>
      <c r="D8" s="303">
        <f t="shared" ref="D8:D33" si="0">SUM(B8:C8)</f>
        <v>15000</v>
      </c>
    </row>
    <row r="9" spans="1:4" ht="21" x14ac:dyDescent="0.35">
      <c r="A9" s="304" t="s">
        <v>1</v>
      </c>
      <c r="B9" s="302">
        <v>5001</v>
      </c>
      <c r="C9" s="302">
        <f>-1000-2783</f>
        <v>-3783</v>
      </c>
      <c r="D9" s="303">
        <f t="shared" si="0"/>
        <v>1218</v>
      </c>
    </row>
    <row r="10" spans="1:4" ht="21" x14ac:dyDescent="0.35">
      <c r="A10" s="304" t="s">
        <v>353</v>
      </c>
      <c r="B10" s="302">
        <v>196457</v>
      </c>
      <c r="C10" s="302"/>
      <c r="D10" s="303">
        <f t="shared" si="0"/>
        <v>196457</v>
      </c>
    </row>
    <row r="11" spans="1:4" ht="21" x14ac:dyDescent="0.35">
      <c r="A11" s="304" t="s">
        <v>316</v>
      </c>
      <c r="B11" s="302">
        <v>25000</v>
      </c>
      <c r="C11" s="302"/>
      <c r="D11" s="303">
        <f t="shared" si="0"/>
        <v>25000</v>
      </c>
    </row>
    <row r="12" spans="1:4" ht="21" x14ac:dyDescent="0.35">
      <c r="A12" s="305" t="s">
        <v>395</v>
      </c>
      <c r="B12" s="302">
        <v>18932</v>
      </c>
      <c r="C12" s="302"/>
      <c r="D12" s="303">
        <f t="shared" si="0"/>
        <v>18932</v>
      </c>
    </row>
    <row r="13" spans="1:4" ht="21" x14ac:dyDescent="0.35">
      <c r="A13" s="237" t="s">
        <v>396</v>
      </c>
      <c r="B13" s="302">
        <v>4189</v>
      </c>
      <c r="C13" s="302"/>
      <c r="D13" s="303">
        <f t="shared" si="0"/>
        <v>4189</v>
      </c>
    </row>
    <row r="14" spans="1:4" ht="21" x14ac:dyDescent="0.35">
      <c r="A14" s="304" t="s">
        <v>46</v>
      </c>
      <c r="B14" s="302">
        <v>2264</v>
      </c>
      <c r="C14" s="302">
        <v>1000</v>
      </c>
      <c r="D14" s="303">
        <f t="shared" si="0"/>
        <v>3264</v>
      </c>
    </row>
    <row r="15" spans="1:4" ht="21" x14ac:dyDescent="0.35">
      <c r="A15" s="304" t="s">
        <v>2</v>
      </c>
      <c r="B15" s="302">
        <v>6000</v>
      </c>
      <c r="C15" s="302"/>
      <c r="D15" s="303">
        <f t="shared" si="0"/>
        <v>6000</v>
      </c>
    </row>
    <row r="16" spans="1:4" ht="21" x14ac:dyDescent="0.35">
      <c r="A16" s="304" t="s">
        <v>103</v>
      </c>
      <c r="B16" s="302">
        <v>4000</v>
      </c>
      <c r="C16" s="302">
        <v>2783</v>
      </c>
      <c r="D16" s="303">
        <f t="shared" si="0"/>
        <v>6783</v>
      </c>
    </row>
    <row r="17" spans="1:4" ht="21" x14ac:dyDescent="0.35">
      <c r="A17" s="304" t="s">
        <v>194</v>
      </c>
      <c r="B17" s="302">
        <v>200184</v>
      </c>
      <c r="C17" s="302"/>
      <c r="D17" s="303">
        <f t="shared" si="0"/>
        <v>200184</v>
      </c>
    </row>
    <row r="18" spans="1:4" ht="21" x14ac:dyDescent="0.35">
      <c r="A18" s="304" t="s">
        <v>526</v>
      </c>
      <c r="B18" s="302">
        <v>37959</v>
      </c>
      <c r="C18" s="302"/>
      <c r="D18" s="303">
        <f t="shared" si="0"/>
        <v>37959</v>
      </c>
    </row>
    <row r="19" spans="1:4" ht="21" x14ac:dyDescent="0.35">
      <c r="A19" s="304" t="s">
        <v>95</v>
      </c>
      <c r="B19" s="302">
        <v>21000</v>
      </c>
      <c r="C19" s="302"/>
      <c r="D19" s="303">
        <f t="shared" si="0"/>
        <v>21000</v>
      </c>
    </row>
    <row r="20" spans="1:4" ht="33" x14ac:dyDescent="0.35">
      <c r="A20" s="306" t="s">
        <v>421</v>
      </c>
      <c r="B20" s="302">
        <v>8986</v>
      </c>
      <c r="C20" s="302"/>
      <c r="D20" s="303">
        <f t="shared" si="0"/>
        <v>8986</v>
      </c>
    </row>
    <row r="21" spans="1:4" ht="21" x14ac:dyDescent="0.35">
      <c r="A21" s="304" t="s">
        <v>527</v>
      </c>
      <c r="B21" s="302">
        <v>16507</v>
      </c>
      <c r="C21" s="302"/>
      <c r="D21" s="303">
        <f t="shared" si="0"/>
        <v>16507</v>
      </c>
    </row>
    <row r="22" spans="1:4" ht="21" x14ac:dyDescent="0.35">
      <c r="A22" s="304" t="s">
        <v>528</v>
      </c>
      <c r="B22" s="302">
        <v>0</v>
      </c>
      <c r="C22" s="302"/>
      <c r="D22" s="303">
        <f t="shared" si="0"/>
        <v>0</v>
      </c>
    </row>
    <row r="23" spans="1:4" ht="33" x14ac:dyDescent="0.35">
      <c r="A23" s="237" t="s">
        <v>317</v>
      </c>
      <c r="B23" s="302">
        <v>6151</v>
      </c>
      <c r="C23" s="302"/>
      <c r="D23" s="303">
        <f t="shared" si="0"/>
        <v>6151</v>
      </c>
    </row>
    <row r="24" spans="1:4" ht="21" x14ac:dyDescent="0.35">
      <c r="A24" s="158" t="s">
        <v>96</v>
      </c>
      <c r="B24" s="302">
        <v>100478</v>
      </c>
      <c r="C24" s="302"/>
      <c r="D24" s="303">
        <f t="shared" si="0"/>
        <v>100478</v>
      </c>
    </row>
    <row r="25" spans="1:4" ht="21" x14ac:dyDescent="0.35">
      <c r="A25" s="158" t="s">
        <v>487</v>
      </c>
      <c r="B25" s="302">
        <v>490</v>
      </c>
      <c r="C25" s="302"/>
      <c r="D25" s="303">
        <f t="shared" si="0"/>
        <v>490</v>
      </c>
    </row>
    <row r="26" spans="1:4" ht="21" x14ac:dyDescent="0.35">
      <c r="A26" s="304" t="s">
        <v>237</v>
      </c>
      <c r="B26" s="302">
        <v>3616</v>
      </c>
      <c r="C26" s="302"/>
      <c r="D26" s="303">
        <f t="shared" si="0"/>
        <v>3616</v>
      </c>
    </row>
    <row r="27" spans="1:4" ht="21" x14ac:dyDescent="0.35">
      <c r="A27" s="306" t="s">
        <v>476</v>
      </c>
      <c r="B27" s="302">
        <v>22300</v>
      </c>
      <c r="C27" s="302"/>
      <c r="D27" s="303">
        <f t="shared" si="0"/>
        <v>22300</v>
      </c>
    </row>
    <row r="28" spans="1:4" ht="21" x14ac:dyDescent="0.35">
      <c r="A28" s="306" t="s">
        <v>500</v>
      </c>
      <c r="B28" s="302">
        <v>2427</v>
      </c>
      <c r="C28" s="302"/>
      <c r="D28" s="303">
        <f t="shared" si="0"/>
        <v>2427</v>
      </c>
    </row>
    <row r="29" spans="1:4" ht="21" x14ac:dyDescent="0.35">
      <c r="A29" s="306" t="s">
        <v>501</v>
      </c>
      <c r="B29" s="302">
        <v>28000</v>
      </c>
      <c r="C29" s="302"/>
      <c r="D29" s="303">
        <f t="shared" si="0"/>
        <v>28000</v>
      </c>
    </row>
    <row r="30" spans="1:4" ht="21" x14ac:dyDescent="0.35">
      <c r="A30" s="306" t="s">
        <v>469</v>
      </c>
      <c r="B30" s="302">
        <v>21728</v>
      </c>
      <c r="C30" s="302"/>
      <c r="D30" s="303">
        <f t="shared" si="0"/>
        <v>21728</v>
      </c>
    </row>
    <row r="31" spans="1:4" ht="33" x14ac:dyDescent="0.35">
      <c r="A31" s="306" t="s">
        <v>516</v>
      </c>
      <c r="B31" s="302">
        <v>89902</v>
      </c>
      <c r="C31" s="302"/>
      <c r="D31" s="303">
        <f t="shared" si="0"/>
        <v>89902</v>
      </c>
    </row>
    <row r="32" spans="1:4" ht="33" x14ac:dyDescent="0.35">
      <c r="A32" s="306" t="s">
        <v>641</v>
      </c>
      <c r="B32" s="302">
        <v>19583</v>
      </c>
      <c r="C32" s="302"/>
      <c r="D32" s="303">
        <f t="shared" si="0"/>
        <v>19583</v>
      </c>
    </row>
    <row r="33" spans="1:4" ht="21.75" thickBot="1" x14ac:dyDescent="0.4">
      <c r="A33" s="307" t="s">
        <v>517</v>
      </c>
      <c r="B33" s="308">
        <v>390326</v>
      </c>
      <c r="C33" s="308"/>
      <c r="D33" s="303">
        <f t="shared" si="0"/>
        <v>390326</v>
      </c>
    </row>
    <row r="34" spans="1:4" ht="21.75" thickBot="1" x14ac:dyDescent="0.4">
      <c r="A34" s="309" t="s">
        <v>313</v>
      </c>
      <c r="B34" s="58">
        <f>SUM(B7:B33)</f>
        <v>1286480</v>
      </c>
      <c r="C34" s="58">
        <f>SUM(C7:C33)</f>
        <v>0</v>
      </c>
      <c r="D34" s="58">
        <f>SUM(D7:D33)</f>
        <v>1286480</v>
      </c>
    </row>
    <row r="37" spans="1:4" ht="18.75" x14ac:dyDescent="0.3">
      <c r="A37" s="81" t="s">
        <v>79</v>
      </c>
      <c r="B37" s="81"/>
      <c r="C37" s="81"/>
      <c r="D37" s="310"/>
    </row>
    <row r="38" spans="1:4" x14ac:dyDescent="0.25">
      <c r="A38" s="81" t="s">
        <v>80</v>
      </c>
      <c r="B38" s="81"/>
      <c r="C38" s="81"/>
      <c r="D38" s="81"/>
    </row>
    <row r="42" spans="1:4" x14ac:dyDescent="0.25">
      <c r="B42" s="311"/>
    </row>
  </sheetData>
  <customSheetViews>
    <customSheetView guid="{6D4B996F-8915-4E78-98C2-E7EAE9C4580C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1"/>
      <headerFooter alignWithMargins="0">
        <oddHeader>&amp;L&amp;F   &amp;A&amp;R&amp;"Times New Roman CE,Félkövér"&amp;16 M.III.12.sz.melléklet</oddHeader>
        <oddFooter xml:space="preserve">&amp;C </oddFooter>
      </headerFooter>
    </customSheetView>
    <customSheetView guid="{186732C5-520C-4E06-B066-B4F3F0A3E322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2"/>
      <headerFooter alignWithMargins="0">
        <oddHeader>&amp;L&amp;F   &amp;A&amp;R&amp;"Times New Roman CE,Félkövér"&amp;16 M.III.12.sz.melléklet</oddHeader>
        <oddFooter xml:space="preserve">&amp;C </oddFooter>
      </headerFooter>
    </customSheetView>
  </customSheetViews>
  <mergeCells count="1">
    <mergeCell ref="A2:C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56" orientation="portrait" r:id="rId3"/>
  <headerFooter alignWithMargins="0">
    <oddHeader xml:space="preserve">&amp;R&amp;"Times New Roman CE,Félkövér"&amp;12
16. melléklet az    1/2025.(I.31.) önkormányzati rendelethez
"16. melléklet a 8/2024.(III.5.) önkormányzati rendelethez"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32"/>
  <dimension ref="A1:E39"/>
  <sheetViews>
    <sheetView zoomScaleNormal="100" workbookViewId="0">
      <selection activeCell="I75" sqref="I75"/>
    </sheetView>
  </sheetViews>
  <sheetFormatPr defaultColWidth="10.6640625" defaultRowHeight="15.75" x14ac:dyDescent="0.25"/>
  <cols>
    <col min="1" max="1" width="6" style="312" customWidth="1"/>
    <col min="2" max="2" width="133.5" style="312" customWidth="1"/>
    <col min="3" max="3" width="37.83203125" style="312" customWidth="1"/>
    <col min="4" max="4" width="39.1640625" style="312" customWidth="1"/>
    <col min="5" max="5" width="38.1640625" style="312" bestFit="1" customWidth="1"/>
    <col min="6" max="16384" width="10.6640625" style="312"/>
  </cols>
  <sheetData>
    <row r="1" spans="1:5" ht="18.75" x14ac:dyDescent="0.3">
      <c r="A1" s="986" t="s">
        <v>143</v>
      </c>
      <c r="B1" s="986"/>
      <c r="C1" s="986"/>
      <c r="D1" s="986"/>
    </row>
    <row r="2" spans="1:5" ht="19.5" thickBot="1" x14ac:dyDescent="0.35">
      <c r="B2" s="313"/>
      <c r="C2" s="313"/>
      <c r="D2" s="313"/>
      <c r="E2" s="16" t="s">
        <v>224</v>
      </c>
    </row>
    <row r="3" spans="1:5" ht="18" customHeight="1" x14ac:dyDescent="0.25">
      <c r="A3" s="314"/>
      <c r="B3" s="315" t="s">
        <v>170</v>
      </c>
      <c r="C3" s="19" t="s">
        <v>614</v>
      </c>
      <c r="D3" s="19" t="s">
        <v>557</v>
      </c>
      <c r="E3" s="19" t="s">
        <v>651</v>
      </c>
    </row>
    <row r="4" spans="1:5" ht="33" customHeight="1" thickBot="1" x14ac:dyDescent="0.3">
      <c r="A4" s="316"/>
      <c r="B4" s="317"/>
      <c r="C4" s="23" t="s">
        <v>372</v>
      </c>
      <c r="D4" s="23" t="s">
        <v>558</v>
      </c>
      <c r="E4" s="23" t="s">
        <v>372</v>
      </c>
    </row>
    <row r="5" spans="1:5" x14ac:dyDescent="0.25">
      <c r="A5" s="318" t="s">
        <v>66</v>
      </c>
      <c r="B5" s="319"/>
      <c r="C5" s="320"/>
      <c r="D5" s="320"/>
      <c r="E5" s="320"/>
    </row>
    <row r="6" spans="1:5" ht="21" x14ac:dyDescent="0.35">
      <c r="A6" s="12"/>
      <c r="B6" s="323" t="s">
        <v>28</v>
      </c>
      <c r="C6" s="324"/>
      <c r="D6" s="324"/>
      <c r="E6" s="324">
        <f>SUM(C6:D6)</f>
        <v>0</v>
      </c>
    </row>
    <row r="7" spans="1:5" x14ac:dyDescent="0.25">
      <c r="A7" s="13"/>
      <c r="B7" s="209"/>
      <c r="C7" s="325"/>
      <c r="D7" s="325"/>
      <c r="E7" s="325"/>
    </row>
    <row r="8" spans="1:5" ht="21" x14ac:dyDescent="0.35">
      <c r="A8" s="326"/>
      <c r="B8" s="327" t="s">
        <v>56</v>
      </c>
      <c r="C8" s="324">
        <f>SUM(C7)</f>
        <v>0</v>
      </c>
      <c r="D8" s="324">
        <f>SUM(D7)</f>
        <v>0</v>
      </c>
      <c r="E8" s="324">
        <f>SUM(E7)</f>
        <v>0</v>
      </c>
    </row>
    <row r="9" spans="1:5" ht="33" x14ac:dyDescent="0.35">
      <c r="A9" s="326"/>
      <c r="B9" s="328" t="s">
        <v>470</v>
      </c>
      <c r="C9" s="322">
        <v>568871</v>
      </c>
      <c r="D9" s="322"/>
      <c r="E9" s="322">
        <f>SUM(C9:D9)</f>
        <v>568871</v>
      </c>
    </row>
    <row r="10" spans="1:5" ht="21.75" thickBot="1" x14ac:dyDescent="0.4">
      <c r="A10" s="329"/>
      <c r="B10" s="330" t="s">
        <v>29</v>
      </c>
      <c r="C10" s="331">
        <f>SUM(C9:C9)</f>
        <v>568871</v>
      </c>
      <c r="D10" s="331">
        <f>SUM(D9:D9)</f>
        <v>0</v>
      </c>
      <c r="E10" s="331">
        <f>SUM(E9:E9)</f>
        <v>568871</v>
      </c>
    </row>
    <row r="11" spans="1:5" ht="25.35" customHeight="1" thickBot="1" x14ac:dyDescent="0.4">
      <c r="A11" s="984" t="s">
        <v>70</v>
      </c>
      <c r="B11" s="985"/>
      <c r="C11" s="332">
        <f>C6+C8+C10</f>
        <v>568871</v>
      </c>
      <c r="D11" s="332">
        <f>D6+D8+D10</f>
        <v>0</v>
      </c>
      <c r="E11" s="332">
        <f>E6+E8+E10</f>
        <v>568871</v>
      </c>
    </row>
    <row r="12" spans="1:5" x14ac:dyDescent="0.25">
      <c r="A12" s="318" t="s">
        <v>64</v>
      </c>
      <c r="B12" s="319"/>
      <c r="C12" s="320"/>
      <c r="D12" s="320"/>
      <c r="E12" s="320"/>
    </row>
    <row r="13" spans="1:5" ht="21" x14ac:dyDescent="0.35">
      <c r="A13" s="13"/>
      <c r="B13" s="333" t="s">
        <v>138</v>
      </c>
      <c r="C13" s="322">
        <v>274091</v>
      </c>
      <c r="D13" s="322">
        <v>89840</v>
      </c>
      <c r="E13" s="322">
        <f>SUM(C13:D13)</f>
        <v>363931</v>
      </c>
    </row>
    <row r="14" spans="1:5" ht="21" x14ac:dyDescent="0.35">
      <c r="A14" s="13"/>
      <c r="B14" s="333" t="s">
        <v>536</v>
      </c>
      <c r="C14" s="322">
        <v>15400</v>
      </c>
      <c r="D14" s="322"/>
      <c r="E14" s="321">
        <f>SUM(C14:D14)</f>
        <v>15400</v>
      </c>
    </row>
    <row r="15" spans="1:5" ht="21" x14ac:dyDescent="0.35">
      <c r="A15" s="13"/>
      <c r="B15" s="333" t="s">
        <v>579</v>
      </c>
      <c r="C15" s="322">
        <v>1000</v>
      </c>
      <c r="D15" s="322"/>
      <c r="E15" s="321">
        <f>SUM(C15:D15)</f>
        <v>1000</v>
      </c>
    </row>
    <row r="16" spans="1:5" ht="21.75" thickBot="1" x14ac:dyDescent="0.4">
      <c r="A16" s="13"/>
      <c r="B16" s="333" t="s">
        <v>518</v>
      </c>
      <c r="C16" s="322">
        <v>18700</v>
      </c>
      <c r="D16" s="322">
        <v>14900</v>
      </c>
      <c r="E16" s="321">
        <f>SUM(C16:D16)</f>
        <v>33600</v>
      </c>
    </row>
    <row r="17" spans="1:5" ht="21.75" thickBot="1" x14ac:dyDescent="0.4">
      <c r="A17" s="334" t="s">
        <v>65</v>
      </c>
      <c r="B17" s="335"/>
      <c r="C17" s="46">
        <f>SUM(C13:C16)</f>
        <v>309191</v>
      </c>
      <c r="D17" s="46">
        <f>SUM(D13:D16)</f>
        <v>104740</v>
      </c>
      <c r="E17" s="46">
        <f>SUM(E13:E16)</f>
        <v>413931</v>
      </c>
    </row>
    <row r="18" spans="1:5" ht="16.5" customHeight="1" x14ac:dyDescent="0.25">
      <c r="A18" s="336" t="s">
        <v>71</v>
      </c>
      <c r="B18" s="337"/>
      <c r="C18" s="338"/>
      <c r="D18" s="338"/>
      <c r="E18" s="338"/>
    </row>
    <row r="19" spans="1:5" ht="44.25" customHeight="1" x14ac:dyDescent="0.25">
      <c r="A19" s="339"/>
      <c r="B19" s="340" t="s">
        <v>31</v>
      </c>
      <c r="C19" s="341"/>
      <c r="D19" s="341"/>
      <c r="E19" s="341"/>
    </row>
    <row r="20" spans="1:5" ht="21" x14ac:dyDescent="0.35">
      <c r="A20" s="13"/>
      <c r="B20" s="342" t="s">
        <v>140</v>
      </c>
      <c r="C20" s="321">
        <v>10000</v>
      </c>
      <c r="D20" s="321">
        <v>1449</v>
      </c>
      <c r="E20" s="321">
        <f>SUM(C20:D20)</f>
        <v>11449</v>
      </c>
    </row>
    <row r="21" spans="1:5" ht="21" x14ac:dyDescent="0.35">
      <c r="A21" s="13"/>
      <c r="B21" s="342" t="s">
        <v>657</v>
      </c>
      <c r="C21" s="321"/>
      <c r="D21" s="321">
        <v>2037</v>
      </c>
      <c r="E21" s="321">
        <f>SUM(C21:D21)</f>
        <v>2037</v>
      </c>
    </row>
    <row r="22" spans="1:5" ht="21" x14ac:dyDescent="0.35">
      <c r="A22" s="339"/>
      <c r="B22" s="343" t="s">
        <v>32</v>
      </c>
      <c r="C22" s="344"/>
      <c r="D22" s="345"/>
      <c r="E22" s="344"/>
    </row>
    <row r="23" spans="1:5" ht="21" x14ac:dyDescent="0.35">
      <c r="A23" s="13"/>
      <c r="B23" s="342" t="s">
        <v>449</v>
      </c>
      <c r="C23" s="321">
        <v>103863</v>
      </c>
      <c r="D23" s="321"/>
      <c r="E23" s="321">
        <f>SUM(C23:D23)</f>
        <v>103863</v>
      </c>
    </row>
    <row r="24" spans="1:5" ht="21" x14ac:dyDescent="0.35">
      <c r="A24" s="982" t="s">
        <v>72</v>
      </c>
      <c r="B24" s="983"/>
      <c r="C24" s="346">
        <f>SUM(C20:C23)</f>
        <v>113863</v>
      </c>
      <c r="D24" s="346">
        <f>SUM(D20:D23)</f>
        <v>3486</v>
      </c>
      <c r="E24" s="346">
        <f>SUM(E20:E23)</f>
        <v>117349</v>
      </c>
    </row>
    <row r="25" spans="1:5" x14ac:dyDescent="0.25">
      <c r="A25" s="204" t="s">
        <v>111</v>
      </c>
      <c r="B25" s="611"/>
      <c r="C25" s="347"/>
      <c r="D25" s="347"/>
      <c r="E25" s="347"/>
    </row>
    <row r="26" spans="1:5" ht="21" x14ac:dyDescent="0.35">
      <c r="A26" s="339"/>
      <c r="B26" s="584" t="s">
        <v>195</v>
      </c>
      <c r="C26" s="583">
        <v>0</v>
      </c>
      <c r="D26" s="583"/>
      <c r="E26" s="321">
        <f>SUM(C26:D26)</f>
        <v>0</v>
      </c>
    </row>
    <row r="27" spans="1:5" ht="21" x14ac:dyDescent="0.35">
      <c r="A27" s="339"/>
      <c r="B27" s="348" t="s">
        <v>380</v>
      </c>
      <c r="C27" s="349">
        <v>90</v>
      </c>
      <c r="D27" s="349">
        <v>70</v>
      </c>
      <c r="E27" s="321">
        <f t="shared" ref="E27:E36" si="0">SUM(C27:D27)</f>
        <v>160</v>
      </c>
    </row>
    <row r="28" spans="1:5" ht="21" x14ac:dyDescent="0.35">
      <c r="A28" s="339"/>
      <c r="B28" s="348" t="s">
        <v>105</v>
      </c>
      <c r="C28" s="349">
        <v>0</v>
      </c>
      <c r="D28" s="349"/>
      <c r="E28" s="321">
        <f t="shared" si="0"/>
        <v>0</v>
      </c>
    </row>
    <row r="29" spans="1:5" ht="21" x14ac:dyDescent="0.35">
      <c r="A29" s="339"/>
      <c r="B29" s="348" t="s">
        <v>106</v>
      </c>
      <c r="C29" s="349">
        <v>33000</v>
      </c>
      <c r="D29" s="349">
        <v>10280</v>
      </c>
      <c r="E29" s="321">
        <f t="shared" si="0"/>
        <v>43280</v>
      </c>
    </row>
    <row r="30" spans="1:5" ht="21" x14ac:dyDescent="0.35">
      <c r="A30" s="339"/>
      <c r="B30" s="348" t="s">
        <v>354</v>
      </c>
      <c r="C30" s="349">
        <v>0</v>
      </c>
      <c r="D30" s="349"/>
      <c r="E30" s="321">
        <f t="shared" si="0"/>
        <v>0</v>
      </c>
    </row>
    <row r="31" spans="1:5" ht="21" x14ac:dyDescent="0.35">
      <c r="A31" s="339"/>
      <c r="B31" s="348" t="s">
        <v>116</v>
      </c>
      <c r="C31" s="349">
        <v>1650</v>
      </c>
      <c r="D31" s="349">
        <v>5176</v>
      </c>
      <c r="E31" s="321">
        <f t="shared" si="0"/>
        <v>6826</v>
      </c>
    </row>
    <row r="32" spans="1:5" ht="21" x14ac:dyDescent="0.35">
      <c r="A32" s="339"/>
      <c r="B32" s="348" t="s">
        <v>78</v>
      </c>
      <c r="C32" s="349">
        <v>0</v>
      </c>
      <c r="D32" s="349"/>
      <c r="E32" s="321">
        <f t="shared" si="0"/>
        <v>0</v>
      </c>
    </row>
    <row r="33" spans="1:5" ht="21" x14ac:dyDescent="0.35">
      <c r="A33" s="339"/>
      <c r="B33" s="348" t="s">
        <v>205</v>
      </c>
      <c r="C33" s="349">
        <v>250</v>
      </c>
      <c r="D33" s="349">
        <v>22</v>
      </c>
      <c r="E33" s="321">
        <f t="shared" si="0"/>
        <v>272</v>
      </c>
    </row>
    <row r="34" spans="1:5" ht="21" x14ac:dyDescent="0.35">
      <c r="A34" s="339"/>
      <c r="B34" s="348" t="s">
        <v>12</v>
      </c>
      <c r="C34" s="349">
        <v>0</v>
      </c>
      <c r="D34" s="349"/>
      <c r="E34" s="321">
        <f t="shared" si="0"/>
        <v>0</v>
      </c>
    </row>
    <row r="35" spans="1:5" ht="21" x14ac:dyDescent="0.35">
      <c r="A35" s="339"/>
      <c r="B35" s="348" t="s">
        <v>154</v>
      </c>
      <c r="C35" s="349">
        <v>0</v>
      </c>
      <c r="D35" s="349"/>
      <c r="E35" s="321">
        <f t="shared" si="0"/>
        <v>0</v>
      </c>
    </row>
    <row r="36" spans="1:5" ht="21" x14ac:dyDescent="0.35">
      <c r="A36" s="339"/>
      <c r="B36" s="348" t="s">
        <v>4</v>
      </c>
      <c r="C36" s="349">
        <v>40</v>
      </c>
      <c r="D36" s="349">
        <v>1613</v>
      </c>
      <c r="E36" s="321">
        <f t="shared" si="0"/>
        <v>1653</v>
      </c>
    </row>
    <row r="37" spans="1:5" ht="21" x14ac:dyDescent="0.35">
      <c r="A37" s="982" t="s">
        <v>69</v>
      </c>
      <c r="B37" s="983"/>
      <c r="C37" s="350">
        <f>SUM(C26:C36)</f>
        <v>35030</v>
      </c>
      <c r="D37" s="350">
        <f>SUM(D26:D36)</f>
        <v>17161</v>
      </c>
      <c r="E37" s="350">
        <f>SUM(E26:E36)</f>
        <v>52191</v>
      </c>
    </row>
    <row r="38" spans="1:5" ht="21.75" thickBot="1" x14ac:dyDescent="0.4">
      <c r="A38" s="980" t="s">
        <v>314</v>
      </c>
      <c r="B38" s="981"/>
      <c r="C38" s="351">
        <f>C17+C11+C24+C37</f>
        <v>1026955</v>
      </c>
      <c r="D38" s="351">
        <f>D17+D11+D24+D37</f>
        <v>125387</v>
      </c>
      <c r="E38" s="351">
        <f>E17+E11+E24+E37</f>
        <v>1152342</v>
      </c>
    </row>
    <row r="39" spans="1:5" x14ac:dyDescent="0.25">
      <c r="A39" s="352"/>
      <c r="B39" s="352"/>
      <c r="C39" s="352"/>
      <c r="D39" s="352"/>
      <c r="E39" s="352"/>
    </row>
  </sheetData>
  <mergeCells count="5">
    <mergeCell ref="A38:B38"/>
    <mergeCell ref="A24:B24"/>
    <mergeCell ref="A11:B11"/>
    <mergeCell ref="A37:B37"/>
    <mergeCell ref="A1:D1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9" orientation="portrait" r:id="rId1"/>
  <headerFooter alignWithMargins="0">
    <oddHeader xml:space="preserve">&amp;R&amp;"Times New Roman CE,Félkövér"&amp;12
17. melléklet az    1/2025.(I.31.) önkormányzati rendelethez
"17. melléklet a 8/2024.(III.5.) önkormányzati rendelethez"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21"/>
  <dimension ref="A1:E78"/>
  <sheetViews>
    <sheetView zoomScale="87" zoomScaleNormal="87" zoomScalePageLayoutView="55" workbookViewId="0">
      <selection activeCell="I75" sqref="I75"/>
    </sheetView>
  </sheetViews>
  <sheetFormatPr defaultColWidth="10.6640625" defaultRowHeight="15" customHeight="1" x14ac:dyDescent="0.3"/>
  <cols>
    <col min="1" max="1" width="5.6640625" style="56" customWidth="1"/>
    <col min="2" max="2" width="146.5" style="56" customWidth="1"/>
    <col min="3" max="3" width="28.5" style="56" customWidth="1"/>
    <col min="4" max="4" width="36" style="56" customWidth="1"/>
    <col min="5" max="5" width="33.1640625" style="56" customWidth="1"/>
    <col min="6" max="16384" width="10.6640625" style="56"/>
  </cols>
  <sheetData>
    <row r="1" spans="1:5" ht="15" customHeight="1" x14ac:dyDescent="0.3">
      <c r="A1" s="353"/>
      <c r="B1" s="353"/>
      <c r="C1" s="354"/>
      <c r="D1" s="354"/>
      <c r="E1" s="354"/>
    </row>
    <row r="2" spans="1:5" ht="23.25" customHeight="1" x14ac:dyDescent="0.35">
      <c r="A2" s="989" t="s">
        <v>172</v>
      </c>
      <c r="B2" s="989"/>
      <c r="C2" s="989"/>
      <c r="D2" s="989"/>
      <c r="E2" s="353"/>
    </row>
    <row r="3" spans="1:5" ht="15" customHeight="1" thickBot="1" x14ac:dyDescent="0.35">
      <c r="A3" s="56" t="s">
        <v>11</v>
      </c>
      <c r="E3" s="16" t="s">
        <v>224</v>
      </c>
    </row>
    <row r="4" spans="1:5" ht="18.75" customHeight="1" x14ac:dyDescent="0.3">
      <c r="A4" s="987" t="s">
        <v>170</v>
      </c>
      <c r="B4" s="988"/>
      <c r="C4" s="19" t="s">
        <v>614</v>
      </c>
      <c r="D4" s="19" t="s">
        <v>557</v>
      </c>
      <c r="E4" s="19" t="s">
        <v>651</v>
      </c>
    </row>
    <row r="5" spans="1:5" ht="31.5" customHeight="1" thickBot="1" x14ac:dyDescent="0.35">
      <c r="A5" s="355"/>
      <c r="B5" s="356"/>
      <c r="C5" s="23" t="s">
        <v>372</v>
      </c>
      <c r="D5" s="23" t="s">
        <v>558</v>
      </c>
      <c r="E5" s="23" t="s">
        <v>372</v>
      </c>
    </row>
    <row r="6" spans="1:5" ht="21" x14ac:dyDescent="0.35">
      <c r="A6" s="357" t="s">
        <v>182</v>
      </c>
      <c r="B6" s="358" t="s">
        <v>139</v>
      </c>
      <c r="C6" s="359"/>
      <c r="D6" s="359"/>
      <c r="E6" s="359"/>
    </row>
    <row r="7" spans="1:5" ht="21" x14ac:dyDescent="0.35">
      <c r="A7" s="360"/>
      <c r="B7" s="582" t="s">
        <v>471</v>
      </c>
      <c r="C7" s="583">
        <v>81755</v>
      </c>
      <c r="D7" s="372"/>
      <c r="E7" s="583">
        <f t="shared" ref="E7:E12" si="0">SUM(C7:D7)</f>
        <v>81755</v>
      </c>
    </row>
    <row r="8" spans="1:5" ht="21" x14ac:dyDescent="0.35">
      <c r="A8" s="360"/>
      <c r="B8" s="582" t="s">
        <v>613</v>
      </c>
      <c r="C8" s="583">
        <v>18411</v>
      </c>
      <c r="D8" s="372"/>
      <c r="E8" s="583">
        <f t="shared" si="0"/>
        <v>18411</v>
      </c>
    </row>
    <row r="9" spans="1:5" ht="21" x14ac:dyDescent="0.35">
      <c r="A9" s="360"/>
      <c r="B9" s="582" t="s">
        <v>594</v>
      </c>
      <c r="C9" s="583">
        <v>3783</v>
      </c>
      <c r="D9" s="372"/>
      <c r="E9" s="583">
        <f t="shared" si="0"/>
        <v>3783</v>
      </c>
    </row>
    <row r="10" spans="1:5" ht="38.25" x14ac:dyDescent="0.35">
      <c r="A10" s="360"/>
      <c r="B10" s="582" t="s">
        <v>595</v>
      </c>
      <c r="C10" s="583">
        <v>4000</v>
      </c>
      <c r="D10" s="372"/>
      <c r="E10" s="583">
        <f t="shared" si="0"/>
        <v>4000</v>
      </c>
    </row>
    <row r="11" spans="1:5" ht="21" x14ac:dyDescent="0.35">
      <c r="A11" s="360"/>
      <c r="B11" s="582" t="s">
        <v>668</v>
      </c>
      <c r="C11" s="583"/>
      <c r="D11" s="372">
        <v>21345</v>
      </c>
      <c r="E11" s="583">
        <f t="shared" si="0"/>
        <v>21345</v>
      </c>
    </row>
    <row r="12" spans="1:5" ht="21" x14ac:dyDescent="0.35">
      <c r="A12" s="360"/>
      <c r="B12" s="582" t="s">
        <v>624</v>
      </c>
      <c r="C12" s="583">
        <v>8729</v>
      </c>
      <c r="D12" s="372"/>
      <c r="E12" s="583">
        <f t="shared" si="0"/>
        <v>8729</v>
      </c>
    </row>
    <row r="13" spans="1:5" ht="21" x14ac:dyDescent="0.35">
      <c r="A13" s="362"/>
      <c r="B13" s="363" t="s">
        <v>168</v>
      </c>
      <c r="C13" s="364">
        <f>SUM(C7:C12)</f>
        <v>116678</v>
      </c>
      <c r="D13" s="364">
        <f>SUM(D7:D12)</f>
        <v>21345</v>
      </c>
      <c r="E13" s="364">
        <f>SUM(E7:E12)</f>
        <v>138023</v>
      </c>
    </row>
    <row r="14" spans="1:5" ht="15" customHeight="1" x14ac:dyDescent="0.35">
      <c r="A14" s="365" t="s">
        <v>183</v>
      </c>
      <c r="B14" s="366" t="s">
        <v>169</v>
      </c>
      <c r="C14" s="367"/>
      <c r="D14" s="367"/>
      <c r="E14" s="368"/>
    </row>
    <row r="15" spans="1:5" ht="21" x14ac:dyDescent="0.35">
      <c r="A15" s="357"/>
      <c r="B15" s="369"/>
      <c r="C15" s="321"/>
      <c r="D15" s="370"/>
      <c r="E15" s="321">
        <f>SUM(C15:D15)</f>
        <v>0</v>
      </c>
    </row>
    <row r="16" spans="1:5" ht="21" x14ac:dyDescent="0.35">
      <c r="A16" s="362"/>
      <c r="B16" s="363" t="s">
        <v>135</v>
      </c>
      <c r="C16" s="364">
        <f>SUM(C15:C15)</f>
        <v>0</v>
      </c>
      <c r="D16" s="364">
        <f>SUM(D15:D15)</f>
        <v>0</v>
      </c>
      <c r="E16" s="346">
        <f>SUM(E15:E15)</f>
        <v>0</v>
      </c>
    </row>
    <row r="17" spans="1:5" ht="15" customHeight="1" x14ac:dyDescent="0.35">
      <c r="A17" s="357" t="s">
        <v>184</v>
      </c>
      <c r="B17" s="366" t="s">
        <v>181</v>
      </c>
      <c r="C17" s="368"/>
      <c r="D17" s="368"/>
      <c r="E17" s="368"/>
    </row>
    <row r="18" spans="1:5" ht="21" x14ac:dyDescent="0.35">
      <c r="A18" s="360"/>
      <c r="B18" s="369"/>
      <c r="C18" s="321"/>
      <c r="D18" s="372"/>
      <c r="E18" s="321">
        <f>SUM(C18:D18)</f>
        <v>0</v>
      </c>
    </row>
    <row r="19" spans="1:5" ht="15" customHeight="1" x14ac:dyDescent="0.35">
      <c r="A19" s="362"/>
      <c r="B19" s="363" t="s">
        <v>149</v>
      </c>
      <c r="C19" s="364">
        <f>SUM(C18:C18)</f>
        <v>0</v>
      </c>
      <c r="D19" s="364">
        <f>SUM(D18:D18)</f>
        <v>0</v>
      </c>
      <c r="E19" s="346">
        <f>SUM(E18:E18)</f>
        <v>0</v>
      </c>
    </row>
    <row r="20" spans="1:5" ht="15" customHeight="1" x14ac:dyDescent="0.35">
      <c r="A20" s="357" t="s">
        <v>185</v>
      </c>
      <c r="B20" s="366" t="s">
        <v>186</v>
      </c>
      <c r="C20" s="368"/>
      <c r="D20" s="368"/>
      <c r="E20" s="368"/>
    </row>
    <row r="21" spans="1:5" ht="21" x14ac:dyDescent="0.35">
      <c r="A21" s="360"/>
      <c r="B21" s="373" t="s">
        <v>370</v>
      </c>
      <c r="C21" s="321">
        <v>731</v>
      </c>
      <c r="D21" s="33">
        <v>107552</v>
      </c>
      <c r="E21" s="321">
        <f>SUM(C21:D21)</f>
        <v>108283</v>
      </c>
    </row>
    <row r="22" spans="1:5" ht="21" x14ac:dyDescent="0.35">
      <c r="A22" s="360"/>
      <c r="B22" s="557" t="s">
        <v>537</v>
      </c>
      <c r="C22" s="371">
        <v>15400</v>
      </c>
      <c r="D22" s="54"/>
      <c r="E22" s="371">
        <f>SUM(C22:D22)</f>
        <v>15400</v>
      </c>
    </row>
    <row r="23" spans="1:5" ht="21" x14ac:dyDescent="0.35">
      <c r="A23" s="362"/>
      <c r="B23" s="374" t="s">
        <v>150</v>
      </c>
      <c r="C23" s="364">
        <f>SUM(C21:C22)</f>
        <v>16131</v>
      </c>
      <c r="D23" s="364">
        <f>SUM(D21:D22)</f>
        <v>107552</v>
      </c>
      <c r="E23" s="346">
        <f>SUM(E21:E22)</f>
        <v>123683</v>
      </c>
    </row>
    <row r="24" spans="1:5" ht="15" customHeight="1" x14ac:dyDescent="0.35">
      <c r="A24" s="357" t="s">
        <v>187</v>
      </c>
      <c r="B24" s="366" t="s">
        <v>151</v>
      </c>
      <c r="C24" s="368"/>
      <c r="D24" s="368"/>
      <c r="E24" s="368"/>
    </row>
    <row r="25" spans="1:5" ht="21" x14ac:dyDescent="0.35">
      <c r="A25" s="375" t="s">
        <v>179</v>
      </c>
      <c r="B25" s="580"/>
      <c r="C25" s="376"/>
      <c r="D25" s="376"/>
      <c r="E25" s="376"/>
    </row>
    <row r="26" spans="1:5" ht="21" x14ac:dyDescent="0.35">
      <c r="A26" s="360"/>
      <c r="B26" s="369" t="s">
        <v>288</v>
      </c>
      <c r="C26" s="33">
        <v>1143428</v>
      </c>
      <c r="D26" s="33">
        <f>-1106-427090</f>
        <v>-428196</v>
      </c>
      <c r="E26" s="33">
        <f>SUM(C26:D26)</f>
        <v>715232</v>
      </c>
    </row>
    <row r="27" spans="1:5" ht="21" x14ac:dyDescent="0.35">
      <c r="A27" s="360"/>
      <c r="B27" s="581" t="s">
        <v>363</v>
      </c>
      <c r="C27" s="33">
        <v>101913</v>
      </c>
      <c r="D27" s="33">
        <v>1106</v>
      </c>
      <c r="E27" s="33">
        <f>SUM(C27:D27)</f>
        <v>103019</v>
      </c>
    </row>
    <row r="28" spans="1:5" ht="21" x14ac:dyDescent="0.35">
      <c r="A28" s="360"/>
      <c r="B28" s="581" t="s">
        <v>580</v>
      </c>
      <c r="C28" s="54">
        <v>500</v>
      </c>
      <c r="D28" s="54"/>
      <c r="E28" s="33">
        <f>SUM(C28:D28)</f>
        <v>500</v>
      </c>
    </row>
    <row r="29" spans="1:5" ht="21" x14ac:dyDescent="0.35">
      <c r="A29" s="375" t="s">
        <v>178</v>
      </c>
      <c r="B29" s="580"/>
      <c r="C29" s="201"/>
      <c r="D29" s="201"/>
      <c r="E29" s="201"/>
    </row>
    <row r="30" spans="1:5" ht="21" x14ac:dyDescent="0.35">
      <c r="A30" s="360"/>
      <c r="B30" s="373" t="s">
        <v>502</v>
      </c>
      <c r="C30" s="321">
        <v>9990</v>
      </c>
      <c r="D30" s="33"/>
      <c r="E30" s="321">
        <f t="shared" ref="E30:E36" si="1">SUM(C30:D30)</f>
        <v>9990</v>
      </c>
    </row>
    <row r="31" spans="1:5" ht="21" x14ac:dyDescent="0.35">
      <c r="A31" s="360"/>
      <c r="B31" s="373" t="s">
        <v>462</v>
      </c>
      <c r="C31" s="321">
        <v>7239</v>
      </c>
      <c r="D31" s="33"/>
      <c r="E31" s="321">
        <f t="shared" si="1"/>
        <v>7239</v>
      </c>
    </row>
    <row r="32" spans="1:5" ht="21" x14ac:dyDescent="0.35">
      <c r="A32" s="360"/>
      <c r="B32" s="373" t="s">
        <v>506</v>
      </c>
      <c r="C32" s="321">
        <v>28000</v>
      </c>
      <c r="D32" s="33">
        <v>-10000</v>
      </c>
      <c r="E32" s="321">
        <f t="shared" si="1"/>
        <v>18000</v>
      </c>
    </row>
    <row r="33" spans="1:5" ht="21" x14ac:dyDescent="0.35">
      <c r="A33" s="360"/>
      <c r="B33" s="373" t="s">
        <v>474</v>
      </c>
      <c r="C33" s="33">
        <v>910</v>
      </c>
      <c r="D33" s="33"/>
      <c r="E33" s="33">
        <f t="shared" si="1"/>
        <v>910</v>
      </c>
    </row>
    <row r="34" spans="1:5" ht="21" x14ac:dyDescent="0.35">
      <c r="A34" s="360"/>
      <c r="B34" s="377" t="s">
        <v>475</v>
      </c>
      <c r="C34" s="33">
        <v>5516</v>
      </c>
      <c r="D34" s="33"/>
      <c r="E34" s="33">
        <f t="shared" si="1"/>
        <v>5516</v>
      </c>
    </row>
    <row r="35" spans="1:5" ht="21" x14ac:dyDescent="0.35">
      <c r="A35" s="360"/>
      <c r="B35" s="377" t="s">
        <v>503</v>
      </c>
      <c r="C35" s="33">
        <v>1263</v>
      </c>
      <c r="D35" s="33"/>
      <c r="E35" s="33">
        <f t="shared" si="1"/>
        <v>1263</v>
      </c>
    </row>
    <row r="36" spans="1:5" ht="21" x14ac:dyDescent="0.35">
      <c r="A36" s="360"/>
      <c r="B36" s="377" t="s">
        <v>504</v>
      </c>
      <c r="C36" s="33">
        <v>1307</v>
      </c>
      <c r="D36" s="33"/>
      <c r="E36" s="33">
        <f t="shared" si="1"/>
        <v>1307</v>
      </c>
    </row>
    <row r="37" spans="1:5" ht="21" x14ac:dyDescent="0.35">
      <c r="A37" s="360"/>
      <c r="B37" s="377" t="s">
        <v>517</v>
      </c>
      <c r="C37" s="33">
        <v>389842</v>
      </c>
      <c r="D37" s="33"/>
      <c r="E37" s="33">
        <f>SUM(C37:D37)</f>
        <v>389842</v>
      </c>
    </row>
    <row r="38" spans="1:5" ht="21" x14ac:dyDescent="0.35">
      <c r="A38" s="360"/>
      <c r="B38" s="377" t="s">
        <v>640</v>
      </c>
      <c r="C38" s="54">
        <v>10158</v>
      </c>
      <c r="D38" s="54"/>
      <c r="E38" s="54">
        <f>SUM(C38:D38)</f>
        <v>10158</v>
      </c>
    </row>
    <row r="39" spans="1:5" ht="21" x14ac:dyDescent="0.35">
      <c r="A39" s="375" t="s">
        <v>180</v>
      </c>
      <c r="B39" s="378"/>
      <c r="C39" s="201"/>
      <c r="D39" s="201"/>
      <c r="E39" s="344"/>
    </row>
    <row r="40" spans="1:5" ht="38.25" x14ac:dyDescent="0.35">
      <c r="A40" s="375"/>
      <c r="B40" s="65" t="s">
        <v>578</v>
      </c>
      <c r="C40" s="321">
        <v>35822</v>
      </c>
      <c r="D40" s="33"/>
      <c r="E40" s="321">
        <f t="shared" ref="E40:E49" si="2">SUM(C40:D40)</f>
        <v>35822</v>
      </c>
    </row>
    <row r="41" spans="1:5" ht="21" x14ac:dyDescent="0.35">
      <c r="A41" s="360"/>
      <c r="B41" s="373" t="s">
        <v>125</v>
      </c>
      <c r="C41" s="321">
        <v>3425</v>
      </c>
      <c r="D41" s="33"/>
      <c r="E41" s="321">
        <f t="shared" si="2"/>
        <v>3425</v>
      </c>
    </row>
    <row r="42" spans="1:5" ht="21" x14ac:dyDescent="0.35">
      <c r="A42" s="360"/>
      <c r="B42" s="379" t="s">
        <v>357</v>
      </c>
      <c r="C42" s="321">
        <v>45</v>
      </c>
      <c r="D42" s="33"/>
      <c r="E42" s="321">
        <f t="shared" si="2"/>
        <v>45</v>
      </c>
    </row>
    <row r="43" spans="1:5" s="381" customFormat="1" ht="21" x14ac:dyDescent="0.35">
      <c r="A43" s="380"/>
      <c r="B43" s="361" t="s">
        <v>319</v>
      </c>
      <c r="C43" s="321">
        <v>691</v>
      </c>
      <c r="D43" s="231"/>
      <c r="E43" s="321">
        <f t="shared" si="2"/>
        <v>691</v>
      </c>
    </row>
    <row r="44" spans="1:5" ht="21" x14ac:dyDescent="0.35">
      <c r="A44" s="382"/>
      <c r="B44" s="361" t="s">
        <v>390</v>
      </c>
      <c r="C44" s="321">
        <v>3998</v>
      </c>
      <c r="D44" s="33"/>
      <c r="E44" s="321">
        <f t="shared" si="2"/>
        <v>3998</v>
      </c>
    </row>
    <row r="45" spans="1:5" ht="21" x14ac:dyDescent="0.35">
      <c r="A45" s="382"/>
      <c r="B45" s="361" t="s">
        <v>416</v>
      </c>
      <c r="C45" s="321">
        <v>385</v>
      </c>
      <c r="D45" s="33"/>
      <c r="E45" s="321">
        <f t="shared" si="2"/>
        <v>385</v>
      </c>
    </row>
    <row r="46" spans="1:5" ht="21" x14ac:dyDescent="0.35">
      <c r="A46" s="382"/>
      <c r="B46" s="361" t="s">
        <v>439</v>
      </c>
      <c r="C46" s="321">
        <v>18606</v>
      </c>
      <c r="D46" s="33"/>
      <c r="E46" s="321">
        <f t="shared" si="2"/>
        <v>18606</v>
      </c>
    </row>
    <row r="47" spans="1:5" ht="21" x14ac:dyDescent="0.35">
      <c r="A47" s="382"/>
      <c r="B47" s="361" t="s">
        <v>472</v>
      </c>
      <c r="C47" s="321">
        <v>478694</v>
      </c>
      <c r="D47" s="33"/>
      <c r="E47" s="321">
        <f t="shared" si="2"/>
        <v>478694</v>
      </c>
    </row>
    <row r="48" spans="1:5" ht="38.25" x14ac:dyDescent="0.35">
      <c r="A48" s="382"/>
      <c r="B48" s="361" t="s">
        <v>505</v>
      </c>
      <c r="C48" s="321">
        <v>80353</v>
      </c>
      <c r="D48" s="33"/>
      <c r="E48" s="321">
        <f t="shared" si="2"/>
        <v>80353</v>
      </c>
    </row>
    <row r="49" spans="1:5" ht="38.25" x14ac:dyDescent="0.35">
      <c r="A49" s="382"/>
      <c r="B49" s="361" t="s">
        <v>581</v>
      </c>
      <c r="C49" s="321">
        <v>1270</v>
      </c>
      <c r="D49" s="33"/>
      <c r="E49" s="321">
        <f t="shared" si="2"/>
        <v>1270</v>
      </c>
    </row>
    <row r="50" spans="1:5" ht="21" x14ac:dyDescent="0.35">
      <c r="A50" s="375" t="s">
        <v>16</v>
      </c>
      <c r="B50" s="378"/>
      <c r="C50" s="371"/>
      <c r="D50" s="201"/>
      <c r="E50" s="371"/>
    </row>
    <row r="51" spans="1:5" ht="25.15" customHeight="1" x14ac:dyDescent="0.35">
      <c r="A51" s="360"/>
      <c r="B51" s="369" t="s">
        <v>454</v>
      </c>
      <c r="C51" s="321">
        <v>18245</v>
      </c>
      <c r="D51" s="33"/>
      <c r="E51" s="321">
        <f>SUM(C51:D51)</f>
        <v>18245</v>
      </c>
    </row>
    <row r="52" spans="1:5" ht="21" x14ac:dyDescent="0.35">
      <c r="A52" s="375"/>
      <c r="B52" s="385" t="s">
        <v>479</v>
      </c>
      <c r="C52" s="33">
        <v>3429</v>
      </c>
      <c r="D52" s="33"/>
      <c r="E52" s="321">
        <f t="shared" ref="E52:E67" si="3">SUM(C52:D52)</f>
        <v>3429</v>
      </c>
    </row>
    <row r="53" spans="1:5" ht="21" x14ac:dyDescent="0.35">
      <c r="A53" s="375"/>
      <c r="B53" s="385" t="s">
        <v>455</v>
      </c>
      <c r="C53" s="33">
        <v>18557</v>
      </c>
      <c r="D53" s="33">
        <v>168</v>
      </c>
      <c r="E53" s="321">
        <f t="shared" si="3"/>
        <v>18725</v>
      </c>
    </row>
    <row r="54" spans="1:5" ht="21" x14ac:dyDescent="0.35">
      <c r="A54" s="375"/>
      <c r="B54" s="385" t="s">
        <v>473</v>
      </c>
      <c r="C54" s="33">
        <v>21185</v>
      </c>
      <c r="D54" s="33">
        <v>-168</v>
      </c>
      <c r="E54" s="321">
        <f t="shared" si="3"/>
        <v>21017</v>
      </c>
    </row>
    <row r="55" spans="1:5" ht="21" x14ac:dyDescent="0.35">
      <c r="A55" s="375"/>
      <c r="B55" s="555" t="s">
        <v>511</v>
      </c>
      <c r="C55" s="36">
        <v>14986</v>
      </c>
      <c r="D55" s="36"/>
      <c r="E55" s="321">
        <f t="shared" si="3"/>
        <v>14986</v>
      </c>
    </row>
    <row r="56" spans="1:5" ht="21" x14ac:dyDescent="0.35">
      <c r="A56" s="375" t="s">
        <v>19</v>
      </c>
      <c r="B56" s="378"/>
      <c r="C56" s="54"/>
      <c r="D56" s="54"/>
      <c r="E56" s="344"/>
    </row>
    <row r="57" spans="1:5" ht="21" x14ac:dyDescent="0.35">
      <c r="A57" s="382"/>
      <c r="B57" s="384" t="s">
        <v>530</v>
      </c>
      <c r="C57" s="321">
        <v>35977</v>
      </c>
      <c r="D57" s="321">
        <v>-250</v>
      </c>
      <c r="E57" s="321">
        <f t="shared" si="3"/>
        <v>35727</v>
      </c>
    </row>
    <row r="58" spans="1:5" ht="21.6" customHeight="1" x14ac:dyDescent="0.35">
      <c r="A58" s="360"/>
      <c r="B58" s="3" t="s">
        <v>419</v>
      </c>
      <c r="C58" s="321">
        <v>0</v>
      </c>
      <c r="D58" s="33"/>
      <c r="E58" s="321">
        <f t="shared" si="3"/>
        <v>0</v>
      </c>
    </row>
    <row r="59" spans="1:5" ht="38.25" x14ac:dyDescent="0.35">
      <c r="A59" s="360"/>
      <c r="B59" s="383" t="s">
        <v>470</v>
      </c>
      <c r="C59" s="321">
        <v>461738</v>
      </c>
      <c r="D59" s="33"/>
      <c r="E59" s="321">
        <f t="shared" si="3"/>
        <v>461738</v>
      </c>
    </row>
    <row r="60" spans="1:5" ht="38.25" x14ac:dyDescent="0.35">
      <c r="A60" s="360"/>
      <c r="B60" s="383" t="s">
        <v>586</v>
      </c>
      <c r="C60" s="321">
        <v>110899</v>
      </c>
      <c r="D60" s="33"/>
      <c r="E60" s="321">
        <f t="shared" si="3"/>
        <v>110899</v>
      </c>
    </row>
    <row r="61" spans="1:5" ht="38.25" x14ac:dyDescent="0.35">
      <c r="A61" s="360"/>
      <c r="B61" s="383" t="s">
        <v>587</v>
      </c>
      <c r="C61" s="321">
        <v>16115</v>
      </c>
      <c r="D61" s="33"/>
      <c r="E61" s="321">
        <f t="shared" si="3"/>
        <v>16115</v>
      </c>
    </row>
    <row r="62" spans="1:5" ht="21" x14ac:dyDescent="0.35">
      <c r="A62" s="360"/>
      <c r="B62" s="383" t="s">
        <v>402</v>
      </c>
      <c r="C62" s="321">
        <v>79206</v>
      </c>
      <c r="D62" s="33"/>
      <c r="E62" s="321">
        <f t="shared" si="3"/>
        <v>79206</v>
      </c>
    </row>
    <row r="63" spans="1:5" ht="21" x14ac:dyDescent="0.35">
      <c r="A63" s="360"/>
      <c r="B63" s="383" t="s">
        <v>440</v>
      </c>
      <c r="C63" s="321">
        <v>0</v>
      </c>
      <c r="D63" s="33"/>
      <c r="E63" s="321">
        <f t="shared" si="3"/>
        <v>0</v>
      </c>
    </row>
    <row r="64" spans="1:5" ht="21" x14ac:dyDescent="0.35">
      <c r="A64" s="360"/>
      <c r="B64" s="383" t="s">
        <v>477</v>
      </c>
      <c r="C64" s="321">
        <v>7073</v>
      </c>
      <c r="D64" s="33"/>
      <c r="E64" s="321">
        <f t="shared" si="3"/>
        <v>7073</v>
      </c>
    </row>
    <row r="65" spans="1:5" ht="21" x14ac:dyDescent="0.35">
      <c r="A65" s="360"/>
      <c r="B65" s="383" t="s">
        <v>519</v>
      </c>
      <c r="C65" s="321">
        <v>637</v>
      </c>
      <c r="D65" s="33"/>
      <c r="E65" s="321">
        <f t="shared" si="3"/>
        <v>637</v>
      </c>
    </row>
    <row r="66" spans="1:5" ht="21" x14ac:dyDescent="0.35">
      <c r="A66" s="360"/>
      <c r="B66" s="383" t="s">
        <v>659</v>
      </c>
      <c r="C66" s="321">
        <v>144403</v>
      </c>
      <c r="D66" s="33">
        <v>500</v>
      </c>
      <c r="E66" s="321">
        <f t="shared" si="3"/>
        <v>144903</v>
      </c>
    </row>
    <row r="67" spans="1:5" ht="21.75" thickBot="1" x14ac:dyDescent="0.4">
      <c r="A67" s="382"/>
      <c r="B67" s="383" t="s">
        <v>660</v>
      </c>
      <c r="C67" s="371">
        <v>148</v>
      </c>
      <c r="D67" s="54"/>
      <c r="E67" s="371">
        <f t="shared" si="3"/>
        <v>148</v>
      </c>
    </row>
    <row r="68" spans="1:5" ht="21.75" thickBot="1" x14ac:dyDescent="0.4">
      <c r="A68" s="386"/>
      <c r="B68" s="387" t="s">
        <v>208</v>
      </c>
      <c r="C68" s="46">
        <f>SUM(C26:C67)</f>
        <v>3255953</v>
      </c>
      <c r="D68" s="46">
        <f>SUM(D26:D67)</f>
        <v>-436840</v>
      </c>
      <c r="E68" s="46">
        <f>SUM(E26:E67)</f>
        <v>2819113</v>
      </c>
    </row>
    <row r="69" spans="1:5" ht="19.149999999999999" customHeight="1" x14ac:dyDescent="0.35">
      <c r="A69" s="357" t="s">
        <v>188</v>
      </c>
      <c r="B69" s="388" t="s">
        <v>412</v>
      </c>
      <c r="C69" s="389"/>
      <c r="D69" s="389"/>
      <c r="E69" s="389"/>
    </row>
    <row r="70" spans="1:5" ht="21" x14ac:dyDescent="0.35">
      <c r="A70" s="382"/>
      <c r="B70" s="390"/>
      <c r="C70" s="33"/>
      <c r="D70" s="33"/>
      <c r="E70" s="558">
        <f>SUM(C70:D70)</f>
        <v>0</v>
      </c>
    </row>
    <row r="71" spans="1:5" ht="21" x14ac:dyDescent="0.35">
      <c r="A71" s="362"/>
      <c r="B71" s="374" t="s">
        <v>413</v>
      </c>
      <c r="C71" s="346">
        <f>SUM(C70:C70)</f>
        <v>0</v>
      </c>
      <c r="D71" s="346">
        <f>SUM(D70:D70)</f>
        <v>0</v>
      </c>
      <c r="E71" s="346">
        <f>SUM(E70:E70)</f>
        <v>0</v>
      </c>
    </row>
    <row r="72" spans="1:5" ht="21.75" thickBot="1" x14ac:dyDescent="0.4">
      <c r="A72" s="391" t="s">
        <v>189</v>
      </c>
      <c r="B72" s="392" t="s">
        <v>35</v>
      </c>
      <c r="C72" s="393">
        <v>10000</v>
      </c>
      <c r="D72" s="394"/>
      <c r="E72" s="393">
        <f>SUM(C72:D72)</f>
        <v>10000</v>
      </c>
    </row>
    <row r="73" spans="1:5" ht="20.25" customHeight="1" thickBot="1" x14ac:dyDescent="0.4">
      <c r="A73" s="395" t="s">
        <v>315</v>
      </c>
      <c r="B73" s="396"/>
      <c r="C73" s="397">
        <f>C13+C16+C19+C23+C68+C71+C72</f>
        <v>3398762</v>
      </c>
      <c r="D73" s="397">
        <f>D13+D16+D19+D23+D68+D71+D72</f>
        <v>-307943</v>
      </c>
      <c r="E73" s="332">
        <f>E13+E16+E19+E23+E68+E71+E72</f>
        <v>3090819</v>
      </c>
    </row>
    <row r="76" spans="1:5" ht="15" customHeight="1" x14ac:dyDescent="0.3">
      <c r="E76" s="398"/>
    </row>
    <row r="77" spans="1:5" ht="15" customHeight="1" x14ac:dyDescent="0.3">
      <c r="E77" s="398"/>
    </row>
    <row r="78" spans="1:5" ht="15" customHeight="1" x14ac:dyDescent="0.3">
      <c r="E78" s="398"/>
    </row>
  </sheetData>
  <customSheetViews>
    <customSheetView guid="{6D4B996F-8915-4E78-98C2-E7EAE9C4580C}" scale="75" showRuler="0">
      <selection activeCell="C29" sqref="C29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1"/>
      <headerFooter alignWithMargins="0">
        <oddHeader>&amp;C&amp;R&amp;"Times New Roman CE,Félkövér"&amp;16F.1.sz. melléklet&amp;"Times New Roman CE,Normál"&amp;8</oddHeader>
      </headerFooter>
    </customSheetView>
    <customSheetView guid="{186732C5-520C-4E06-B066-B4F3F0A3E322}" scale="75" showRuler="0" topLeftCell="A89">
      <selection activeCell="C26" sqref="C26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2"/>
      <headerFooter alignWithMargins="0">
        <oddHeader>&amp;C&amp;R&amp;"Times New Roman CE,Félkövér"&amp;16F.1.sz. melléklet&amp;"Times New Roman CE,Normál"&amp;8</oddHeader>
      </headerFooter>
    </customSheetView>
  </customSheetViews>
  <mergeCells count="2">
    <mergeCell ref="A4:B4"/>
    <mergeCell ref="A2:D2"/>
  </mergeCells>
  <phoneticPr fontId="0" type="noConversion"/>
  <printOptions horizontalCentered="1" verticalCentered="1"/>
  <pageMargins left="0.39370078740157483" right="0.19685039370078741" top="0" bottom="0" header="0" footer="0.51181102362204722"/>
  <pageSetup paperSize="9" scale="46" fitToHeight="0" orientation="portrait" r:id="rId3"/>
  <headerFooter alignWithMargins="0">
    <oddHeader>&amp;R&amp;"-,Félkövér"&amp;14
18. melléklet az    1/2025.(I.31.) önkormányzati rendelethez
"18. melléklet a 8/2024.(III.5.) önkormányzati rendelethez"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20"/>
  <sheetViews>
    <sheetView zoomScale="76" zoomScaleNormal="76" workbookViewId="0">
      <selection activeCell="K38" sqref="K38"/>
    </sheetView>
  </sheetViews>
  <sheetFormatPr defaultRowHeight="15.75" x14ac:dyDescent="0.25"/>
  <cols>
    <col min="1" max="1" width="102.83203125" style="411" customWidth="1"/>
    <col min="2" max="2" width="23.83203125" style="411" bestFit="1" customWidth="1"/>
    <col min="3" max="3" width="22.1640625" style="411" bestFit="1" customWidth="1"/>
    <col min="4" max="5" width="20.83203125" style="411" customWidth="1"/>
    <col min="6" max="6" width="22.1640625" style="411" bestFit="1" customWidth="1"/>
    <col min="7" max="14" width="20.83203125" style="411" customWidth="1"/>
    <col min="15" max="16" width="9.33203125" style="411"/>
    <col min="17" max="17" width="21" style="411" customWidth="1"/>
    <col min="18" max="18" width="16.5" style="412" bestFit="1" customWidth="1"/>
    <col min="19" max="19" width="14.6640625" style="412" bestFit="1" customWidth="1"/>
    <col min="20" max="20" width="17.33203125" style="412" customWidth="1"/>
    <col min="21" max="21" width="12.1640625" style="412" bestFit="1" customWidth="1"/>
    <col min="22" max="23" width="9.33203125" style="412"/>
    <col min="24" max="16384" width="9.33203125" style="411"/>
  </cols>
  <sheetData>
    <row r="1" spans="1:23" s="399" customFormat="1" ht="21" x14ac:dyDescent="0.35">
      <c r="A1" s="178" t="s">
        <v>652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R1" s="400"/>
      <c r="S1" s="400"/>
      <c r="T1" s="400"/>
      <c r="U1" s="400"/>
      <c r="V1" s="400"/>
      <c r="W1" s="400"/>
    </row>
    <row r="2" spans="1:23" s="399" customFormat="1" x14ac:dyDescent="0.25">
      <c r="A2" s="990"/>
      <c r="B2" s="990"/>
      <c r="R2" s="400"/>
      <c r="S2" s="400"/>
      <c r="T2" s="400"/>
      <c r="U2" s="400"/>
      <c r="V2" s="400"/>
      <c r="W2" s="400"/>
    </row>
    <row r="3" spans="1:23" s="399" customFormat="1" ht="16.5" thickBot="1" x14ac:dyDescent="0.3">
      <c r="N3" s="615" t="s">
        <v>373</v>
      </c>
      <c r="R3" s="400"/>
      <c r="S3" s="400"/>
      <c r="T3" s="400"/>
      <c r="U3" s="400"/>
      <c r="V3" s="400"/>
      <c r="W3" s="400"/>
    </row>
    <row r="4" spans="1:23" s="399" customFormat="1" ht="20.100000000000001" customHeight="1" x14ac:dyDescent="0.25">
      <c r="A4" s="401" t="s">
        <v>220</v>
      </c>
      <c r="B4" s="402" t="s">
        <v>238</v>
      </c>
      <c r="C4" s="402" t="s">
        <v>182</v>
      </c>
      <c r="D4" s="402" t="s">
        <v>183</v>
      </c>
      <c r="E4" s="402" t="s">
        <v>184</v>
      </c>
      <c r="F4" s="402" t="s">
        <v>185</v>
      </c>
      <c r="G4" s="402" t="s">
        <v>187</v>
      </c>
      <c r="H4" s="402" t="s">
        <v>188</v>
      </c>
      <c r="I4" s="402" t="s">
        <v>189</v>
      </c>
      <c r="J4" s="402" t="s">
        <v>190</v>
      </c>
      <c r="K4" s="402" t="s">
        <v>232</v>
      </c>
      <c r="L4" s="402" t="s">
        <v>233</v>
      </c>
      <c r="M4" s="402" t="s">
        <v>234</v>
      </c>
      <c r="N4" s="402" t="s">
        <v>235</v>
      </c>
      <c r="R4" s="400"/>
      <c r="S4" s="400"/>
      <c r="T4" s="400"/>
      <c r="U4" s="400"/>
      <c r="V4" s="400"/>
      <c r="W4" s="400"/>
    </row>
    <row r="5" spans="1:23" s="399" customFormat="1" ht="20.100000000000001" customHeight="1" x14ac:dyDescent="0.25">
      <c r="A5" s="403"/>
      <c r="B5" s="616"/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R5" s="400"/>
      <c r="S5" s="400"/>
      <c r="T5" s="400"/>
      <c r="U5" s="400"/>
      <c r="V5" s="400"/>
      <c r="W5" s="400"/>
    </row>
    <row r="6" spans="1:23" s="399" customFormat="1" ht="67.5" customHeight="1" thickBot="1" x14ac:dyDescent="0.3">
      <c r="A6" s="404"/>
      <c r="B6" s="405" t="s">
        <v>239</v>
      </c>
      <c r="C6" s="405" t="s">
        <v>240</v>
      </c>
      <c r="D6" s="405" t="s">
        <v>240</v>
      </c>
      <c r="E6" s="405" t="s">
        <v>240</v>
      </c>
      <c r="F6" s="405" t="s">
        <v>240</v>
      </c>
      <c r="G6" s="405" t="s">
        <v>240</v>
      </c>
      <c r="H6" s="405" t="s">
        <v>240</v>
      </c>
      <c r="I6" s="405" t="s">
        <v>240</v>
      </c>
      <c r="J6" s="405" t="s">
        <v>240</v>
      </c>
      <c r="K6" s="405" t="s">
        <v>240</v>
      </c>
      <c r="L6" s="405" t="s">
        <v>240</v>
      </c>
      <c r="M6" s="405" t="s">
        <v>240</v>
      </c>
      <c r="N6" s="405" t="s">
        <v>240</v>
      </c>
      <c r="Q6" s="406"/>
      <c r="R6" s="400"/>
      <c r="S6" s="400"/>
      <c r="T6" s="400"/>
      <c r="U6" s="400"/>
      <c r="V6" s="400"/>
      <c r="W6" s="400"/>
    </row>
    <row r="7" spans="1:23" s="399" customFormat="1" ht="24" customHeight="1" x14ac:dyDescent="0.3">
      <c r="A7" s="617" t="s">
        <v>241</v>
      </c>
      <c r="B7" s="618">
        <f>'1 kiemelt ei. '!G13</f>
        <v>28983331</v>
      </c>
      <c r="C7" s="618">
        <v>1038425</v>
      </c>
      <c r="D7" s="618">
        <v>1038425</v>
      </c>
      <c r="E7" s="618">
        <f>1038425+842000+3800000+115000</f>
        <v>5795425</v>
      </c>
      <c r="F7" s="618">
        <f>1038425-100+232000</f>
        <v>1270325</v>
      </c>
      <c r="G7" s="618">
        <f>1038425+2800000+24000+388724</f>
        <v>4251149</v>
      </c>
      <c r="H7" s="618">
        <f>1038425+500000+115000+140000+260000</f>
        <v>2053425</v>
      </c>
      <c r="I7" s="618">
        <f>1038425+140000+260000</f>
        <v>1438425</v>
      </c>
      <c r="J7" s="618">
        <f>1038425+140000+283105</f>
        <v>1461530</v>
      </c>
      <c r="K7" s="618">
        <f>1038425+948000+4000000+115000-400000+140000</f>
        <v>5841425</v>
      </c>
      <c r="L7" s="618">
        <f>1038425-3000+140000</f>
        <v>1175425</v>
      </c>
      <c r="M7" s="618">
        <f>1038425-2000+140000</f>
        <v>1176425</v>
      </c>
      <c r="N7" s="618">
        <f>1038425+1100000+45109-300000+115000+140000+20000+284393</f>
        <v>2442927</v>
      </c>
      <c r="Q7" s="400"/>
      <c r="R7" s="400"/>
      <c r="S7" s="400"/>
      <c r="T7" s="400"/>
      <c r="U7" s="400"/>
      <c r="V7" s="400"/>
      <c r="W7" s="400"/>
    </row>
    <row r="8" spans="1:23" s="399" customFormat="1" ht="24" customHeight="1" thickBot="1" x14ac:dyDescent="0.35">
      <c r="A8" s="619" t="s">
        <v>242</v>
      </c>
      <c r="B8" s="620">
        <f>'1 kiemelt ei. '!G17</f>
        <v>1021800</v>
      </c>
      <c r="C8" s="620">
        <f>12960+31585</f>
        <v>44545</v>
      </c>
      <c r="D8" s="620"/>
      <c r="E8" s="620">
        <f>10440+15400</f>
        <v>25840</v>
      </c>
      <c r="F8" s="620">
        <v>5314</v>
      </c>
      <c r="G8" s="620">
        <v>674000</v>
      </c>
      <c r="H8" s="620">
        <v>70931</v>
      </c>
      <c r="I8" s="620"/>
      <c r="J8" s="620"/>
      <c r="K8" s="620"/>
      <c r="L8" s="620"/>
      <c r="M8" s="620">
        <v>10250</v>
      </c>
      <c r="N8" s="620">
        <f>77904+70271-82642+125387</f>
        <v>190920</v>
      </c>
      <c r="R8" s="400"/>
      <c r="S8" s="400"/>
      <c r="T8" s="400"/>
      <c r="U8" s="400"/>
      <c r="V8" s="400"/>
      <c r="W8" s="400"/>
    </row>
    <row r="9" spans="1:23" s="407" customFormat="1" ht="24" customHeight="1" thickBot="1" x14ac:dyDescent="0.35">
      <c r="A9" s="408" t="s">
        <v>243</v>
      </c>
      <c r="B9" s="621">
        <f t="shared" ref="B9:N9" si="0">+B7+B8</f>
        <v>30005131</v>
      </c>
      <c r="C9" s="621">
        <f t="shared" si="0"/>
        <v>1082970</v>
      </c>
      <c r="D9" s="621">
        <f t="shared" si="0"/>
        <v>1038425</v>
      </c>
      <c r="E9" s="621">
        <f t="shared" si="0"/>
        <v>5821265</v>
      </c>
      <c r="F9" s="621">
        <f t="shared" si="0"/>
        <v>1275639</v>
      </c>
      <c r="G9" s="621">
        <f t="shared" si="0"/>
        <v>4925149</v>
      </c>
      <c r="H9" s="621">
        <f t="shared" si="0"/>
        <v>2124356</v>
      </c>
      <c r="I9" s="621">
        <f t="shared" si="0"/>
        <v>1438425</v>
      </c>
      <c r="J9" s="621">
        <f t="shared" si="0"/>
        <v>1461530</v>
      </c>
      <c r="K9" s="621">
        <f t="shared" si="0"/>
        <v>5841425</v>
      </c>
      <c r="L9" s="621">
        <f t="shared" si="0"/>
        <v>1175425</v>
      </c>
      <c r="M9" s="621">
        <f t="shared" si="0"/>
        <v>1186675</v>
      </c>
      <c r="N9" s="621">
        <f t="shared" si="0"/>
        <v>2633847</v>
      </c>
      <c r="R9" s="406"/>
      <c r="S9" s="406"/>
      <c r="T9" s="406"/>
      <c r="U9" s="406"/>
      <c r="V9" s="406"/>
      <c r="W9" s="406"/>
    </row>
    <row r="10" spans="1:23" s="399" customFormat="1" ht="49.5" customHeight="1" thickBot="1" x14ac:dyDescent="0.35">
      <c r="A10" s="622" t="s">
        <v>244</v>
      </c>
      <c r="B10" s="623">
        <f>'1 kiemelt ei. '!G19</f>
        <v>10329566</v>
      </c>
      <c r="C10" s="624">
        <v>4426082</v>
      </c>
      <c r="D10" s="624"/>
      <c r="E10" s="624"/>
      <c r="F10" s="624"/>
      <c r="G10" s="624">
        <v>3117563</v>
      </c>
      <c r="H10" s="624"/>
      <c r="I10" s="624"/>
      <c r="J10" s="624">
        <v>4917</v>
      </c>
      <c r="K10" s="624"/>
      <c r="L10" s="624"/>
      <c r="M10" s="624"/>
      <c r="N10" s="624">
        <v>2781004</v>
      </c>
      <c r="R10" s="406"/>
      <c r="S10" s="400"/>
      <c r="T10" s="400"/>
      <c r="U10" s="400"/>
      <c r="V10" s="400"/>
      <c r="W10" s="400"/>
    </row>
    <row r="11" spans="1:23" s="407" customFormat="1" ht="24" customHeight="1" thickBot="1" x14ac:dyDescent="0.35">
      <c r="A11" s="409" t="s">
        <v>245</v>
      </c>
      <c r="B11" s="621">
        <f>+B9+B10</f>
        <v>40334697</v>
      </c>
      <c r="C11" s="621">
        <f t="shared" ref="C11:N11" si="1">+C9+C10</f>
        <v>5509052</v>
      </c>
      <c r="D11" s="621">
        <f t="shared" si="1"/>
        <v>1038425</v>
      </c>
      <c r="E11" s="621">
        <f t="shared" si="1"/>
        <v>5821265</v>
      </c>
      <c r="F11" s="621">
        <f t="shared" si="1"/>
        <v>1275639</v>
      </c>
      <c r="G11" s="621">
        <f t="shared" si="1"/>
        <v>8042712</v>
      </c>
      <c r="H11" s="621">
        <f t="shared" si="1"/>
        <v>2124356</v>
      </c>
      <c r="I11" s="621">
        <f t="shared" si="1"/>
        <v>1438425</v>
      </c>
      <c r="J11" s="621">
        <f t="shared" si="1"/>
        <v>1466447</v>
      </c>
      <c r="K11" s="621">
        <f t="shared" si="1"/>
        <v>5841425</v>
      </c>
      <c r="L11" s="621">
        <f t="shared" si="1"/>
        <v>1175425</v>
      </c>
      <c r="M11" s="621">
        <f t="shared" si="1"/>
        <v>1186675</v>
      </c>
      <c r="N11" s="621">
        <f t="shared" si="1"/>
        <v>5414851</v>
      </c>
      <c r="R11" s="406"/>
      <c r="S11" s="406"/>
      <c r="T11" s="406"/>
      <c r="U11" s="406"/>
      <c r="V11" s="406"/>
      <c r="W11" s="406"/>
    </row>
    <row r="12" spans="1:23" s="399" customFormat="1" ht="24" customHeight="1" x14ac:dyDescent="0.25">
      <c r="R12" s="400"/>
      <c r="S12" s="400"/>
      <c r="T12" s="400"/>
      <c r="U12" s="400"/>
      <c r="V12" s="400"/>
      <c r="W12" s="400"/>
    </row>
    <row r="13" spans="1:23" s="399" customFormat="1" x14ac:dyDescent="0.25">
      <c r="B13" s="400">
        <f>B11-'2 mérleg'!F60</f>
        <v>0</v>
      </c>
      <c r="R13" s="400"/>
      <c r="S13" s="400"/>
      <c r="T13" s="400"/>
      <c r="U13" s="400"/>
      <c r="V13" s="400"/>
      <c r="W13" s="400"/>
    </row>
    <row r="14" spans="1:23" s="399" customFormat="1" x14ac:dyDescent="0.25">
      <c r="C14" s="400"/>
      <c r="D14" s="400"/>
      <c r="E14" s="400"/>
      <c r="F14" s="400"/>
      <c r="G14" s="400"/>
      <c r="H14" s="400"/>
      <c r="I14" s="400"/>
      <c r="J14" s="400"/>
      <c r="K14" s="400"/>
      <c r="L14" s="400"/>
      <c r="M14" s="400"/>
      <c r="N14" s="400"/>
      <c r="R14" s="400"/>
      <c r="S14" s="400"/>
      <c r="T14" s="400"/>
      <c r="U14" s="400"/>
      <c r="V14" s="400"/>
      <c r="W14" s="400"/>
    </row>
    <row r="15" spans="1:23" s="399" customFormat="1" x14ac:dyDescent="0.25">
      <c r="C15" s="400"/>
      <c r="R15" s="400"/>
      <c r="S15" s="400"/>
      <c r="T15" s="400"/>
      <c r="U15" s="400"/>
      <c r="V15" s="400"/>
      <c r="W15" s="400"/>
    </row>
    <row r="16" spans="1:23" s="399" customFormat="1" x14ac:dyDescent="0.25">
      <c r="C16" s="410"/>
      <c r="D16" s="410"/>
      <c r="E16" s="410"/>
      <c r="F16" s="410"/>
      <c r="G16" s="410"/>
      <c r="H16" s="410"/>
      <c r="I16" s="410"/>
      <c r="J16" s="410"/>
      <c r="K16" s="410"/>
      <c r="L16" s="410"/>
      <c r="M16" s="410"/>
      <c r="N16" s="410"/>
      <c r="R16" s="400"/>
      <c r="S16" s="400"/>
      <c r="T16" s="400"/>
      <c r="U16" s="400"/>
      <c r="V16" s="400"/>
      <c r="W16" s="400"/>
    </row>
    <row r="17" spans="2:23" s="399" customFormat="1" x14ac:dyDescent="0.25">
      <c r="R17" s="400"/>
      <c r="S17" s="400"/>
      <c r="T17" s="400"/>
      <c r="U17" s="400"/>
      <c r="V17" s="400"/>
      <c r="W17" s="400"/>
    </row>
    <row r="18" spans="2:23" s="399" customFormat="1" x14ac:dyDescent="0.25">
      <c r="B18" s="400"/>
      <c r="C18" s="400"/>
      <c r="R18" s="400"/>
      <c r="S18" s="400"/>
      <c r="T18" s="400"/>
      <c r="U18" s="400"/>
      <c r="V18" s="400"/>
      <c r="W18" s="400"/>
    </row>
    <row r="19" spans="2:23" s="399" customFormat="1" x14ac:dyDescent="0.25">
      <c r="R19" s="400"/>
      <c r="S19" s="400"/>
      <c r="T19" s="400"/>
      <c r="U19" s="400"/>
      <c r="V19" s="400"/>
      <c r="W19" s="400"/>
    </row>
    <row r="20" spans="2:23" s="399" customFormat="1" x14ac:dyDescent="0.25">
      <c r="C20" s="400"/>
      <c r="R20" s="400"/>
      <c r="S20" s="400"/>
      <c r="T20" s="400"/>
      <c r="U20" s="400"/>
      <c r="V20" s="400"/>
      <c r="W20" s="400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50" orientation="landscape" r:id="rId1"/>
  <headerFooter alignWithMargins="0">
    <oddHeader xml:space="preserve">&amp;R&amp;"Times New Roman CE,Félkövér"&amp;12
19. melléklet az    1/2025.(I.31.) önkormányzati rendelethez
"19. melléklet a 8/2024.(III.5.) önkormányzati rendelethez"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2:L72"/>
  <sheetViews>
    <sheetView zoomScale="77" zoomScaleNormal="77" workbookViewId="0">
      <selection activeCell="H69" sqref="H69"/>
    </sheetView>
  </sheetViews>
  <sheetFormatPr defaultRowHeight="15" customHeight="1" x14ac:dyDescent="0.3"/>
  <cols>
    <col min="1" max="1" width="3.1640625" style="14" customWidth="1"/>
    <col min="2" max="2" width="5" style="14" customWidth="1"/>
    <col min="3" max="3" width="107.1640625" style="14" customWidth="1"/>
    <col min="4" max="4" width="29.5" style="14" bestFit="1" customWidth="1"/>
    <col min="5" max="5" width="40" style="14" customWidth="1"/>
    <col min="6" max="6" width="40.1640625" style="14" customWidth="1"/>
    <col min="7" max="7" width="33.6640625" style="14" customWidth="1"/>
    <col min="8" max="8" width="120.6640625" style="14" customWidth="1"/>
    <col min="9" max="9" width="33" style="14" customWidth="1"/>
    <col min="10" max="10" width="39.6640625" style="14" customWidth="1"/>
    <col min="11" max="11" width="40.6640625" style="14" customWidth="1"/>
    <col min="12" max="12" width="7.83203125" style="14" customWidth="1"/>
    <col min="13" max="13" width="10.5" style="14" bestFit="1" customWidth="1"/>
    <col min="14" max="16384" width="9.33203125" style="14"/>
  </cols>
  <sheetData>
    <row r="2" spans="1:12" ht="18.75" customHeight="1" x14ac:dyDescent="0.35">
      <c r="A2" s="921" t="s">
        <v>423</v>
      </c>
      <c r="B2" s="921"/>
      <c r="C2" s="921"/>
      <c r="D2" s="921"/>
      <c r="E2" s="921"/>
      <c r="F2" s="921"/>
      <c r="G2" s="921"/>
      <c r="H2" s="921"/>
      <c r="I2" s="921"/>
      <c r="J2" s="921"/>
      <c r="K2" s="921"/>
    </row>
    <row r="3" spans="1:12" ht="15" customHeight="1" thickBot="1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6" t="s">
        <v>224</v>
      </c>
    </row>
    <row r="4" spans="1:12" ht="21" x14ac:dyDescent="0.35">
      <c r="A4" s="454"/>
      <c r="B4" s="61" t="s">
        <v>14</v>
      </c>
      <c r="C4" s="61"/>
      <c r="D4" s="19" t="s">
        <v>614</v>
      </c>
      <c r="E4" s="19" t="s">
        <v>557</v>
      </c>
      <c r="F4" s="19" t="s">
        <v>651</v>
      </c>
      <c r="G4" s="61" t="s">
        <v>15</v>
      </c>
      <c r="H4" s="20"/>
      <c r="I4" s="19" t="s">
        <v>614</v>
      </c>
      <c r="J4" s="19" t="s">
        <v>557</v>
      </c>
      <c r="K4" s="19" t="s">
        <v>651</v>
      </c>
    </row>
    <row r="5" spans="1:12" ht="18.75" x14ac:dyDescent="0.3">
      <c r="A5" s="21"/>
      <c r="B5" s="22"/>
      <c r="C5" s="22"/>
      <c r="D5" s="23" t="s">
        <v>372</v>
      </c>
      <c r="E5" s="23" t="s">
        <v>558</v>
      </c>
      <c r="F5" s="23" t="s">
        <v>372</v>
      </c>
      <c r="G5" s="22"/>
      <c r="I5" s="23" t="s">
        <v>372</v>
      </c>
      <c r="J5" s="23" t="s">
        <v>558</v>
      </c>
      <c r="K5" s="23" t="s">
        <v>372</v>
      </c>
    </row>
    <row r="6" spans="1:12" ht="19.5" thickBot="1" x14ac:dyDescent="0.35">
      <c r="A6" s="24"/>
      <c r="B6" s="25"/>
      <c r="C6" s="25"/>
      <c r="D6" s="26"/>
      <c r="E6" s="26"/>
      <c r="F6" s="26"/>
      <c r="G6" s="27"/>
      <c r="H6" s="28"/>
      <c r="I6" s="26"/>
      <c r="J6" s="26"/>
      <c r="K6" s="26"/>
    </row>
    <row r="7" spans="1:12" ht="23.25" x14ac:dyDescent="0.35">
      <c r="A7" s="495" t="s">
        <v>114</v>
      </c>
      <c r="B7" s="496"/>
      <c r="C7" s="496"/>
      <c r="D7" s="459">
        <f>'3 működési bevételek'!F52</f>
        <v>9528371</v>
      </c>
      <c r="E7" s="459">
        <f>'3 működési bevételek'!G52</f>
        <v>-301528</v>
      </c>
      <c r="F7" s="459">
        <f>'3 működési bevételek'!H52</f>
        <v>9226843</v>
      </c>
      <c r="G7" s="496" t="s">
        <v>215</v>
      </c>
      <c r="H7" s="507"/>
      <c r="I7" s="462">
        <f>+'8 oktatás'!B27+'8 oktatás'!B9</f>
        <v>5597012</v>
      </c>
      <c r="J7" s="462">
        <f>+'8 oktatás'!C27+'8 oktatás'!C9</f>
        <v>-138121</v>
      </c>
      <c r="K7" s="462">
        <f>+'8 oktatás'!D27+'8 oktatás'!D9</f>
        <v>5458891</v>
      </c>
      <c r="L7" s="30"/>
    </row>
    <row r="8" spans="1:12" ht="23.25" x14ac:dyDescent="0.35">
      <c r="A8" s="497" t="s">
        <v>196</v>
      </c>
      <c r="B8" s="483"/>
      <c r="C8" s="483"/>
      <c r="D8" s="460">
        <f>'3 működési bevételek'!F66</f>
        <v>12874976</v>
      </c>
      <c r="E8" s="460">
        <f>'3 működési bevételek'!G66</f>
        <v>778292</v>
      </c>
      <c r="F8" s="460">
        <f>'3 működési bevételek'!H66</f>
        <v>13653268</v>
      </c>
      <c r="G8" s="483" t="s">
        <v>297</v>
      </c>
      <c r="H8" s="508"/>
      <c r="I8" s="463">
        <f>+'9 kultúra'!B67</f>
        <v>4148698</v>
      </c>
      <c r="J8" s="463">
        <f>+'9 kultúra'!C67</f>
        <v>222221</v>
      </c>
      <c r="K8" s="463">
        <f>+'9 kultúra'!D67</f>
        <v>4370919</v>
      </c>
      <c r="L8" s="30"/>
    </row>
    <row r="9" spans="1:12" ht="23.25" x14ac:dyDescent="0.35">
      <c r="A9" s="243" t="s">
        <v>57</v>
      </c>
      <c r="B9" s="498"/>
      <c r="C9" s="498"/>
      <c r="D9" s="461">
        <f>'3 működési bevételek'!F100</f>
        <v>3707616</v>
      </c>
      <c r="E9" s="461">
        <f>'3 működési bevételek'!G100</f>
        <v>-439152</v>
      </c>
      <c r="F9" s="461">
        <f>'3 működési bevételek'!H100</f>
        <v>3268464</v>
      </c>
      <c r="G9" s="498" t="s">
        <v>158</v>
      </c>
      <c r="H9" s="509"/>
      <c r="I9" s="464">
        <f>'10 szociális'!B37</f>
        <v>2650682</v>
      </c>
      <c r="J9" s="464">
        <f>'10 szociális'!C37</f>
        <v>50685</v>
      </c>
      <c r="K9" s="464">
        <f>'10 szociális'!D37</f>
        <v>2701367</v>
      </c>
      <c r="L9" s="30"/>
    </row>
    <row r="10" spans="1:12" ht="23.25" x14ac:dyDescent="0.35">
      <c r="A10" s="243" t="s">
        <v>115</v>
      </c>
      <c r="B10" s="498"/>
      <c r="C10" s="498"/>
      <c r="D10" s="461">
        <f>'3 működési bevételek'!F118</f>
        <v>177426</v>
      </c>
      <c r="E10" s="461">
        <f>'3 működési bevételek'!G118</f>
        <v>-2904</v>
      </c>
      <c r="F10" s="461">
        <f>'3 működési bevételek'!H118</f>
        <v>174522</v>
      </c>
      <c r="G10" s="498" t="s">
        <v>153</v>
      </c>
      <c r="H10" s="509"/>
      <c r="I10" s="464">
        <f>'11 egészségügy'!B21</f>
        <v>1155531</v>
      </c>
      <c r="J10" s="464">
        <f>'11 egészségügy'!C21</f>
        <v>23497</v>
      </c>
      <c r="K10" s="464">
        <f>'11 egészségügy'!D21</f>
        <v>1179028</v>
      </c>
      <c r="L10" s="30"/>
    </row>
    <row r="11" spans="1:12" ht="23.25" x14ac:dyDescent="0.35">
      <c r="A11" s="243" t="s">
        <v>92</v>
      </c>
      <c r="B11" s="498"/>
      <c r="C11" s="498"/>
      <c r="D11" s="461">
        <f>'3 működési bevételek'!F131</f>
        <v>2280007</v>
      </c>
      <c r="E11" s="461">
        <f>'3 működési bevételek'!G131</f>
        <v>249685</v>
      </c>
      <c r="F11" s="461">
        <f>'3 működési bevételek'!H131</f>
        <v>2529692</v>
      </c>
      <c r="G11" s="498" t="s">
        <v>306</v>
      </c>
      <c r="H11" s="509"/>
      <c r="I11" s="464">
        <f>'12 gyermek és ifj.véd.'!B11</f>
        <v>1768059</v>
      </c>
      <c r="J11" s="464">
        <f>'12 gyermek és ifj.véd.'!C11</f>
        <v>14349</v>
      </c>
      <c r="K11" s="464">
        <f>'12 gyermek és ifj.véd.'!D11</f>
        <v>1782408</v>
      </c>
      <c r="L11" s="30"/>
    </row>
    <row r="12" spans="1:12" ht="23.25" x14ac:dyDescent="0.35">
      <c r="A12" s="499"/>
      <c r="B12" s="30"/>
      <c r="C12" s="30"/>
      <c r="D12" s="474"/>
      <c r="E12" s="474"/>
      <c r="F12" s="474"/>
      <c r="G12" s="498" t="s">
        <v>307</v>
      </c>
      <c r="H12" s="510"/>
      <c r="I12" s="464">
        <f>'13 egyéb'!B101</f>
        <v>12831705</v>
      </c>
      <c r="J12" s="464">
        <f>'13 egyéb'!C101</f>
        <v>30972</v>
      </c>
      <c r="K12" s="464">
        <f>'13 egyéb'!D101</f>
        <v>12862677</v>
      </c>
      <c r="L12" s="30"/>
    </row>
    <row r="13" spans="1:12" ht="23.25" x14ac:dyDescent="0.35">
      <c r="A13" s="500"/>
      <c r="B13" s="11"/>
      <c r="C13" s="11"/>
      <c r="D13" s="39"/>
      <c r="E13" s="39"/>
      <c r="F13" s="39"/>
      <c r="G13" s="498" t="s">
        <v>167</v>
      </c>
      <c r="H13" s="511"/>
      <c r="I13" s="464">
        <f>'14 sport'!B27</f>
        <v>1143662</v>
      </c>
      <c r="J13" s="464">
        <f>'14 sport'!C27</f>
        <v>-20000</v>
      </c>
      <c r="K13" s="464">
        <f>'14 sport'!D27</f>
        <v>1123662</v>
      </c>
      <c r="L13" s="30"/>
    </row>
    <row r="14" spans="1:12" ht="23.25" x14ac:dyDescent="0.35">
      <c r="A14" s="500"/>
      <c r="B14" s="30"/>
      <c r="C14" s="11"/>
      <c r="D14" s="39"/>
      <c r="E14" s="39"/>
      <c r="F14" s="39"/>
      <c r="G14" s="498" t="s">
        <v>100</v>
      </c>
      <c r="H14" s="512"/>
      <c r="I14" s="464">
        <f>+'15 város.ü.'!B29</f>
        <v>2110590</v>
      </c>
      <c r="J14" s="464">
        <f>+'15 város.ü.'!C29</f>
        <v>-180</v>
      </c>
      <c r="K14" s="464">
        <f>+'15 város.ü.'!D29</f>
        <v>2110410</v>
      </c>
      <c r="L14" s="30"/>
    </row>
    <row r="15" spans="1:12" ht="23.25" x14ac:dyDescent="0.35">
      <c r="A15" s="500"/>
      <c r="B15" s="30"/>
      <c r="C15" s="11"/>
      <c r="D15" s="39"/>
      <c r="E15" s="39"/>
      <c r="F15" s="37"/>
      <c r="G15" s="498" t="s">
        <v>204</v>
      </c>
      <c r="H15" s="512"/>
      <c r="I15" s="464">
        <f>+'16 út-híd'!B34</f>
        <v>1286480</v>
      </c>
      <c r="J15" s="464">
        <f>+'16 út-híd'!C34</f>
        <v>0</v>
      </c>
      <c r="K15" s="464">
        <f>+'16 út-híd'!D34</f>
        <v>1286480</v>
      </c>
      <c r="L15" s="30"/>
    </row>
    <row r="16" spans="1:12" ht="23.25" x14ac:dyDescent="0.35">
      <c r="A16" s="500"/>
      <c r="B16" s="30"/>
      <c r="C16" s="11"/>
      <c r="D16" s="39"/>
      <c r="E16" s="39"/>
      <c r="F16" s="37"/>
      <c r="G16" s="11" t="s">
        <v>10</v>
      </c>
      <c r="H16" s="513"/>
      <c r="I16" s="465"/>
      <c r="J16" s="465"/>
      <c r="K16" s="465"/>
      <c r="L16" s="30"/>
    </row>
    <row r="17" spans="1:12" ht="23.25" x14ac:dyDescent="0.35">
      <c r="A17" s="500"/>
      <c r="B17" s="30"/>
      <c r="C17" s="11"/>
      <c r="D17" s="39"/>
      <c r="E17" s="39"/>
      <c r="F17" s="37"/>
      <c r="G17" s="11"/>
      <c r="H17" s="483" t="s">
        <v>674</v>
      </c>
      <c r="I17" s="460"/>
      <c r="J17" s="460">
        <v>447127</v>
      </c>
      <c r="K17" s="460">
        <f>SUM(I17:J17)</f>
        <v>447127</v>
      </c>
      <c r="L17" s="30"/>
    </row>
    <row r="18" spans="1:12" ht="23.25" x14ac:dyDescent="0.35">
      <c r="A18" s="205"/>
      <c r="B18" s="73"/>
      <c r="C18" s="73"/>
      <c r="D18" s="43"/>
      <c r="E18" s="43"/>
      <c r="F18" s="37"/>
      <c r="G18" s="11"/>
      <c r="H18" s="483" t="s">
        <v>146</v>
      </c>
      <c r="I18" s="460">
        <v>0</v>
      </c>
      <c r="J18" s="460"/>
      <c r="K18" s="460">
        <f>SUM(I18:J18)</f>
        <v>0</v>
      </c>
      <c r="L18" s="30"/>
    </row>
    <row r="19" spans="1:12" ht="23.25" x14ac:dyDescent="0.35">
      <c r="A19" s="205"/>
      <c r="B19" s="73"/>
      <c r="C19" s="73"/>
      <c r="D19" s="43"/>
      <c r="E19" s="43"/>
      <c r="F19" s="37"/>
      <c r="G19" s="11"/>
      <c r="H19" s="498" t="s">
        <v>160</v>
      </c>
      <c r="I19" s="460">
        <v>0</v>
      </c>
      <c r="J19" s="460"/>
      <c r="K19" s="460">
        <f>SUM(I19:J19)</f>
        <v>0</v>
      </c>
      <c r="L19" s="30"/>
    </row>
    <row r="20" spans="1:12" ht="23.25" x14ac:dyDescent="0.35">
      <c r="A20" s="205"/>
      <c r="B20" s="73"/>
      <c r="C20" s="73"/>
      <c r="D20" s="43"/>
      <c r="E20" s="43"/>
      <c r="F20" s="37"/>
      <c r="G20" s="11"/>
      <c r="H20" s="540" t="s">
        <v>481</v>
      </c>
      <c r="I20" s="460">
        <v>0</v>
      </c>
      <c r="J20" s="460"/>
      <c r="K20" s="460">
        <f>SUM(I20:J20)</f>
        <v>0</v>
      </c>
      <c r="L20" s="30"/>
    </row>
    <row r="21" spans="1:12" ht="42" x14ac:dyDescent="0.35">
      <c r="A21" s="205"/>
      <c r="B21" s="73"/>
      <c r="C21" s="73"/>
      <c r="D21" s="43"/>
      <c r="E21" s="43"/>
      <c r="F21" s="43"/>
      <c r="G21" s="11"/>
      <c r="H21" s="540" t="s">
        <v>546</v>
      </c>
      <c r="I21" s="460">
        <v>81510</v>
      </c>
      <c r="J21" s="460">
        <v>-2500</v>
      </c>
      <c r="K21" s="460">
        <f>SUM(I21:J21)</f>
        <v>79010</v>
      </c>
      <c r="L21" s="30"/>
    </row>
    <row r="22" spans="1:12" ht="24" thickBot="1" x14ac:dyDescent="0.4">
      <c r="A22" s="501"/>
      <c r="B22" s="502"/>
      <c r="C22" s="503"/>
      <c r="D22" s="44"/>
      <c r="E22" s="44"/>
      <c r="F22" s="44"/>
      <c r="G22" s="514" t="s">
        <v>39</v>
      </c>
      <c r="H22" s="45"/>
      <c r="I22" s="466">
        <f>SUM(I17:I21)</f>
        <v>81510</v>
      </c>
      <c r="J22" s="466">
        <f t="shared" ref="J22:K22" si="0">SUM(J17:J21)</f>
        <v>444627</v>
      </c>
      <c r="K22" s="466">
        <f t="shared" si="0"/>
        <v>526137</v>
      </c>
      <c r="L22" s="30"/>
    </row>
    <row r="23" spans="1:12" ht="24" thickBot="1" x14ac:dyDescent="0.4">
      <c r="A23" s="504" t="s">
        <v>141</v>
      </c>
      <c r="B23" s="505"/>
      <c r="C23" s="506"/>
      <c r="D23" s="475">
        <f>SUM(D7:D22)</f>
        <v>28568396</v>
      </c>
      <c r="E23" s="475">
        <f>SUM(E7:E22)</f>
        <v>284393</v>
      </c>
      <c r="F23" s="475">
        <f>SUM(F7:F22)</f>
        <v>28852789</v>
      </c>
      <c r="G23" s="515" t="s">
        <v>164</v>
      </c>
      <c r="H23" s="515"/>
      <c r="I23" s="472">
        <f>+I22+I15+I14+I13+I12+I11+I10+I9+I8+I7</f>
        <v>32773929</v>
      </c>
      <c r="J23" s="472">
        <f>+J22+J15+J14+J13+J12+J11+J10+J9+J8+J7</f>
        <v>628050</v>
      </c>
      <c r="K23" s="472">
        <f>+K22+K15+K14+K13+K12+K11+K10+K9+K8+K7</f>
        <v>33401979</v>
      </c>
      <c r="L23" s="30"/>
    </row>
    <row r="24" spans="1:12" ht="19.5" thickBot="1" x14ac:dyDescent="0.3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2" ht="18.75" customHeight="1" x14ac:dyDescent="0.35">
      <c r="A25" s="17"/>
      <c r="B25" s="61"/>
      <c r="C25" s="455" t="s">
        <v>64</v>
      </c>
      <c r="D25" s="19" t="s">
        <v>614</v>
      </c>
      <c r="E25" s="19" t="s">
        <v>557</v>
      </c>
      <c r="F25" s="19" t="s">
        <v>651</v>
      </c>
      <c r="G25" s="48"/>
      <c r="H25" s="61" t="s">
        <v>76</v>
      </c>
      <c r="I25" s="19" t="s">
        <v>614</v>
      </c>
      <c r="J25" s="19" t="s">
        <v>557</v>
      </c>
      <c r="K25" s="19" t="s">
        <v>651</v>
      </c>
    </row>
    <row r="26" spans="1:12" ht="18.75" customHeight="1" x14ac:dyDescent="0.3">
      <c r="A26" s="21"/>
      <c r="B26" s="22"/>
      <c r="C26" s="49"/>
      <c r="D26" s="23" t="s">
        <v>372</v>
      </c>
      <c r="E26" s="23" t="s">
        <v>558</v>
      </c>
      <c r="F26" s="23" t="s">
        <v>372</v>
      </c>
      <c r="G26" s="50"/>
      <c r="H26" s="22"/>
      <c r="I26" s="23" t="s">
        <v>372</v>
      </c>
      <c r="J26" s="23" t="s">
        <v>558</v>
      </c>
      <c r="K26" s="23" t="s">
        <v>372</v>
      </c>
    </row>
    <row r="27" spans="1:12" ht="18.75" customHeight="1" thickBot="1" x14ac:dyDescent="0.35">
      <c r="A27" s="24"/>
      <c r="B27" s="25"/>
      <c r="C27" s="51"/>
      <c r="D27" s="26"/>
      <c r="E27" s="26"/>
      <c r="F27" s="26"/>
      <c r="G27" s="27"/>
      <c r="H27" s="28"/>
      <c r="I27" s="26"/>
      <c r="J27" s="26"/>
      <c r="K27" s="26"/>
    </row>
    <row r="28" spans="1:12" ht="23.25" x14ac:dyDescent="0.35">
      <c r="A28" s="516" t="s">
        <v>74</v>
      </c>
      <c r="B28" s="517"/>
      <c r="C28" s="518"/>
      <c r="D28" s="467">
        <f>'17 felhalm.bevétel '!C11</f>
        <v>568871</v>
      </c>
      <c r="E28" s="467">
        <f>'17 felhalm.bevétel '!D11</f>
        <v>0</v>
      </c>
      <c r="F28" s="467">
        <f>'17 felhalm.bevétel '!E11</f>
        <v>568871</v>
      </c>
      <c r="G28" s="530" t="s">
        <v>173</v>
      </c>
      <c r="H28" s="531"/>
      <c r="I28" s="53"/>
      <c r="J28" s="53"/>
      <c r="K28" s="53"/>
    </row>
    <row r="29" spans="1:12" ht="23.25" x14ac:dyDescent="0.35">
      <c r="A29" s="519" t="s">
        <v>73</v>
      </c>
      <c r="B29" s="512"/>
      <c r="C29" s="520"/>
      <c r="D29" s="464">
        <f>'17 felhalm.bevétel '!C17</f>
        <v>309191</v>
      </c>
      <c r="E29" s="464">
        <f>'17 felhalm.bevétel '!D17</f>
        <v>104740</v>
      </c>
      <c r="F29" s="464">
        <f>'17 felhalm.bevétel '!E17</f>
        <v>413931</v>
      </c>
      <c r="G29" s="483" t="s">
        <v>215</v>
      </c>
      <c r="H29" s="532"/>
      <c r="I29" s="33">
        <f>+'8 oktatás'!B35</f>
        <v>108855</v>
      </c>
      <c r="J29" s="33">
        <f>+'8 oktatás'!C35</f>
        <v>31719</v>
      </c>
      <c r="K29" s="33">
        <f>+'8 oktatás'!D35</f>
        <v>140574</v>
      </c>
    </row>
    <row r="30" spans="1:12" ht="23.25" x14ac:dyDescent="0.35">
      <c r="A30" s="519" t="s">
        <v>75</v>
      </c>
      <c r="B30" s="520"/>
      <c r="C30" s="521"/>
      <c r="D30" s="464">
        <f>'17 felhalm.bevétel '!C24</f>
        <v>113863</v>
      </c>
      <c r="E30" s="464">
        <f>'17 felhalm.bevétel '!D24</f>
        <v>3486</v>
      </c>
      <c r="F30" s="464">
        <f>'17 felhalm.bevétel '!E24</f>
        <v>117349</v>
      </c>
      <c r="G30" s="498" t="s">
        <v>297</v>
      </c>
      <c r="H30" s="533"/>
      <c r="I30" s="36">
        <f>+'9 kultúra'!B76</f>
        <v>93489</v>
      </c>
      <c r="J30" s="36">
        <f>+'9 kultúra'!C76</f>
        <v>16338</v>
      </c>
      <c r="K30" s="36">
        <f>+'9 kultúra'!D76</f>
        <v>109827</v>
      </c>
    </row>
    <row r="31" spans="1:12" ht="23.25" x14ac:dyDescent="0.35">
      <c r="A31" s="243" t="s">
        <v>93</v>
      </c>
      <c r="B31" s="498"/>
      <c r="C31" s="498"/>
      <c r="D31" s="464">
        <f>'17 felhalm.bevétel '!C37</f>
        <v>35030</v>
      </c>
      <c r="E31" s="464">
        <f>'17 felhalm.bevétel '!D37</f>
        <v>17161</v>
      </c>
      <c r="F31" s="464">
        <f>'17 felhalm.bevétel '!E37</f>
        <v>52191</v>
      </c>
      <c r="G31" s="498" t="s">
        <v>158</v>
      </c>
      <c r="H31" s="533"/>
      <c r="I31" s="36">
        <f>'10 szociális'!B42</f>
        <v>85390</v>
      </c>
      <c r="J31" s="36">
        <f>'10 szociális'!C42</f>
        <v>24490</v>
      </c>
      <c r="K31" s="36">
        <f>'10 szociális'!D42</f>
        <v>109880</v>
      </c>
    </row>
    <row r="32" spans="1:12" ht="23.25" x14ac:dyDescent="0.35">
      <c r="A32" s="522"/>
      <c r="B32" s="518"/>
      <c r="C32" s="518"/>
      <c r="D32" s="468"/>
      <c r="E32" s="468"/>
      <c r="F32" s="469"/>
      <c r="G32" s="498" t="s">
        <v>153</v>
      </c>
      <c r="H32" s="533"/>
      <c r="I32" s="36">
        <f>'11 egészségügy'!B27</f>
        <v>6381</v>
      </c>
      <c r="J32" s="36">
        <f>'11 egészségügy'!C27</f>
        <v>22</v>
      </c>
      <c r="K32" s="36">
        <f>'11 egészségügy'!D27</f>
        <v>6403</v>
      </c>
    </row>
    <row r="33" spans="1:11" ht="23.25" x14ac:dyDescent="0.35">
      <c r="A33" s="522"/>
      <c r="B33" s="518"/>
      <c r="C33" s="518"/>
      <c r="D33" s="468"/>
      <c r="E33" s="468"/>
      <c r="F33" s="469"/>
      <c r="G33" s="498" t="s">
        <v>306</v>
      </c>
      <c r="H33" s="533"/>
      <c r="I33" s="36">
        <f>'12 gyermek és ifj.véd.'!B16</f>
        <v>72614</v>
      </c>
      <c r="J33" s="36">
        <f>'12 gyermek és ifj.véd.'!C16</f>
        <v>9950</v>
      </c>
      <c r="K33" s="36">
        <f>'12 gyermek és ifj.véd.'!D16</f>
        <v>82564</v>
      </c>
    </row>
    <row r="34" spans="1:11" ht="24" thickBot="1" x14ac:dyDescent="0.4">
      <c r="A34" s="523"/>
      <c r="B34" s="524"/>
      <c r="C34" s="524"/>
      <c r="D34" s="476"/>
      <c r="E34" s="476"/>
      <c r="F34" s="464"/>
      <c r="G34" s="498" t="s">
        <v>307</v>
      </c>
      <c r="H34" s="533"/>
      <c r="I34" s="36">
        <f>'13 egyéb'!B108</f>
        <v>221559</v>
      </c>
      <c r="J34" s="36">
        <f>'13 egyéb'!C108</f>
        <v>7154</v>
      </c>
      <c r="K34" s="36">
        <f>'13 egyéb'!D108</f>
        <v>228713</v>
      </c>
    </row>
    <row r="35" spans="1:11" ht="24" thickBot="1" x14ac:dyDescent="0.4">
      <c r="A35" s="523"/>
      <c r="B35" s="524"/>
      <c r="C35" s="524"/>
      <c r="D35" s="476"/>
      <c r="E35" s="476"/>
      <c r="F35" s="477"/>
      <c r="G35" s="534" t="s">
        <v>174</v>
      </c>
      <c r="H35" s="535"/>
      <c r="I35" s="46">
        <f>SUM(I28:I34)</f>
        <v>588288</v>
      </c>
      <c r="J35" s="46">
        <f>SUM(J28:J34)</f>
        <v>89673</v>
      </c>
      <c r="K35" s="46">
        <f>SUM(K28:K34)</f>
        <v>677961</v>
      </c>
    </row>
    <row r="36" spans="1:11" ht="23.25" x14ac:dyDescent="0.35">
      <c r="A36" s="500"/>
      <c r="B36" s="30"/>
      <c r="C36" s="30"/>
      <c r="D36" s="474"/>
      <c r="E36" s="474"/>
      <c r="F36" s="469"/>
      <c r="G36" s="11" t="s">
        <v>139</v>
      </c>
      <c r="H36" s="517"/>
      <c r="I36" s="52">
        <f>+'18 felhalm.kiadás'!C13</f>
        <v>116678</v>
      </c>
      <c r="J36" s="52">
        <f>+'18 felhalm.kiadás'!D13</f>
        <v>21345</v>
      </c>
      <c r="K36" s="52">
        <f>+'18 felhalm.kiadás'!E13</f>
        <v>138023</v>
      </c>
    </row>
    <row r="37" spans="1:11" ht="23.25" x14ac:dyDescent="0.35">
      <c r="A37" s="500"/>
      <c r="B37" s="30"/>
      <c r="C37" s="30"/>
      <c r="D37" s="474"/>
      <c r="E37" s="474"/>
      <c r="F37" s="469"/>
      <c r="G37" s="498" t="s">
        <v>169</v>
      </c>
      <c r="H37" s="512"/>
      <c r="I37" s="36">
        <f>'18 felhalm.kiadás'!C16</f>
        <v>0</v>
      </c>
      <c r="J37" s="36">
        <f>'18 felhalm.kiadás'!D16</f>
        <v>0</v>
      </c>
      <c r="K37" s="36">
        <f>'18 felhalm.kiadás'!E16</f>
        <v>0</v>
      </c>
    </row>
    <row r="38" spans="1:11" ht="23.25" x14ac:dyDescent="0.35">
      <c r="A38" s="500"/>
      <c r="B38" s="30"/>
      <c r="C38" s="30"/>
      <c r="D38" s="474"/>
      <c r="E38" s="474"/>
      <c r="F38" s="469"/>
      <c r="G38" s="498" t="s">
        <v>181</v>
      </c>
      <c r="H38" s="511"/>
      <c r="I38" s="36">
        <f>+'18 felhalm.kiadás'!C19</f>
        <v>0</v>
      </c>
      <c r="J38" s="36">
        <f>+'18 felhalm.kiadás'!D19</f>
        <v>0</v>
      </c>
      <c r="K38" s="36">
        <f>+'18 felhalm.kiadás'!E19</f>
        <v>0</v>
      </c>
    </row>
    <row r="39" spans="1:11" ht="23.25" x14ac:dyDescent="0.35">
      <c r="A39" s="525"/>
      <c r="B39" s="526"/>
      <c r="C39" s="30"/>
      <c r="D39" s="474"/>
      <c r="E39" s="474"/>
      <c r="F39" s="469"/>
      <c r="G39" s="498" t="s">
        <v>186</v>
      </c>
      <c r="H39" s="511"/>
      <c r="I39" s="36">
        <f>+'18 felhalm.kiadás'!C23</f>
        <v>16131</v>
      </c>
      <c r="J39" s="36">
        <f>+'18 felhalm.kiadás'!D23</f>
        <v>107552</v>
      </c>
      <c r="K39" s="36">
        <f>+'18 felhalm.kiadás'!E23</f>
        <v>123683</v>
      </c>
    </row>
    <row r="40" spans="1:11" ht="23.25" x14ac:dyDescent="0.35">
      <c r="A40" s="525"/>
      <c r="B40" s="526"/>
      <c r="C40" s="527"/>
      <c r="D40" s="478"/>
      <c r="E40" s="478"/>
      <c r="F40" s="469"/>
      <c r="G40" s="498" t="s">
        <v>151</v>
      </c>
      <c r="H40" s="511"/>
      <c r="I40" s="36">
        <f>+'18 felhalm.kiadás'!C68</f>
        <v>3255953</v>
      </c>
      <c r="J40" s="36">
        <f>+'18 felhalm.kiadás'!D68</f>
        <v>-436840</v>
      </c>
      <c r="K40" s="36">
        <f>+'18 felhalm.kiadás'!E68</f>
        <v>2819113</v>
      </c>
    </row>
    <row r="41" spans="1:11" ht="23.25" x14ac:dyDescent="0.35">
      <c r="A41" s="499"/>
      <c r="B41" s="528"/>
      <c r="C41" s="527"/>
      <c r="D41" s="478"/>
      <c r="E41" s="478"/>
      <c r="F41" s="469"/>
      <c r="G41" s="498" t="s">
        <v>411</v>
      </c>
      <c r="H41" s="498"/>
      <c r="I41" s="36">
        <f>+'18 felhalm.kiadás'!C71</f>
        <v>0</v>
      </c>
      <c r="J41" s="36">
        <f>+'18 felhalm.kiadás'!D71</f>
        <v>0</v>
      </c>
      <c r="K41" s="36">
        <f>+'18 felhalm.kiadás'!E71</f>
        <v>0</v>
      </c>
    </row>
    <row r="42" spans="1:11" ht="23.25" x14ac:dyDescent="0.35">
      <c r="A42" s="499"/>
      <c r="B42" s="528"/>
      <c r="C42" s="527"/>
      <c r="D42" s="478"/>
      <c r="E42" s="478"/>
      <c r="F42" s="469"/>
      <c r="G42" s="498" t="s">
        <v>36</v>
      </c>
      <c r="H42" s="498"/>
      <c r="I42" s="36">
        <f>'18 felhalm.kiadás'!C72</f>
        <v>10000</v>
      </c>
      <c r="J42" s="36">
        <f>'18 felhalm.kiadás'!D72</f>
        <v>0</v>
      </c>
      <c r="K42" s="36">
        <f>'18 felhalm.kiadás'!E72</f>
        <v>10000</v>
      </c>
    </row>
    <row r="43" spans="1:11" ht="24" thickBot="1" x14ac:dyDescent="0.4">
      <c r="A43" s="499"/>
      <c r="B43" s="528"/>
      <c r="C43" s="527"/>
      <c r="D43" s="479"/>
      <c r="E43" s="479"/>
      <c r="F43" s="479"/>
      <c r="G43" s="536" t="s">
        <v>175</v>
      </c>
      <c r="H43" s="537"/>
      <c r="I43" s="57">
        <f>SUM(I36:I42)</f>
        <v>3398762</v>
      </c>
      <c r="J43" s="57">
        <f>SUM(J36:J42)</f>
        <v>-307943</v>
      </c>
      <c r="K43" s="57">
        <f>SUM(K36:K42)</f>
        <v>3090819</v>
      </c>
    </row>
    <row r="44" spans="1:11" ht="24" thickBot="1" x14ac:dyDescent="0.4">
      <c r="A44" s="203" t="s">
        <v>165</v>
      </c>
      <c r="B44" s="203"/>
      <c r="C44" s="529"/>
      <c r="D44" s="473">
        <f>SUM(D28:D43)</f>
        <v>1026955</v>
      </c>
      <c r="E44" s="473">
        <f>SUM(E28:E43)</f>
        <v>125387</v>
      </c>
      <c r="F44" s="473">
        <f>SUM(F28:F43)</f>
        <v>1152342</v>
      </c>
      <c r="G44" s="538" t="s">
        <v>166</v>
      </c>
      <c r="H44" s="538"/>
      <c r="I44" s="58">
        <f>+I43+I35</f>
        <v>3987050</v>
      </c>
      <c r="J44" s="58">
        <f>+J43+J35</f>
        <v>-218270</v>
      </c>
      <c r="K44" s="58">
        <f>+K43+K35</f>
        <v>3768780</v>
      </c>
    </row>
    <row r="45" spans="1:11" ht="18.75" customHeight="1" thickBot="1" x14ac:dyDescent="0.4">
      <c r="A45" s="47"/>
      <c r="B45" s="47"/>
      <c r="C45" s="59"/>
      <c r="D45" s="60"/>
      <c r="E45" s="60"/>
      <c r="F45" s="60"/>
      <c r="G45" s="18"/>
      <c r="H45" s="18"/>
      <c r="I45" s="61"/>
      <c r="J45" s="61"/>
      <c r="K45" s="61"/>
    </row>
    <row r="46" spans="1:11" ht="23.25" x14ac:dyDescent="0.35">
      <c r="A46" s="62" t="s">
        <v>156</v>
      </c>
      <c r="B46" s="456"/>
      <c r="C46" s="457"/>
      <c r="D46" s="480"/>
      <c r="E46" s="480"/>
      <c r="F46" s="480"/>
      <c r="G46" s="458" t="s">
        <v>156</v>
      </c>
      <c r="H46" s="63"/>
      <c r="I46" s="64"/>
      <c r="J46" s="64"/>
      <c r="K46" s="64"/>
    </row>
    <row r="47" spans="1:11" ht="23.25" x14ac:dyDescent="0.35">
      <c r="A47" s="41"/>
      <c r="B47" s="30"/>
      <c r="C47" s="552" t="s">
        <v>104</v>
      </c>
      <c r="D47" s="470">
        <v>5078776</v>
      </c>
      <c r="E47" s="470"/>
      <c r="F47" s="470">
        <f t="shared" ref="F47:F56" si="1">SUM(D47:E47)</f>
        <v>5078776</v>
      </c>
      <c r="G47" s="487"/>
      <c r="H47" s="487"/>
      <c r="I47" s="463"/>
      <c r="J47" s="463"/>
      <c r="K47" s="463"/>
    </row>
    <row r="48" spans="1:11" ht="23.25" x14ac:dyDescent="0.35">
      <c r="A48" s="41"/>
      <c r="B48" s="30"/>
      <c r="C48" s="552" t="s">
        <v>533</v>
      </c>
      <c r="D48" s="470">
        <v>0</v>
      </c>
      <c r="E48" s="470"/>
      <c r="F48" s="470">
        <f t="shared" si="1"/>
        <v>0</v>
      </c>
      <c r="G48" s="487" t="s">
        <v>398</v>
      </c>
      <c r="H48" s="487"/>
      <c r="I48" s="463">
        <v>120750</v>
      </c>
      <c r="J48" s="463"/>
      <c r="K48" s="463">
        <f>SUM(I48:J48)</f>
        <v>120750</v>
      </c>
    </row>
    <row r="49" spans="1:11" ht="23.25" x14ac:dyDescent="0.35">
      <c r="A49" s="41"/>
      <c r="B49" s="30"/>
      <c r="C49" s="556" t="s">
        <v>541</v>
      </c>
      <c r="D49" s="470">
        <v>0</v>
      </c>
      <c r="E49" s="470"/>
      <c r="F49" s="470">
        <f t="shared" si="1"/>
        <v>0</v>
      </c>
      <c r="G49" s="487" t="s">
        <v>520</v>
      </c>
      <c r="H49" s="487"/>
      <c r="I49" s="463">
        <v>262184</v>
      </c>
      <c r="J49" s="463"/>
      <c r="K49" s="463">
        <f>SUM(I49:J49)</f>
        <v>262184</v>
      </c>
    </row>
    <row r="50" spans="1:11" ht="42" x14ac:dyDescent="0.35">
      <c r="A50" s="41"/>
      <c r="B50" s="30"/>
      <c r="C50" s="552" t="s">
        <v>678</v>
      </c>
      <c r="D50" s="470">
        <v>4917</v>
      </c>
      <c r="E50" s="470"/>
      <c r="F50" s="470">
        <f t="shared" si="1"/>
        <v>4917</v>
      </c>
      <c r="G50" s="487" t="s">
        <v>677</v>
      </c>
      <c r="H50" s="487"/>
      <c r="I50" s="463"/>
      <c r="J50" s="463">
        <v>281004</v>
      </c>
      <c r="K50" s="463">
        <f>SUM(I50:J50)</f>
        <v>281004</v>
      </c>
    </row>
    <row r="51" spans="1:11" ht="42" x14ac:dyDescent="0.35">
      <c r="A51" s="41"/>
      <c r="B51" s="30"/>
      <c r="C51" s="552" t="s">
        <v>679</v>
      </c>
      <c r="D51" s="470"/>
      <c r="E51" s="470">
        <v>281004</v>
      </c>
      <c r="F51" s="470">
        <f t="shared" si="1"/>
        <v>281004</v>
      </c>
      <c r="G51" s="487"/>
      <c r="H51" s="487"/>
      <c r="I51" s="463"/>
      <c r="J51" s="463"/>
      <c r="K51" s="463"/>
    </row>
    <row r="52" spans="1:11" ht="23.25" x14ac:dyDescent="0.35">
      <c r="A52" s="41"/>
      <c r="B52" s="30"/>
      <c r="C52" s="553" t="s">
        <v>534</v>
      </c>
      <c r="D52" s="470">
        <v>0</v>
      </c>
      <c r="E52" s="470"/>
      <c r="F52" s="470">
        <f t="shared" si="1"/>
        <v>0</v>
      </c>
      <c r="G52" s="487"/>
      <c r="H52" s="487"/>
      <c r="I52" s="463"/>
      <c r="J52" s="463"/>
      <c r="K52" s="463"/>
    </row>
    <row r="53" spans="1:11" ht="23.25" x14ac:dyDescent="0.35">
      <c r="A53" s="41"/>
      <c r="B53" s="30"/>
      <c r="C53" s="553" t="s">
        <v>542</v>
      </c>
      <c r="D53" s="470">
        <v>0</v>
      </c>
      <c r="E53" s="470"/>
      <c r="F53" s="470">
        <f t="shared" si="1"/>
        <v>0</v>
      </c>
      <c r="G53" s="487"/>
      <c r="H53" s="487"/>
      <c r="I53" s="463"/>
      <c r="J53" s="463"/>
      <c r="K53" s="463"/>
    </row>
    <row r="54" spans="1:11" ht="23.25" x14ac:dyDescent="0.35">
      <c r="A54" s="41"/>
      <c r="B54" s="30"/>
      <c r="C54" s="553" t="s">
        <v>583</v>
      </c>
      <c r="D54" s="470">
        <v>1966978</v>
      </c>
      <c r="E54" s="470"/>
      <c r="F54" s="470">
        <f t="shared" si="1"/>
        <v>1966978</v>
      </c>
      <c r="G54" s="487"/>
      <c r="H54" s="487"/>
      <c r="I54" s="463"/>
      <c r="J54" s="463"/>
      <c r="K54" s="463"/>
    </row>
    <row r="55" spans="1:11" ht="23.25" x14ac:dyDescent="0.35">
      <c r="A55" s="41"/>
      <c r="B55" s="528"/>
      <c r="C55" s="553" t="s">
        <v>277</v>
      </c>
      <c r="D55" s="470">
        <v>497891</v>
      </c>
      <c r="E55" s="470"/>
      <c r="F55" s="470">
        <f t="shared" si="1"/>
        <v>497891</v>
      </c>
      <c r="G55" s="487"/>
      <c r="H55" s="487"/>
      <c r="I55" s="471"/>
      <c r="J55" s="471"/>
      <c r="K55" s="463"/>
    </row>
    <row r="56" spans="1:11" ht="24" thickBot="1" x14ac:dyDescent="0.4">
      <c r="A56" s="41"/>
      <c r="B56" s="528"/>
      <c r="C56" s="553" t="s">
        <v>675</v>
      </c>
      <c r="D56" s="470"/>
      <c r="E56" s="470">
        <v>2500000</v>
      </c>
      <c r="F56" s="470">
        <f t="shared" si="1"/>
        <v>2500000</v>
      </c>
      <c r="G56" s="487" t="s">
        <v>676</v>
      </c>
      <c r="H56" s="487"/>
      <c r="I56" s="471"/>
      <c r="J56" s="463">
        <v>2500000</v>
      </c>
      <c r="K56" s="463">
        <f>SUM(I56:J56)</f>
        <v>2500000</v>
      </c>
    </row>
    <row r="57" spans="1:11" ht="24" thickBot="1" x14ac:dyDescent="0.4">
      <c r="A57" s="66" t="s">
        <v>129</v>
      </c>
      <c r="B57" s="529"/>
      <c r="C57" s="67"/>
      <c r="D57" s="481">
        <f>SUM(D47:D56)</f>
        <v>7548562</v>
      </c>
      <c r="E57" s="481">
        <f t="shared" ref="E57:F57" si="2">SUM(E47:E56)</f>
        <v>2781004</v>
      </c>
      <c r="F57" s="481">
        <f t="shared" si="2"/>
        <v>10329566</v>
      </c>
      <c r="G57" s="490" t="s">
        <v>129</v>
      </c>
      <c r="H57" s="491"/>
      <c r="I57" s="472">
        <f>SUM(I46:I56)</f>
        <v>382934</v>
      </c>
      <c r="J57" s="472">
        <f t="shared" ref="J57:K57" si="3">SUM(J46:J56)</f>
        <v>2781004</v>
      </c>
      <c r="K57" s="472">
        <f t="shared" si="3"/>
        <v>3163938</v>
      </c>
    </row>
    <row r="58" spans="1:11" ht="23.25" x14ac:dyDescent="0.35">
      <c r="A58" s="41"/>
      <c r="B58" s="70"/>
      <c r="C58" s="70"/>
      <c r="D58" s="480"/>
      <c r="E58" s="480"/>
      <c r="F58" s="480"/>
      <c r="G58" s="489"/>
      <c r="H58" s="489"/>
      <c r="I58" s="492"/>
      <c r="J58" s="492"/>
      <c r="K58" s="492"/>
    </row>
    <row r="59" spans="1:11" ht="24" thickBot="1" x14ac:dyDescent="0.4">
      <c r="A59" s="68"/>
      <c r="B59" s="486"/>
      <c r="C59" s="486"/>
      <c r="D59" s="482"/>
      <c r="E59" s="482"/>
      <c r="F59" s="482"/>
      <c r="G59" s="493"/>
      <c r="H59" s="494"/>
      <c r="I59" s="482"/>
      <c r="J59" s="482"/>
      <c r="K59" s="482"/>
    </row>
    <row r="60" spans="1:11" ht="24" thickBot="1" x14ac:dyDescent="0.4">
      <c r="A60" s="539" t="s">
        <v>157</v>
      </c>
      <c r="B60" s="529"/>
      <c r="C60" s="529"/>
      <c r="D60" s="473">
        <f>+D57+D44+D23</f>
        <v>37143913</v>
      </c>
      <c r="E60" s="473">
        <f>+E57+E44+E23</f>
        <v>3190784</v>
      </c>
      <c r="F60" s="473">
        <f>+F57+F44+F23</f>
        <v>40334697</v>
      </c>
      <c r="G60" s="484" t="s">
        <v>128</v>
      </c>
      <c r="H60" s="485"/>
      <c r="I60" s="472">
        <f>+I57+I44+I23</f>
        <v>37143913</v>
      </c>
      <c r="J60" s="472">
        <f>+J57+J44+J23</f>
        <v>3190784</v>
      </c>
      <c r="K60" s="472">
        <f>+K57+K44+K23</f>
        <v>40334697</v>
      </c>
    </row>
    <row r="63" spans="1:11" ht="21" x14ac:dyDescent="0.35">
      <c r="C63" s="74"/>
      <c r="D63" s="30"/>
      <c r="E63" s="30"/>
      <c r="F63" s="30"/>
      <c r="G63" s="30"/>
      <c r="H63" s="30"/>
      <c r="I63" s="30"/>
    </row>
    <row r="64" spans="1:11" ht="21" x14ac:dyDescent="0.35">
      <c r="C64" s="74"/>
      <c r="D64" s="30"/>
      <c r="E64" s="30"/>
      <c r="F64" s="30"/>
      <c r="G64" s="30"/>
      <c r="H64" s="30"/>
      <c r="I64" s="30"/>
    </row>
    <row r="65" spans="3:9" ht="21" x14ac:dyDescent="0.35">
      <c r="C65" s="74"/>
      <c r="D65" s="30"/>
      <c r="E65" s="30"/>
      <c r="F65" s="30"/>
      <c r="G65" s="30"/>
      <c r="H65" s="30"/>
      <c r="I65" s="30"/>
    </row>
    <row r="66" spans="3:9" ht="21" x14ac:dyDescent="0.35">
      <c r="C66" s="74"/>
      <c r="D66" s="30"/>
      <c r="E66" s="30"/>
      <c r="F66" s="30"/>
      <c r="G66" s="30"/>
      <c r="H66" s="30"/>
      <c r="I66" s="30"/>
    </row>
    <row r="67" spans="3:9" ht="21" x14ac:dyDescent="0.35">
      <c r="C67" s="74"/>
      <c r="D67" s="30"/>
      <c r="E67" s="30"/>
      <c r="F67" s="30"/>
      <c r="G67" s="30"/>
      <c r="H67" s="30"/>
      <c r="I67" s="30"/>
    </row>
    <row r="68" spans="3:9" ht="21" x14ac:dyDescent="0.35">
      <c r="C68" s="74"/>
      <c r="D68" s="30"/>
      <c r="E68" s="30"/>
      <c r="F68" s="30"/>
      <c r="G68" s="30"/>
      <c r="H68" s="30"/>
      <c r="I68" s="30"/>
    </row>
    <row r="69" spans="3:9" ht="21" x14ac:dyDescent="0.35">
      <c r="C69" s="74"/>
      <c r="D69" s="30"/>
      <c r="E69" s="30"/>
      <c r="F69" s="30"/>
      <c r="G69" s="30"/>
      <c r="H69" s="72"/>
    </row>
    <row r="70" spans="3:9" ht="21" x14ac:dyDescent="0.35">
      <c r="G70" s="30"/>
      <c r="H70" s="70"/>
    </row>
    <row r="71" spans="3:9" ht="21" x14ac:dyDescent="0.35">
      <c r="G71" s="30"/>
    </row>
    <row r="72" spans="3:9" ht="14.1" customHeight="1" x14ac:dyDescent="0.3"/>
  </sheetData>
  <customSheetViews>
    <customSheetView guid="{6D4B996F-8915-4E78-98C2-E7EAE9C4580C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1"/>
      <headerFooter alignWithMargins="0">
        <oddHeader>&amp;L&amp;D&amp;T&amp;R&amp;"Times New Roman CE,Félkövér"&amp;16I.sz.melléklet</oddHeader>
      </headerFooter>
    </customSheetView>
    <customSheetView guid="{186732C5-520C-4E06-B066-B4F3F0A3E322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2"/>
      <headerFooter alignWithMargins="0">
        <oddHeader>&amp;L&amp;D&amp;T&amp;R&amp;"Times New Roman CE,Félkövér"&amp;16I.sz.melléklet</oddHeader>
      </headerFooter>
    </customSheetView>
  </customSheetViews>
  <mergeCells count="1">
    <mergeCell ref="A2:K2"/>
  </mergeCells>
  <phoneticPr fontId="0" type="noConversion"/>
  <printOptions horizontalCentered="1" verticalCentered="1"/>
  <pageMargins left="0" right="0" top="0" bottom="0" header="0.39370078740157483" footer="0"/>
  <pageSetup paperSize="9" scale="40" orientation="landscape" r:id="rId3"/>
  <headerFooter alignWithMargins="0">
    <oddHeader xml:space="preserve">&amp;R&amp;"Times New Roman CE,Félkövér"&amp;18
2. melléklet az    1/2025.(I.31.) önkormányzati rendelethez
"2. melléklet a 8/2024.(III.5.) önkormányzati rendelethez"
 </oddHeader>
    <oddFooter>&amp;L&amp;14&amp;D&amp;T</oddFooter>
  </headerFooter>
  <rowBreaks count="2" manualBreakCount="2">
    <brk id="23" max="10" man="1"/>
    <brk id="60" max="10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31"/>
  <sheetViews>
    <sheetView tabSelected="1" zoomScale="85" zoomScaleNormal="85" workbookViewId="0">
      <selection activeCell="W29" sqref="W29"/>
    </sheetView>
  </sheetViews>
  <sheetFormatPr defaultRowHeight="15.75" x14ac:dyDescent="0.25"/>
  <cols>
    <col min="1" max="1" width="102.83203125" style="399" customWidth="1"/>
    <col min="2" max="2" width="26.83203125" style="399" bestFit="1" customWidth="1"/>
    <col min="3" max="3" width="28" style="399" bestFit="1" customWidth="1"/>
    <col min="4" max="5" width="21.6640625" style="399" bestFit="1" customWidth="1"/>
    <col min="6" max="14" width="20.83203125" style="399" customWidth="1"/>
    <col min="15" max="15" width="9.33203125" style="399"/>
    <col min="16" max="16" width="15.5" style="399" bestFit="1" customWidth="1"/>
    <col min="17" max="17" width="19" style="399" customWidth="1"/>
    <col min="18" max="16384" width="9.33203125" style="399"/>
  </cols>
  <sheetData>
    <row r="1" spans="1:17" ht="21" x14ac:dyDescent="0.35">
      <c r="A1" s="178" t="s">
        <v>652</v>
      </c>
      <c r="B1" s="614"/>
      <c r="C1" s="614"/>
      <c r="D1" s="614"/>
      <c r="E1" s="413"/>
      <c r="F1" s="614"/>
      <c r="G1" s="614"/>
      <c r="H1" s="614"/>
      <c r="I1" s="614"/>
      <c r="J1" s="614"/>
      <c r="K1" s="614"/>
      <c r="L1" s="614"/>
      <c r="M1" s="614"/>
      <c r="N1" s="614"/>
    </row>
    <row r="2" spans="1:17" x14ac:dyDescent="0.25">
      <c r="A2" s="990"/>
      <c r="B2" s="990"/>
    </row>
    <row r="3" spans="1:17" ht="16.5" thickBot="1" x14ac:dyDescent="0.3">
      <c r="N3" s="399" t="s">
        <v>373</v>
      </c>
    </row>
    <row r="4" spans="1:17" ht="20.100000000000001" customHeight="1" x14ac:dyDescent="0.25">
      <c r="A4" s="401" t="s">
        <v>246</v>
      </c>
      <c r="B4" s="402" t="s">
        <v>238</v>
      </c>
      <c r="C4" s="402" t="s">
        <v>182</v>
      </c>
      <c r="D4" s="402" t="s">
        <v>183</v>
      </c>
      <c r="E4" s="402" t="s">
        <v>184</v>
      </c>
      <c r="F4" s="402" t="s">
        <v>185</v>
      </c>
      <c r="G4" s="402" t="s">
        <v>187</v>
      </c>
      <c r="H4" s="402" t="s">
        <v>188</v>
      </c>
      <c r="I4" s="402" t="s">
        <v>189</v>
      </c>
      <c r="J4" s="402" t="s">
        <v>190</v>
      </c>
      <c r="K4" s="402" t="s">
        <v>232</v>
      </c>
      <c r="L4" s="402" t="s">
        <v>233</v>
      </c>
      <c r="M4" s="402" t="s">
        <v>234</v>
      </c>
      <c r="N4" s="402" t="s">
        <v>235</v>
      </c>
    </row>
    <row r="5" spans="1:17" ht="20.100000000000001" customHeight="1" x14ac:dyDescent="0.25">
      <c r="A5" s="403"/>
      <c r="B5" s="616"/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</row>
    <row r="6" spans="1:17" ht="67.5" customHeight="1" thickBot="1" x14ac:dyDescent="0.3">
      <c r="A6" s="404"/>
      <c r="B6" s="405" t="s">
        <v>247</v>
      </c>
      <c r="C6" s="405" t="s">
        <v>240</v>
      </c>
      <c r="D6" s="405" t="s">
        <v>240</v>
      </c>
      <c r="E6" s="405" t="s">
        <v>240</v>
      </c>
      <c r="F6" s="405" t="s">
        <v>240</v>
      </c>
      <c r="G6" s="405" t="s">
        <v>240</v>
      </c>
      <c r="H6" s="405" t="s">
        <v>240</v>
      </c>
      <c r="I6" s="405" t="s">
        <v>240</v>
      </c>
      <c r="J6" s="405" t="s">
        <v>240</v>
      </c>
      <c r="K6" s="405" t="s">
        <v>240</v>
      </c>
      <c r="L6" s="405" t="s">
        <v>240</v>
      </c>
      <c r="M6" s="405" t="s">
        <v>240</v>
      </c>
      <c r="N6" s="405" t="s">
        <v>240</v>
      </c>
    </row>
    <row r="7" spans="1:17" ht="24" customHeight="1" x14ac:dyDescent="0.3">
      <c r="A7" s="617" t="s">
        <v>248</v>
      </c>
      <c r="B7" s="618">
        <f>'1 kiemelt ei. '!N13</f>
        <v>33576543</v>
      </c>
      <c r="C7" s="618">
        <v>2457390</v>
      </c>
      <c r="D7" s="618">
        <v>2457390</v>
      </c>
      <c r="E7" s="618">
        <v>2457390</v>
      </c>
      <c r="F7" s="618">
        <v>2457390</v>
      </c>
      <c r="G7" s="618">
        <f>2457390+1568390</f>
        <v>4025780</v>
      </c>
      <c r="H7" s="618">
        <f>2457390+280000</f>
        <v>2737390</v>
      </c>
      <c r="I7" s="618">
        <f>2457390+280000</f>
        <v>2737390</v>
      </c>
      <c r="J7" s="618">
        <f>2457390+281786</f>
        <v>2739176</v>
      </c>
      <c r="K7" s="618">
        <v>2457390</v>
      </c>
      <c r="L7" s="618">
        <f>2457390+500000</f>
        <v>2957390</v>
      </c>
      <c r="M7" s="618">
        <f>2457390+500000</f>
        <v>2957390</v>
      </c>
      <c r="N7" s="618">
        <f>2457386-18411+696102</f>
        <v>3135077</v>
      </c>
      <c r="Q7" s="400"/>
    </row>
    <row r="8" spans="1:17" ht="24" customHeight="1" thickBot="1" x14ac:dyDescent="0.35">
      <c r="A8" s="625" t="s">
        <v>249</v>
      </c>
      <c r="B8" s="620">
        <f>'1 kiemelt ei. '!N17</f>
        <v>3594216</v>
      </c>
      <c r="C8" s="620"/>
      <c r="D8" s="620"/>
      <c r="E8" s="620">
        <v>15400</v>
      </c>
      <c r="F8" s="620"/>
      <c r="G8" s="620">
        <f>400000+1473211</f>
        <v>1873211</v>
      </c>
      <c r="H8" s="620"/>
      <c r="I8" s="620"/>
      <c r="J8" s="620">
        <v>600000</v>
      </c>
      <c r="K8" s="620">
        <f>840765-121323</f>
        <v>719442</v>
      </c>
      <c r="L8" s="620">
        <f>200000-120000</f>
        <v>80000</v>
      </c>
      <c r="M8" s="620">
        <f>200000-100000</f>
        <v>100000</v>
      </c>
      <c r="N8" s="620">
        <f>254074+18411-36322-30000</f>
        <v>206163</v>
      </c>
      <c r="Q8" s="400"/>
    </row>
    <row r="9" spans="1:17" s="407" customFormat="1" ht="24" customHeight="1" thickBot="1" x14ac:dyDescent="0.35">
      <c r="A9" s="409" t="s">
        <v>250</v>
      </c>
      <c r="B9" s="621">
        <f t="shared" ref="B9:N9" si="0">B7+B8</f>
        <v>37170759</v>
      </c>
      <c r="C9" s="621">
        <f t="shared" si="0"/>
        <v>2457390</v>
      </c>
      <c r="D9" s="621">
        <f t="shared" si="0"/>
        <v>2457390</v>
      </c>
      <c r="E9" s="621">
        <f t="shared" si="0"/>
        <v>2472790</v>
      </c>
      <c r="F9" s="621">
        <f t="shared" si="0"/>
        <v>2457390</v>
      </c>
      <c r="G9" s="621">
        <f t="shared" si="0"/>
        <v>5898991</v>
      </c>
      <c r="H9" s="621">
        <f t="shared" si="0"/>
        <v>2737390</v>
      </c>
      <c r="I9" s="621">
        <f t="shared" si="0"/>
        <v>2737390</v>
      </c>
      <c r="J9" s="621">
        <f t="shared" si="0"/>
        <v>3339176</v>
      </c>
      <c r="K9" s="621">
        <f>K7+K8</f>
        <v>3176832</v>
      </c>
      <c r="L9" s="621">
        <f t="shared" si="0"/>
        <v>3037390</v>
      </c>
      <c r="M9" s="621">
        <f t="shared" si="0"/>
        <v>3057390</v>
      </c>
      <c r="N9" s="621">
        <f t="shared" si="0"/>
        <v>3341240</v>
      </c>
    </row>
    <row r="10" spans="1:17" ht="49.5" customHeight="1" thickBot="1" x14ac:dyDescent="0.35">
      <c r="A10" s="626" t="s">
        <v>251</v>
      </c>
      <c r="B10" s="623">
        <f>'1 kiemelt ei. '!N19</f>
        <v>3163938</v>
      </c>
      <c r="C10" s="624">
        <f>10063+257261</f>
        <v>267324</v>
      </c>
      <c r="D10" s="624">
        <v>10063</v>
      </c>
      <c r="E10" s="624">
        <v>10063</v>
      </c>
      <c r="F10" s="624">
        <v>10063</v>
      </c>
      <c r="G10" s="624">
        <v>10063</v>
      </c>
      <c r="H10" s="624">
        <v>10063</v>
      </c>
      <c r="I10" s="624">
        <v>10063</v>
      </c>
      <c r="J10" s="624">
        <f>10063+4917</f>
        <v>14980</v>
      </c>
      <c r="K10" s="624">
        <v>10063</v>
      </c>
      <c r="L10" s="624">
        <v>10063</v>
      </c>
      <c r="M10" s="624">
        <v>10063</v>
      </c>
      <c r="N10" s="624">
        <f>10063+2781004</f>
        <v>2791067</v>
      </c>
    </row>
    <row r="11" spans="1:17" s="407" customFormat="1" ht="24" customHeight="1" thickBot="1" x14ac:dyDescent="0.35">
      <c r="A11" s="409" t="s">
        <v>252</v>
      </c>
      <c r="B11" s="621">
        <f>SUM(B9:B10)</f>
        <v>40334697</v>
      </c>
      <c r="C11" s="621">
        <f t="shared" ref="C11:N11" si="1">SUM(C9:C10)</f>
        <v>2724714</v>
      </c>
      <c r="D11" s="621">
        <f t="shared" si="1"/>
        <v>2467453</v>
      </c>
      <c r="E11" s="621">
        <f t="shared" si="1"/>
        <v>2482853</v>
      </c>
      <c r="F11" s="621">
        <f t="shared" si="1"/>
        <v>2467453</v>
      </c>
      <c r="G11" s="621">
        <f t="shared" si="1"/>
        <v>5909054</v>
      </c>
      <c r="H11" s="621">
        <f t="shared" si="1"/>
        <v>2747453</v>
      </c>
      <c r="I11" s="621">
        <f t="shared" si="1"/>
        <v>2747453</v>
      </c>
      <c r="J11" s="621">
        <f t="shared" si="1"/>
        <v>3354156</v>
      </c>
      <c r="K11" s="621">
        <f t="shared" si="1"/>
        <v>3186895</v>
      </c>
      <c r="L11" s="621">
        <f t="shared" si="1"/>
        <v>3047453</v>
      </c>
      <c r="M11" s="621">
        <f t="shared" si="1"/>
        <v>3067453</v>
      </c>
      <c r="N11" s="621">
        <f t="shared" si="1"/>
        <v>6132307</v>
      </c>
    </row>
    <row r="12" spans="1:17" ht="24" customHeight="1" thickBot="1" x14ac:dyDescent="0.3">
      <c r="B12" s="400">
        <f>B11-'2 mérleg'!K60</f>
        <v>0</v>
      </c>
    </row>
    <row r="13" spans="1:17" s="77" customFormat="1" ht="31.5" x14ac:dyDescent="0.25">
      <c r="A13" s="627" t="s">
        <v>170</v>
      </c>
      <c r="B13" s="628"/>
      <c r="C13" s="628" t="s">
        <v>253</v>
      </c>
      <c r="D13" s="628" t="s">
        <v>254</v>
      </c>
      <c r="E13" s="629" t="s">
        <v>255</v>
      </c>
      <c r="O13" s="78"/>
      <c r="P13" s="78"/>
      <c r="Q13" s="78"/>
    </row>
    <row r="14" spans="1:17" s="77" customFormat="1" ht="16.5" thickBot="1" x14ac:dyDescent="0.3">
      <c r="A14" s="85"/>
      <c r="B14" s="630"/>
      <c r="C14" s="631"/>
      <c r="D14" s="631"/>
      <c r="E14" s="632"/>
      <c r="F14" s="78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</row>
    <row r="15" spans="1:17" s="77" customFormat="1" ht="18.75" x14ac:dyDescent="0.3">
      <c r="A15" s="610" t="s">
        <v>256</v>
      </c>
      <c r="B15" s="633"/>
      <c r="C15" s="634">
        <f>'19 ei felh. terv bevétel'!C11</f>
        <v>5509052</v>
      </c>
      <c r="D15" s="634">
        <f>C11</f>
        <v>2724714</v>
      </c>
      <c r="E15" s="635">
        <f>+B15+C15-D15</f>
        <v>2784338</v>
      </c>
      <c r="F15" s="78"/>
      <c r="G15" s="78"/>
      <c r="H15" s="78"/>
      <c r="I15" s="78"/>
      <c r="J15" s="78"/>
      <c r="K15" s="78"/>
      <c r="L15" s="78"/>
      <c r="M15" s="78"/>
      <c r="O15" s="78"/>
      <c r="P15" s="78"/>
      <c r="Q15" s="78"/>
    </row>
    <row r="16" spans="1:17" s="77" customFormat="1" ht="18.75" x14ac:dyDescent="0.3">
      <c r="A16" s="636" t="s">
        <v>257</v>
      </c>
      <c r="B16" s="71"/>
      <c r="C16" s="634">
        <f>'19 ei felh. terv bevétel'!D11</f>
        <v>1038425</v>
      </c>
      <c r="D16" s="634">
        <f>D11</f>
        <v>2467453</v>
      </c>
      <c r="E16" s="637">
        <f t="shared" ref="E16:E26" si="2">+E15+C16-D16</f>
        <v>1355310</v>
      </c>
      <c r="F16" s="78"/>
      <c r="G16" s="78"/>
      <c r="H16" s="78"/>
      <c r="I16" s="78"/>
      <c r="J16" s="78"/>
      <c r="K16" s="78"/>
      <c r="L16" s="78"/>
      <c r="M16" s="78"/>
      <c r="O16" s="78"/>
      <c r="P16" s="78"/>
      <c r="Q16" s="78"/>
    </row>
    <row r="17" spans="1:17" s="77" customFormat="1" ht="18.75" x14ac:dyDescent="0.3">
      <c r="A17" s="636" t="s">
        <v>225</v>
      </c>
      <c r="B17" s="71"/>
      <c r="C17" s="634">
        <f>'19 ei felh. terv bevétel'!E11</f>
        <v>5821265</v>
      </c>
      <c r="D17" s="634">
        <f>E11</f>
        <v>2482853</v>
      </c>
      <c r="E17" s="637">
        <f t="shared" si="2"/>
        <v>4693722</v>
      </c>
      <c r="F17" s="78"/>
      <c r="G17" s="78"/>
      <c r="H17" s="78"/>
      <c r="I17" s="78"/>
      <c r="J17" s="78"/>
      <c r="K17" s="78"/>
      <c r="L17" s="78"/>
      <c r="M17" s="78"/>
      <c r="O17" s="78"/>
      <c r="P17" s="78"/>
      <c r="Q17" s="78"/>
    </row>
    <row r="18" spans="1:17" s="77" customFormat="1" ht="18.75" x14ac:dyDescent="0.3">
      <c r="A18" s="636" t="s">
        <v>226</v>
      </c>
      <c r="B18" s="71"/>
      <c r="C18" s="634">
        <f>'19 ei felh. terv bevétel'!F11</f>
        <v>1275639</v>
      </c>
      <c r="D18" s="634">
        <f>F11</f>
        <v>2467453</v>
      </c>
      <c r="E18" s="637">
        <f t="shared" si="2"/>
        <v>3501908</v>
      </c>
      <c r="F18" s="78"/>
      <c r="G18" s="78"/>
      <c r="H18" s="78"/>
      <c r="I18" s="78"/>
      <c r="J18" s="78"/>
      <c r="K18" s="78"/>
      <c r="L18" s="78"/>
      <c r="M18" s="78"/>
      <c r="O18" s="78"/>
      <c r="P18" s="78"/>
      <c r="Q18" s="78"/>
    </row>
    <row r="19" spans="1:17" s="77" customFormat="1" ht="18.75" x14ac:dyDescent="0.3">
      <c r="A19" s="636" t="s">
        <v>227</v>
      </c>
      <c r="B19" s="71"/>
      <c r="C19" s="634">
        <f>'19 ei felh. terv bevétel'!G11</f>
        <v>8042712</v>
      </c>
      <c r="D19" s="634">
        <f>G11</f>
        <v>5909054</v>
      </c>
      <c r="E19" s="637">
        <f t="shared" si="2"/>
        <v>5635566</v>
      </c>
      <c r="F19" s="78"/>
      <c r="G19" s="78"/>
      <c r="H19" s="78"/>
      <c r="I19" s="78"/>
      <c r="J19" s="78"/>
      <c r="K19" s="78"/>
      <c r="L19" s="78"/>
      <c r="M19" s="78"/>
      <c r="O19" s="78"/>
      <c r="P19" s="78"/>
      <c r="Q19" s="78"/>
    </row>
    <row r="20" spans="1:17" s="77" customFormat="1" ht="18.75" x14ac:dyDescent="0.3">
      <c r="A20" s="636" t="s">
        <v>258</v>
      </c>
      <c r="B20" s="71"/>
      <c r="C20" s="634">
        <f>'19 ei felh. terv bevétel'!H11</f>
        <v>2124356</v>
      </c>
      <c r="D20" s="634">
        <f>H11</f>
        <v>2747453</v>
      </c>
      <c r="E20" s="637">
        <f t="shared" si="2"/>
        <v>5012469</v>
      </c>
      <c r="F20" s="78"/>
      <c r="G20" s="78"/>
      <c r="H20" s="78"/>
      <c r="I20" s="78"/>
      <c r="J20" s="78"/>
      <c r="K20" s="78"/>
      <c r="L20" s="78"/>
      <c r="M20" s="78"/>
      <c r="O20" s="78"/>
      <c r="P20" s="78"/>
      <c r="Q20" s="78"/>
    </row>
    <row r="21" spans="1:17" s="77" customFormat="1" ht="18.75" x14ac:dyDescent="0.3">
      <c r="A21" s="636" t="s">
        <v>259</v>
      </c>
      <c r="B21" s="71"/>
      <c r="C21" s="634">
        <f>'19 ei felh. terv bevétel'!I11</f>
        <v>1438425</v>
      </c>
      <c r="D21" s="634">
        <f>I11</f>
        <v>2747453</v>
      </c>
      <c r="E21" s="637">
        <f t="shared" si="2"/>
        <v>3703441</v>
      </c>
      <c r="F21" s="78"/>
      <c r="G21" s="78"/>
      <c r="H21" s="78"/>
      <c r="I21" s="78"/>
      <c r="J21" s="78"/>
      <c r="K21" s="78"/>
      <c r="L21" s="78"/>
      <c r="M21" s="78"/>
      <c r="O21" s="78"/>
      <c r="P21" s="78"/>
      <c r="Q21" s="78"/>
    </row>
    <row r="22" spans="1:17" s="77" customFormat="1" ht="18.75" x14ac:dyDescent="0.3">
      <c r="A22" s="636" t="s">
        <v>260</v>
      </c>
      <c r="B22" s="71"/>
      <c r="C22" s="634">
        <f>'19 ei felh. terv bevétel'!J11</f>
        <v>1466447</v>
      </c>
      <c r="D22" s="634">
        <f>J11</f>
        <v>3354156</v>
      </c>
      <c r="E22" s="637">
        <f t="shared" si="2"/>
        <v>1815732</v>
      </c>
      <c r="F22" s="78"/>
      <c r="G22" s="78"/>
      <c r="H22" s="78"/>
      <c r="I22" s="78"/>
      <c r="J22" s="78"/>
      <c r="K22" s="78"/>
      <c r="L22" s="78"/>
      <c r="M22" s="78"/>
      <c r="O22" s="78"/>
      <c r="P22" s="78"/>
      <c r="Q22" s="78"/>
    </row>
    <row r="23" spans="1:17" s="77" customFormat="1" ht="18.75" x14ac:dyDescent="0.3">
      <c r="A23" s="636" t="s">
        <v>228</v>
      </c>
      <c r="B23" s="71"/>
      <c r="C23" s="634">
        <f>'19 ei felh. terv bevétel'!K11</f>
        <v>5841425</v>
      </c>
      <c r="D23" s="634">
        <f>K11</f>
        <v>3186895</v>
      </c>
      <c r="E23" s="637">
        <f t="shared" si="2"/>
        <v>4470262</v>
      </c>
      <c r="F23" s="78"/>
      <c r="G23" s="78"/>
      <c r="H23" s="78"/>
      <c r="I23" s="78"/>
      <c r="J23" s="78"/>
      <c r="K23" s="78"/>
      <c r="L23" s="78"/>
      <c r="M23" s="78"/>
      <c r="O23" s="78"/>
      <c r="P23" s="78"/>
      <c r="Q23" s="78"/>
    </row>
    <row r="24" spans="1:17" s="77" customFormat="1" ht="18.75" x14ac:dyDescent="0.3">
      <c r="A24" s="636" t="s">
        <v>230</v>
      </c>
      <c r="B24" s="71"/>
      <c r="C24" s="634">
        <f>'19 ei felh. terv bevétel'!L11</f>
        <v>1175425</v>
      </c>
      <c r="D24" s="634">
        <f>L11</f>
        <v>3047453</v>
      </c>
      <c r="E24" s="637">
        <f t="shared" si="2"/>
        <v>2598234</v>
      </c>
      <c r="F24" s="78"/>
      <c r="G24" s="78"/>
      <c r="H24" s="78"/>
      <c r="I24" s="78"/>
      <c r="J24" s="78"/>
      <c r="K24" s="78"/>
      <c r="L24" s="78"/>
      <c r="M24" s="78"/>
      <c r="O24" s="78"/>
      <c r="P24" s="78"/>
      <c r="Q24" s="78"/>
    </row>
    <row r="25" spans="1:17" s="77" customFormat="1" ht="18.75" x14ac:dyDescent="0.3">
      <c r="A25" s="636" t="s">
        <v>261</v>
      </c>
      <c r="B25" s="71"/>
      <c r="C25" s="634">
        <f>'19 ei felh. terv bevétel'!M11</f>
        <v>1186675</v>
      </c>
      <c r="D25" s="634">
        <f>M11</f>
        <v>3067453</v>
      </c>
      <c r="E25" s="637">
        <f t="shared" si="2"/>
        <v>717456</v>
      </c>
      <c r="F25" s="78"/>
      <c r="G25" s="78"/>
      <c r="H25" s="78"/>
      <c r="I25" s="78"/>
      <c r="J25" s="78"/>
      <c r="K25" s="78"/>
      <c r="L25" s="78"/>
      <c r="M25" s="78"/>
      <c r="O25" s="78"/>
      <c r="P25" s="78"/>
      <c r="Q25" s="78"/>
    </row>
    <row r="26" spans="1:17" s="77" customFormat="1" ht="19.5" thickBot="1" x14ac:dyDescent="0.35">
      <c r="A26" s="638" t="s">
        <v>262</v>
      </c>
      <c r="B26" s="639"/>
      <c r="C26" s="640">
        <f>'19 ei felh. terv bevétel'!N11</f>
        <v>5414851</v>
      </c>
      <c r="D26" s="640">
        <f>N11</f>
        <v>6132307</v>
      </c>
      <c r="E26" s="637">
        <f t="shared" si="2"/>
        <v>0</v>
      </c>
      <c r="F26" s="78"/>
      <c r="G26" s="78"/>
      <c r="H26" s="78"/>
      <c r="I26" s="78"/>
      <c r="J26" s="78"/>
      <c r="K26" s="78"/>
      <c r="L26" s="78"/>
      <c r="M26" s="78"/>
      <c r="O26" s="78"/>
      <c r="P26" s="78"/>
      <c r="Q26" s="78"/>
    </row>
    <row r="27" spans="1:17" s="77" customFormat="1" ht="19.5" thickBot="1" x14ac:dyDescent="0.35">
      <c r="A27" s="68" t="s">
        <v>203</v>
      </c>
      <c r="B27" s="641"/>
      <c r="C27" s="642">
        <f>SUM(C15:C26)</f>
        <v>40334697</v>
      </c>
      <c r="D27" s="642">
        <f>SUM(D15:D26)</f>
        <v>40334697</v>
      </c>
      <c r="E27" s="643">
        <f>+C27-D27</f>
        <v>0</v>
      </c>
      <c r="G27" s="78"/>
      <c r="H27" s="78"/>
      <c r="I27" s="78"/>
      <c r="J27" s="78"/>
      <c r="K27" s="78"/>
      <c r="L27" s="78"/>
      <c r="M27" s="78"/>
      <c r="O27" s="78"/>
      <c r="P27" s="78"/>
      <c r="Q27" s="78"/>
    </row>
    <row r="30" spans="1:17" x14ac:dyDescent="0.25">
      <c r="B30" s="400"/>
      <c r="C30" s="416"/>
      <c r="D30" s="416"/>
      <c r="E30" s="416"/>
      <c r="F30" s="416"/>
      <c r="G30" s="416"/>
      <c r="H30" s="416"/>
      <c r="I30" s="416"/>
      <c r="J30" s="416"/>
      <c r="K30" s="416"/>
      <c r="L30" s="416"/>
      <c r="M30" s="416"/>
      <c r="N30" s="416"/>
    </row>
    <row r="31" spans="1:17" x14ac:dyDescent="0.25"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43" orientation="landscape" r:id="rId1"/>
  <headerFooter alignWithMargins="0">
    <oddHeader xml:space="preserve">&amp;R&amp;"Times New Roman CE,Félkövér"&amp;12
19. melléklet az    1/2025.(I.31.) önkormányzati rendelethez
"19. melléklet a 8/2024.(III.5.) önkormányzati rendelethez"
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1"/>
  <dimension ref="A1:H135"/>
  <sheetViews>
    <sheetView zoomScale="91" zoomScaleNormal="91" workbookViewId="0">
      <selection activeCell="H59" sqref="H59"/>
    </sheetView>
  </sheetViews>
  <sheetFormatPr defaultRowHeight="21" customHeight="1" x14ac:dyDescent="0.25"/>
  <cols>
    <col min="1" max="1" width="5" style="77" customWidth="1"/>
    <col min="2" max="4" width="2.33203125" style="77" customWidth="1"/>
    <col min="5" max="5" width="182" style="77" customWidth="1"/>
    <col min="6" max="6" width="29.5" style="77" bestFit="1" customWidth="1"/>
    <col min="7" max="7" width="39.1640625" style="77" customWidth="1"/>
    <col min="8" max="8" width="38.1640625" style="78" bestFit="1" customWidth="1"/>
    <col min="9" max="16384" width="9.33203125" style="77"/>
  </cols>
  <sheetData>
    <row r="1" spans="1:8" ht="21" customHeight="1" x14ac:dyDescent="0.25">
      <c r="A1" s="922"/>
      <c r="B1" s="922"/>
      <c r="C1" s="922"/>
      <c r="D1" s="922"/>
      <c r="E1" s="922"/>
      <c r="F1" s="75"/>
      <c r="G1" s="75"/>
      <c r="H1" s="76"/>
    </row>
    <row r="2" spans="1:8" ht="21" customHeight="1" x14ac:dyDescent="0.35">
      <c r="A2" s="923" t="s">
        <v>113</v>
      </c>
      <c r="B2" s="923"/>
      <c r="C2" s="923"/>
      <c r="D2" s="923"/>
      <c r="E2" s="923"/>
      <c r="F2" s="923"/>
      <c r="G2" s="923"/>
      <c r="H2" s="923"/>
    </row>
    <row r="3" spans="1:8" ht="21" customHeight="1" x14ac:dyDescent="0.25">
      <c r="A3" s="75"/>
      <c r="B3" s="75"/>
      <c r="C3" s="75"/>
      <c r="D3" s="75"/>
      <c r="E3" s="75"/>
      <c r="F3" s="75"/>
      <c r="G3" s="75"/>
      <c r="H3" s="76"/>
    </row>
    <row r="4" spans="1:8" ht="21" customHeight="1" thickBot="1" x14ac:dyDescent="0.35">
      <c r="B4" s="79"/>
      <c r="C4" s="79"/>
      <c r="D4" s="79"/>
      <c r="E4" s="80"/>
      <c r="F4" s="81"/>
      <c r="H4" s="16" t="s">
        <v>224</v>
      </c>
    </row>
    <row r="5" spans="1:8" ht="21" customHeight="1" x14ac:dyDescent="0.25">
      <c r="A5" s="82"/>
      <c r="B5" s="83"/>
      <c r="C5" s="83"/>
      <c r="D5" s="83"/>
      <c r="E5" s="84" t="s">
        <v>170</v>
      </c>
      <c r="F5" s="19" t="s">
        <v>614</v>
      </c>
      <c r="G5" s="19" t="s">
        <v>557</v>
      </c>
      <c r="H5" s="19" t="s">
        <v>651</v>
      </c>
    </row>
    <row r="6" spans="1:8" ht="21" customHeight="1" thickBot="1" x14ac:dyDescent="0.3">
      <c r="A6" s="85"/>
      <c r="B6" s="86"/>
      <c r="C6" s="86"/>
      <c r="D6" s="86"/>
      <c r="E6" s="87"/>
      <c r="F6" s="23" t="s">
        <v>372</v>
      </c>
      <c r="G6" s="23" t="s">
        <v>558</v>
      </c>
      <c r="H6" s="23" t="s">
        <v>372</v>
      </c>
    </row>
    <row r="7" spans="1:8" ht="21" customHeight="1" x14ac:dyDescent="0.35">
      <c r="A7" s="89" t="s">
        <v>107</v>
      </c>
      <c r="B7" s="50"/>
      <c r="C7" s="50"/>
      <c r="D7" s="50"/>
      <c r="E7" s="50"/>
      <c r="F7" s="90"/>
      <c r="G7" s="90"/>
      <c r="H7" s="90"/>
    </row>
    <row r="8" spans="1:8" s="93" customFormat="1" ht="21" customHeight="1" x14ac:dyDescent="0.35">
      <c r="A8" s="4"/>
      <c r="B8" s="6" t="s">
        <v>290</v>
      </c>
      <c r="C8" s="6"/>
      <c r="D8" s="6"/>
      <c r="E8" s="91"/>
      <c r="F8" s="92">
        <v>1738126</v>
      </c>
      <c r="G8" s="92"/>
      <c r="H8" s="92">
        <f>SUM(F8:G8)</f>
        <v>1738126</v>
      </c>
    </row>
    <row r="9" spans="1:8" s="93" customFormat="1" ht="21" customHeight="1" x14ac:dyDescent="0.35">
      <c r="A9" s="4"/>
      <c r="B9" s="6"/>
      <c r="C9" s="6"/>
      <c r="D9" s="6"/>
      <c r="E9" s="94"/>
      <c r="F9" s="95"/>
      <c r="G9" s="95"/>
      <c r="H9" s="95"/>
    </row>
    <row r="10" spans="1:8" s="93" customFormat="1" ht="24.75" customHeight="1" x14ac:dyDescent="0.35">
      <c r="A10" s="4"/>
      <c r="B10" s="96" t="s">
        <v>292</v>
      </c>
      <c r="C10" s="96"/>
      <c r="D10" s="96"/>
      <c r="E10" s="97"/>
      <c r="F10" s="98">
        <v>2945488</v>
      </c>
      <c r="G10" s="98">
        <f>15640-9389</f>
        <v>6251</v>
      </c>
      <c r="H10" s="98">
        <f>SUM(F10:G10)</f>
        <v>2951739</v>
      </c>
    </row>
    <row r="11" spans="1:8" s="93" customFormat="1" ht="24.75" customHeight="1" x14ac:dyDescent="0.35">
      <c r="A11" s="4"/>
      <c r="B11" s="5"/>
      <c r="C11" s="5"/>
      <c r="D11" s="5"/>
      <c r="E11" s="99"/>
      <c r="F11" s="92"/>
      <c r="G11" s="92"/>
      <c r="H11" s="92"/>
    </row>
    <row r="12" spans="1:8" s="93" customFormat="1" ht="21" customHeight="1" x14ac:dyDescent="0.35">
      <c r="A12" s="4"/>
      <c r="B12" s="6" t="s">
        <v>424</v>
      </c>
      <c r="C12" s="6"/>
      <c r="D12" s="6"/>
      <c r="E12" s="100" t="s">
        <v>436</v>
      </c>
      <c r="F12" s="98">
        <v>1841900</v>
      </c>
      <c r="G12" s="98">
        <f>45711-28215</f>
        <v>17496</v>
      </c>
      <c r="H12" s="98">
        <f>SUM(F12:G12)</f>
        <v>1859396</v>
      </c>
    </row>
    <row r="13" spans="1:8" s="93" customFormat="1" x14ac:dyDescent="0.35">
      <c r="A13" s="4"/>
      <c r="C13" s="6"/>
      <c r="F13" s="92"/>
      <c r="G13" s="92"/>
      <c r="H13" s="92"/>
    </row>
    <row r="14" spans="1:8" s="93" customFormat="1" ht="21" customHeight="1" x14ac:dyDescent="0.35">
      <c r="A14" s="4"/>
      <c r="B14" s="101" t="s">
        <v>425</v>
      </c>
      <c r="C14" s="101"/>
      <c r="D14" s="101"/>
      <c r="E14" s="102" t="s">
        <v>426</v>
      </c>
      <c r="F14" s="103">
        <v>729940</v>
      </c>
      <c r="G14" s="103">
        <f>75640+13870</f>
        <v>89510</v>
      </c>
      <c r="H14" s="103">
        <f>SUM(F14:G14)</f>
        <v>819450</v>
      </c>
    </row>
    <row r="15" spans="1:8" s="93" customFormat="1" ht="21" customHeight="1" x14ac:dyDescent="0.35">
      <c r="A15" s="4"/>
      <c r="B15" s="101" t="s">
        <v>427</v>
      </c>
      <c r="C15" s="101"/>
      <c r="D15" s="101"/>
      <c r="E15" s="102"/>
      <c r="F15" s="103">
        <v>214650</v>
      </c>
      <c r="G15" s="103">
        <f>SUM(G16:G17)</f>
        <v>1</v>
      </c>
      <c r="H15" s="103">
        <f>SUM(H16:H17)</f>
        <v>214651</v>
      </c>
    </row>
    <row r="16" spans="1:8" s="93" customFormat="1" ht="21" customHeight="1" x14ac:dyDescent="0.35">
      <c r="A16" s="4"/>
      <c r="B16" s="8"/>
      <c r="C16" s="31" t="s">
        <v>222</v>
      </c>
      <c r="D16" s="31"/>
      <c r="E16" s="104"/>
      <c r="F16" s="105">
        <v>71937</v>
      </c>
      <c r="G16" s="105"/>
      <c r="H16" s="105">
        <f>SUM(F16:G16)</f>
        <v>71937</v>
      </c>
    </row>
    <row r="17" spans="1:8" s="93" customFormat="1" ht="21" customHeight="1" x14ac:dyDescent="0.35">
      <c r="A17" s="4"/>
      <c r="B17" s="106"/>
      <c r="C17" s="107" t="s">
        <v>223</v>
      </c>
      <c r="D17" s="107"/>
      <c r="E17" s="108"/>
      <c r="F17" s="105">
        <v>142713</v>
      </c>
      <c r="G17" s="105">
        <v>1</v>
      </c>
      <c r="H17" s="105">
        <f>SUM(F17:G17)</f>
        <v>142714</v>
      </c>
    </row>
    <row r="18" spans="1:8" s="93" customFormat="1" ht="21" customHeight="1" x14ac:dyDescent="0.35">
      <c r="A18" s="4"/>
      <c r="B18" s="101" t="s">
        <v>428</v>
      </c>
      <c r="C18" s="101"/>
      <c r="D18" s="101"/>
      <c r="E18" s="102"/>
      <c r="F18" s="103">
        <f>F8+F10+F12+F14+F15</f>
        <v>7470104</v>
      </c>
      <c r="G18" s="103">
        <f>G8+G10+G12+G14+G15</f>
        <v>113258</v>
      </c>
      <c r="H18" s="103">
        <f>H8+H10+H12+H14+H15</f>
        <v>7583362</v>
      </c>
    </row>
    <row r="19" spans="1:8" s="93" customFormat="1" ht="21" customHeight="1" x14ac:dyDescent="0.35">
      <c r="A19" s="4"/>
      <c r="B19" s="6" t="s">
        <v>433</v>
      </c>
      <c r="C19" s="94"/>
      <c r="D19" s="6"/>
      <c r="E19" s="6"/>
      <c r="F19" s="98"/>
      <c r="G19" s="98"/>
      <c r="H19" s="98"/>
    </row>
    <row r="20" spans="1:8" s="93" customFormat="1" ht="21" customHeight="1" x14ac:dyDescent="0.35">
      <c r="A20" s="7"/>
      <c r="B20" s="8"/>
      <c r="C20" s="34" t="s">
        <v>437</v>
      </c>
      <c r="D20" s="34"/>
      <c r="E20" s="109"/>
      <c r="F20" s="105">
        <v>179304</v>
      </c>
      <c r="G20" s="105">
        <v>60862</v>
      </c>
      <c r="H20" s="105">
        <f>SUM(F20:G20)</f>
        <v>240166</v>
      </c>
    </row>
    <row r="21" spans="1:8" s="93" customFormat="1" ht="21" customHeight="1" x14ac:dyDescent="0.35">
      <c r="A21" s="7"/>
      <c r="B21" s="8"/>
      <c r="C21" s="8" t="s">
        <v>665</v>
      </c>
      <c r="D21" s="8"/>
      <c r="E21" s="644"/>
      <c r="F21" s="113"/>
      <c r="G21" s="113">
        <v>5712</v>
      </c>
      <c r="H21" s="105">
        <f>SUM(F21:G21)</f>
        <v>5712</v>
      </c>
    </row>
    <row r="22" spans="1:8" s="93" customFormat="1" ht="21" customHeight="1" x14ac:dyDescent="0.35">
      <c r="A22" s="4"/>
      <c r="B22" s="101"/>
      <c r="C22" s="101" t="s">
        <v>431</v>
      </c>
      <c r="D22" s="101"/>
      <c r="E22" s="545"/>
      <c r="F22" s="115">
        <f>SUM(F20:F21)</f>
        <v>179304</v>
      </c>
      <c r="G22" s="115">
        <f t="shared" ref="G22:H22" si="0">SUM(G20:G21)</f>
        <v>66574</v>
      </c>
      <c r="H22" s="115">
        <f t="shared" si="0"/>
        <v>245878</v>
      </c>
    </row>
    <row r="23" spans="1:8" s="93" customFormat="1" ht="21" customHeight="1" x14ac:dyDescent="0.35">
      <c r="A23" s="4"/>
      <c r="B23" s="96" t="s">
        <v>435</v>
      </c>
      <c r="C23" s="96"/>
      <c r="D23" s="96"/>
      <c r="E23" s="111"/>
      <c r="F23" s="112"/>
      <c r="G23" s="112"/>
      <c r="H23" s="112"/>
    </row>
    <row r="24" spans="1:8" s="93" customFormat="1" ht="21" customHeight="1" x14ac:dyDescent="0.35">
      <c r="A24" s="4"/>
      <c r="B24" s="8"/>
      <c r="C24" s="31" t="s">
        <v>221</v>
      </c>
      <c r="D24" s="31"/>
      <c r="E24" s="104"/>
      <c r="F24" s="105">
        <v>230670</v>
      </c>
      <c r="G24" s="105"/>
      <c r="H24" s="105">
        <f>SUM(F24:G24)</f>
        <v>230670</v>
      </c>
    </row>
    <row r="25" spans="1:8" s="93" customFormat="1" ht="21" customHeight="1" x14ac:dyDescent="0.35">
      <c r="A25" s="4"/>
      <c r="B25" s="8"/>
      <c r="C25" s="31" t="s">
        <v>429</v>
      </c>
      <c r="D25" s="31"/>
      <c r="E25" s="104"/>
      <c r="F25" s="105">
        <v>188000</v>
      </c>
      <c r="G25" s="105"/>
      <c r="H25" s="110">
        <f>SUM(F25:G25)</f>
        <v>188000</v>
      </c>
    </row>
    <row r="26" spans="1:8" ht="21" customHeight="1" x14ac:dyDescent="0.35">
      <c r="A26" s="7"/>
      <c r="B26" s="8"/>
      <c r="C26" s="34" t="s">
        <v>430</v>
      </c>
      <c r="D26" s="34"/>
      <c r="E26" s="109"/>
      <c r="F26" s="105">
        <v>318266</v>
      </c>
      <c r="G26" s="110"/>
      <c r="H26" s="105">
        <f>SUM(F26:G26)</f>
        <v>318266</v>
      </c>
    </row>
    <row r="27" spans="1:8" ht="21" customHeight="1" x14ac:dyDescent="0.35">
      <c r="A27" s="7"/>
      <c r="B27" s="8"/>
      <c r="C27" s="34" t="s">
        <v>584</v>
      </c>
      <c r="D27" s="34"/>
      <c r="E27" s="109"/>
      <c r="F27" s="105">
        <v>116318</v>
      </c>
      <c r="G27" s="110"/>
      <c r="H27" s="105">
        <f>SUM(F27:G27)</f>
        <v>116318</v>
      </c>
    </row>
    <row r="28" spans="1:8" ht="38.25" x14ac:dyDescent="0.35">
      <c r="A28" s="7"/>
      <c r="B28" s="8"/>
      <c r="C28" s="34"/>
      <c r="D28" s="34"/>
      <c r="E28" s="383" t="s">
        <v>585</v>
      </c>
      <c r="F28" s="105">
        <v>41020</v>
      </c>
      <c r="G28" s="110"/>
      <c r="H28" s="105">
        <f>SUM(F28:G28)</f>
        <v>41020</v>
      </c>
    </row>
    <row r="29" spans="1:8" s="93" customFormat="1" ht="21" customHeight="1" x14ac:dyDescent="0.35">
      <c r="A29" s="4"/>
      <c r="B29" s="101" t="s">
        <v>434</v>
      </c>
      <c r="C29" s="101"/>
      <c r="D29" s="101"/>
      <c r="E29" s="545"/>
      <c r="F29" s="115">
        <f>SUM(F24:F28)</f>
        <v>894274</v>
      </c>
      <c r="G29" s="115">
        <f>SUM(G24:G28)</f>
        <v>0</v>
      </c>
      <c r="H29" s="115">
        <f>SUM(H24:H28)</f>
        <v>894274</v>
      </c>
    </row>
    <row r="30" spans="1:8" s="93" customFormat="1" ht="21" customHeight="1" x14ac:dyDescent="0.35">
      <c r="A30" s="4"/>
      <c r="B30" s="96" t="s">
        <v>54</v>
      </c>
      <c r="C30" s="96"/>
      <c r="D30" s="96"/>
      <c r="E30" s="97"/>
      <c r="F30" s="112"/>
      <c r="G30" s="112"/>
      <c r="H30" s="112"/>
    </row>
    <row r="31" spans="1:8" s="93" customFormat="1" ht="42" customHeight="1" x14ac:dyDescent="0.35">
      <c r="A31" s="1"/>
      <c r="B31" s="2"/>
      <c r="C31" s="3"/>
      <c r="D31" s="3"/>
      <c r="E31" s="116" t="s">
        <v>463</v>
      </c>
      <c r="F31" s="32">
        <v>11715</v>
      </c>
      <c r="G31" s="32">
        <v>2840</v>
      </c>
      <c r="H31" s="32">
        <f>SUM(F31:G31)</f>
        <v>14555</v>
      </c>
    </row>
    <row r="32" spans="1:8" s="93" customFormat="1" x14ac:dyDescent="0.35">
      <c r="A32" s="1"/>
      <c r="B32" s="2"/>
      <c r="C32" s="2"/>
      <c r="D32" s="2"/>
      <c r="E32" s="116" t="s">
        <v>622</v>
      </c>
      <c r="F32" s="37">
        <v>63915</v>
      </c>
      <c r="G32" s="37"/>
      <c r="H32" s="32">
        <f>SUM(F32:G32)</f>
        <v>63915</v>
      </c>
    </row>
    <row r="33" spans="1:8" s="93" customFormat="1" ht="21" customHeight="1" x14ac:dyDescent="0.35">
      <c r="A33" s="4"/>
      <c r="B33" s="117" t="s">
        <v>280</v>
      </c>
      <c r="C33" s="101"/>
      <c r="D33" s="101"/>
      <c r="E33" s="114"/>
      <c r="F33" s="115">
        <f>SUM(F31:F32)</f>
        <v>75630</v>
      </c>
      <c r="G33" s="115">
        <f>SUM(G31:G32)</f>
        <v>2840</v>
      </c>
      <c r="H33" s="115">
        <f>SUM(H31:H32)</f>
        <v>78470</v>
      </c>
    </row>
    <row r="34" spans="1:8" s="93" customFormat="1" ht="21" customHeight="1" x14ac:dyDescent="0.35">
      <c r="A34" s="544" t="s">
        <v>369</v>
      </c>
      <c r="B34" s="6"/>
      <c r="C34" s="96"/>
      <c r="D34" s="96"/>
      <c r="E34" s="97"/>
      <c r="F34" s="112">
        <f>F18+F22+F29+F33</f>
        <v>8619312</v>
      </c>
      <c r="G34" s="112">
        <f>G18+G22+G29+G33</f>
        <v>182672</v>
      </c>
      <c r="H34" s="112">
        <f>H18+H22+H29+H33</f>
        <v>8801984</v>
      </c>
    </row>
    <row r="35" spans="1:8" ht="21" customHeight="1" x14ac:dyDescent="0.35">
      <c r="A35" s="4"/>
      <c r="B35" s="96" t="s">
        <v>282</v>
      </c>
      <c r="C35" s="96"/>
      <c r="D35" s="96"/>
      <c r="E35" s="97"/>
      <c r="F35" s="118"/>
      <c r="G35" s="118"/>
      <c r="H35" s="118"/>
    </row>
    <row r="36" spans="1:8" ht="21" customHeight="1" x14ac:dyDescent="0.35">
      <c r="A36" s="7"/>
      <c r="B36" s="8"/>
      <c r="C36" s="14" t="s">
        <v>492</v>
      </c>
      <c r="D36" s="14"/>
      <c r="E36" s="119"/>
      <c r="F36" s="37">
        <v>18798</v>
      </c>
      <c r="G36" s="37">
        <v>-1</v>
      </c>
      <c r="H36" s="105">
        <f>SUM(F36:G36)</f>
        <v>18797</v>
      </c>
    </row>
    <row r="37" spans="1:8" ht="21" customHeight="1" thickBot="1" x14ac:dyDescent="0.4">
      <c r="A37" s="4"/>
      <c r="B37" s="120" t="s">
        <v>281</v>
      </c>
      <c r="C37" s="120"/>
      <c r="D37" s="120"/>
      <c r="E37" s="121"/>
      <c r="F37" s="122">
        <f>SUM(F36)</f>
        <v>18798</v>
      </c>
      <c r="G37" s="122">
        <f>SUM(G36)</f>
        <v>-1</v>
      </c>
      <c r="H37" s="122">
        <f>SUM(H36)</f>
        <v>18797</v>
      </c>
    </row>
    <row r="38" spans="1:8" ht="21" customHeight="1" thickBot="1" x14ac:dyDescent="0.4">
      <c r="A38" s="89" t="s">
        <v>283</v>
      </c>
      <c r="B38" s="123" t="s">
        <v>25</v>
      </c>
      <c r="C38" s="124"/>
      <c r="D38" s="124"/>
      <c r="E38" s="124"/>
      <c r="F38" s="125">
        <f>F34+F37</f>
        <v>8638110</v>
      </c>
      <c r="G38" s="125">
        <f>G34+G37</f>
        <v>182671</v>
      </c>
      <c r="H38" s="125">
        <f>H34+H37</f>
        <v>8820781</v>
      </c>
    </row>
    <row r="39" spans="1:8" ht="21" customHeight="1" thickBot="1" x14ac:dyDescent="0.4">
      <c r="A39" s="89"/>
      <c r="B39" s="123"/>
      <c r="C39" s="69" t="s">
        <v>279</v>
      </c>
      <c r="D39" s="124"/>
      <c r="E39" s="124"/>
      <c r="F39" s="125"/>
      <c r="G39" s="125"/>
      <c r="H39" s="125">
        <f>SUM(F39:G39)</f>
        <v>0</v>
      </c>
    </row>
    <row r="40" spans="1:8" ht="21" customHeight="1" thickBot="1" x14ac:dyDescent="0.4">
      <c r="A40" s="89" t="s">
        <v>284</v>
      </c>
      <c r="B40" s="55" t="s">
        <v>48</v>
      </c>
      <c r="C40" s="126"/>
      <c r="D40" s="126"/>
      <c r="E40" s="126"/>
      <c r="F40" s="46">
        <f>F39</f>
        <v>0</v>
      </c>
      <c r="G40" s="46">
        <f>G39</f>
        <v>0</v>
      </c>
      <c r="H40" s="46">
        <v>0</v>
      </c>
    </row>
    <row r="41" spans="1:8" x14ac:dyDescent="0.35">
      <c r="A41" s="7"/>
      <c r="B41" s="8"/>
      <c r="C41" s="31" t="s">
        <v>399</v>
      </c>
      <c r="D41" s="34"/>
      <c r="E41" s="109"/>
      <c r="F41" s="32">
        <v>302075</v>
      </c>
      <c r="G41" s="32"/>
      <c r="H41" s="32">
        <f t="shared" ref="H41:H48" si="1">SUM(F41:G41)</f>
        <v>302075</v>
      </c>
    </row>
    <row r="42" spans="1:8" x14ac:dyDescent="0.35">
      <c r="A42" s="7"/>
      <c r="B42" s="8"/>
      <c r="C42" s="31" t="s">
        <v>400</v>
      </c>
      <c r="D42" s="34"/>
      <c r="E42" s="109"/>
      <c r="F42" s="35">
        <v>53000</v>
      </c>
      <c r="G42" s="35"/>
      <c r="H42" s="35">
        <f t="shared" si="1"/>
        <v>53000</v>
      </c>
    </row>
    <row r="43" spans="1:8" x14ac:dyDescent="0.35">
      <c r="A43" s="7"/>
      <c r="B43" s="6"/>
      <c r="C43" s="31" t="s">
        <v>414</v>
      </c>
      <c r="D43" s="127"/>
      <c r="E43" s="31"/>
      <c r="F43" s="32">
        <v>9326</v>
      </c>
      <c r="G43" s="32">
        <v>4580</v>
      </c>
      <c r="H43" s="32">
        <f t="shared" si="1"/>
        <v>13906</v>
      </c>
    </row>
    <row r="44" spans="1:8" x14ac:dyDescent="0.35">
      <c r="A44" s="7"/>
      <c r="B44" s="6"/>
      <c r="C44" s="31" t="s">
        <v>611</v>
      </c>
      <c r="D44" s="127"/>
      <c r="E44" s="31"/>
      <c r="F44" s="32">
        <v>23860</v>
      </c>
      <c r="G44" s="32"/>
      <c r="H44" s="32">
        <f t="shared" si="1"/>
        <v>23860</v>
      </c>
    </row>
    <row r="45" spans="1:8" x14ac:dyDescent="0.35">
      <c r="A45" s="7"/>
      <c r="B45" s="6"/>
      <c r="C45" s="31" t="s">
        <v>623</v>
      </c>
      <c r="D45" s="127"/>
      <c r="E45" s="31"/>
      <c r="F45" s="32">
        <v>2000</v>
      </c>
      <c r="G45" s="32"/>
      <c r="H45" s="32">
        <f t="shared" si="1"/>
        <v>2000</v>
      </c>
    </row>
    <row r="46" spans="1:8" x14ac:dyDescent="0.35">
      <c r="A46" s="7"/>
      <c r="B46" s="6"/>
      <c r="C46" s="31" t="s">
        <v>661</v>
      </c>
      <c r="D46" s="127"/>
      <c r="E46" s="31"/>
      <c r="F46" s="32"/>
      <c r="G46" s="32">
        <v>1676</v>
      </c>
      <c r="H46" s="32">
        <f t="shared" si="1"/>
        <v>1676</v>
      </c>
    </row>
    <row r="47" spans="1:8" x14ac:dyDescent="0.35">
      <c r="A47" s="7"/>
      <c r="B47" s="6"/>
      <c r="C47" s="129" t="s">
        <v>670</v>
      </c>
      <c r="D47" s="127"/>
      <c r="E47" s="31"/>
      <c r="F47" s="32"/>
      <c r="G47" s="32">
        <v>8545</v>
      </c>
      <c r="H47" s="32">
        <f t="shared" si="1"/>
        <v>8545</v>
      </c>
    </row>
    <row r="48" spans="1:8" x14ac:dyDescent="0.35">
      <c r="A48" s="7"/>
      <c r="B48" s="6"/>
      <c r="C48" s="31" t="s">
        <v>666</v>
      </c>
      <c r="D48" s="127"/>
      <c r="E48" s="31"/>
      <c r="F48" s="32"/>
      <c r="G48" s="32">
        <v>1000</v>
      </c>
      <c r="H48" s="32">
        <f t="shared" si="1"/>
        <v>1000</v>
      </c>
    </row>
    <row r="49" spans="1:8" x14ac:dyDescent="0.35">
      <c r="A49" s="7"/>
      <c r="B49" s="139"/>
      <c r="C49" s="546" t="s">
        <v>488</v>
      </c>
      <c r="D49" s="547"/>
      <c r="E49" s="548"/>
      <c r="F49" s="37"/>
      <c r="G49" s="37"/>
      <c r="H49" s="113"/>
    </row>
    <row r="50" spans="1:8" ht="21.75" thickBot="1" x14ac:dyDescent="0.4">
      <c r="A50" s="7"/>
      <c r="B50" s="6"/>
      <c r="C50" s="14"/>
      <c r="D50" s="14"/>
      <c r="E50" s="8" t="s">
        <v>539</v>
      </c>
      <c r="F50" s="37">
        <v>500000</v>
      </c>
      <c r="G50" s="37">
        <v>-500000</v>
      </c>
      <c r="H50" s="37">
        <f>SUM(F50:G50)</f>
        <v>0</v>
      </c>
    </row>
    <row r="51" spans="1:8" ht="21" customHeight="1" thickBot="1" x14ac:dyDescent="0.4">
      <c r="A51" s="89" t="s">
        <v>285</v>
      </c>
      <c r="B51" s="130" t="s">
        <v>47</v>
      </c>
      <c r="C51" s="130"/>
      <c r="D51" s="130"/>
      <c r="E51" s="130"/>
      <c r="F51" s="58">
        <f>SUM(F41:F50)</f>
        <v>890261</v>
      </c>
      <c r="G51" s="58">
        <f>SUM(G41:G50)</f>
        <v>-484199</v>
      </c>
      <c r="H51" s="58">
        <f>SUM(H41:H50)</f>
        <v>406062</v>
      </c>
    </row>
    <row r="52" spans="1:8" s="81" customFormat="1" ht="21" customHeight="1" thickBot="1" x14ac:dyDescent="0.4">
      <c r="A52" s="131" t="s">
        <v>286</v>
      </c>
      <c r="B52" s="132"/>
      <c r="C52" s="133"/>
      <c r="D52" s="133"/>
      <c r="E52" s="133"/>
      <c r="F52" s="134">
        <f>F38+F40+F51</f>
        <v>9528371</v>
      </c>
      <c r="G52" s="134">
        <f>G38+G40+G51</f>
        <v>-301528</v>
      </c>
      <c r="H52" s="134">
        <f>H38+H40+H51</f>
        <v>9226843</v>
      </c>
    </row>
    <row r="53" spans="1:8" ht="21" customHeight="1" x14ac:dyDescent="0.35">
      <c r="A53" s="135" t="s">
        <v>109</v>
      </c>
      <c r="B53" s="136"/>
      <c r="C53" s="136"/>
      <c r="D53" s="136"/>
      <c r="E53" s="137"/>
      <c r="F53" s="138"/>
      <c r="G53" s="138"/>
      <c r="H53" s="138"/>
    </row>
    <row r="54" spans="1:8" ht="21" customHeight="1" x14ac:dyDescent="0.35">
      <c r="A54" s="89"/>
      <c r="B54" s="6" t="s">
        <v>22</v>
      </c>
      <c r="C54" s="6"/>
      <c r="D54" s="6"/>
      <c r="E54" s="139"/>
      <c r="F54" s="140"/>
      <c r="G54" s="140"/>
      <c r="H54" s="140"/>
    </row>
    <row r="55" spans="1:8" ht="21" customHeight="1" x14ac:dyDescent="0.35">
      <c r="A55" s="7"/>
      <c r="B55" s="8"/>
      <c r="C55" s="31" t="s">
        <v>199</v>
      </c>
      <c r="D55" s="31"/>
      <c r="E55" s="104"/>
      <c r="F55" s="32"/>
      <c r="G55" s="32">
        <v>966</v>
      </c>
      <c r="H55" s="32">
        <f>SUM(F55:G55)</f>
        <v>966</v>
      </c>
    </row>
    <row r="56" spans="1:8" ht="21" customHeight="1" x14ac:dyDescent="0.35">
      <c r="A56" s="89"/>
      <c r="B56" s="6" t="s">
        <v>23</v>
      </c>
      <c r="C56" s="6"/>
      <c r="D56" s="6"/>
      <c r="E56" s="139"/>
      <c r="F56" s="40"/>
      <c r="G56" s="40"/>
      <c r="H56" s="40"/>
    </row>
    <row r="57" spans="1:8" ht="21" customHeight="1" x14ac:dyDescent="0.35">
      <c r="A57" s="7"/>
      <c r="B57" s="8"/>
      <c r="C57" s="31" t="s">
        <v>171</v>
      </c>
      <c r="D57" s="31"/>
      <c r="E57" s="127"/>
      <c r="F57" s="32">
        <v>1830000</v>
      </c>
      <c r="G57" s="32">
        <v>138312</v>
      </c>
      <c r="H57" s="32">
        <f>SUM(F57:G57)</f>
        <v>1968312</v>
      </c>
    </row>
    <row r="58" spans="1:8" ht="21" customHeight="1" x14ac:dyDescent="0.35">
      <c r="A58" s="89"/>
      <c r="B58" s="6" t="s">
        <v>21</v>
      </c>
      <c r="C58" s="6"/>
      <c r="D58" s="6"/>
      <c r="E58" s="139"/>
      <c r="F58" s="40"/>
      <c r="G58" s="40"/>
      <c r="H58" s="40"/>
    </row>
    <row r="59" spans="1:8" ht="21" customHeight="1" x14ac:dyDescent="0.35">
      <c r="A59" s="7"/>
      <c r="B59" s="8"/>
      <c r="C59" s="31" t="s">
        <v>200</v>
      </c>
      <c r="D59" s="31"/>
      <c r="E59" s="127"/>
      <c r="F59" s="32">
        <v>11000000</v>
      </c>
      <c r="G59" s="32">
        <v>608432</v>
      </c>
      <c r="H59" s="32">
        <f>SUM(F59:G59)</f>
        <v>11608432</v>
      </c>
    </row>
    <row r="60" spans="1:8" ht="21" customHeight="1" x14ac:dyDescent="0.35">
      <c r="A60" s="7"/>
      <c r="B60" s="8"/>
      <c r="C60" s="34" t="s">
        <v>3</v>
      </c>
      <c r="D60" s="34"/>
      <c r="E60" s="141"/>
      <c r="F60" s="32">
        <v>30000</v>
      </c>
      <c r="G60" s="32">
        <v>3219</v>
      </c>
      <c r="H60" s="32">
        <f>SUM(F60:G60)</f>
        <v>33219</v>
      </c>
    </row>
    <row r="61" spans="1:8" ht="21" customHeight="1" x14ac:dyDescent="0.35">
      <c r="A61" s="89"/>
      <c r="B61" s="6" t="s">
        <v>24</v>
      </c>
      <c r="C61" s="6"/>
      <c r="D61" s="6"/>
      <c r="E61" s="139"/>
      <c r="F61" s="40"/>
      <c r="G61" s="37"/>
      <c r="H61" s="40"/>
    </row>
    <row r="62" spans="1:8" ht="21" customHeight="1" x14ac:dyDescent="0.35">
      <c r="A62" s="7"/>
      <c r="B62" s="8"/>
      <c r="C62" s="31" t="s">
        <v>17</v>
      </c>
      <c r="D62" s="31"/>
      <c r="E62" s="127"/>
      <c r="F62" s="32">
        <v>10000</v>
      </c>
      <c r="G62" s="32">
        <v>25837</v>
      </c>
      <c r="H62" s="32">
        <f>SUM(F62:G62)</f>
        <v>35837</v>
      </c>
    </row>
    <row r="63" spans="1:8" ht="21" customHeight="1" x14ac:dyDescent="0.35">
      <c r="A63" s="7"/>
      <c r="B63" s="8"/>
      <c r="C63" s="34" t="s">
        <v>9</v>
      </c>
      <c r="D63" s="34"/>
      <c r="E63" s="34"/>
      <c r="F63" s="32">
        <v>1000</v>
      </c>
      <c r="G63" s="32">
        <v>20</v>
      </c>
      <c r="H63" s="32">
        <f>SUM(F63:G63)</f>
        <v>1020</v>
      </c>
    </row>
    <row r="64" spans="1:8" ht="21" customHeight="1" x14ac:dyDescent="0.35">
      <c r="A64" s="7"/>
      <c r="B64" s="8"/>
      <c r="C64" s="8" t="s">
        <v>653</v>
      </c>
      <c r="D64" s="8"/>
      <c r="E64" s="34"/>
      <c r="F64" s="32"/>
      <c r="G64" s="32">
        <v>47</v>
      </c>
      <c r="H64" s="32">
        <f>SUM(F64:G64)</f>
        <v>47</v>
      </c>
    </row>
    <row r="65" spans="1:8" ht="21" customHeight="1" x14ac:dyDescent="0.35">
      <c r="A65" s="7"/>
      <c r="B65" s="8"/>
      <c r="C65" s="8" t="s">
        <v>55</v>
      </c>
      <c r="D65" s="8"/>
      <c r="E65" s="34"/>
      <c r="F65" s="32">
        <v>3976</v>
      </c>
      <c r="G65" s="32">
        <v>1459</v>
      </c>
      <c r="H65" s="32">
        <f>SUM(F65:G65)</f>
        <v>5435</v>
      </c>
    </row>
    <row r="66" spans="1:8" ht="21" customHeight="1" thickBot="1" x14ac:dyDescent="0.4">
      <c r="A66" s="131" t="s">
        <v>177</v>
      </c>
      <c r="B66" s="132"/>
      <c r="C66" s="133"/>
      <c r="D66" s="133"/>
      <c r="E66" s="133"/>
      <c r="F66" s="134">
        <f>SUM(F53:F65)</f>
        <v>12874976</v>
      </c>
      <c r="G66" s="134">
        <f>SUM(G53:G65)</f>
        <v>778292</v>
      </c>
      <c r="H66" s="134">
        <f>SUM(H53:H65)</f>
        <v>13653268</v>
      </c>
    </row>
    <row r="67" spans="1:8" ht="21" customHeight="1" x14ac:dyDescent="0.35">
      <c r="A67" s="89" t="s">
        <v>14</v>
      </c>
      <c r="B67" s="139"/>
      <c r="C67" s="139"/>
      <c r="D67" s="139"/>
      <c r="E67" s="142"/>
      <c r="F67" s="140"/>
      <c r="G67" s="140"/>
      <c r="H67" s="140"/>
    </row>
    <row r="68" spans="1:8" ht="21" customHeight="1" x14ac:dyDescent="0.35">
      <c r="A68" s="7"/>
      <c r="B68" s="8"/>
      <c r="C68" s="8"/>
      <c r="D68" s="8"/>
      <c r="E68" s="31" t="s">
        <v>662</v>
      </c>
      <c r="F68" s="32">
        <v>15600</v>
      </c>
      <c r="G68" s="32">
        <v>8</v>
      </c>
      <c r="H68" s="32">
        <f>SUM(F68:G68)</f>
        <v>15608</v>
      </c>
    </row>
    <row r="69" spans="1:8" ht="21" customHeight="1" x14ac:dyDescent="0.35">
      <c r="A69" s="7"/>
      <c r="B69" s="8"/>
      <c r="C69" s="8"/>
      <c r="D69" s="8"/>
      <c r="E69" s="34" t="s">
        <v>201</v>
      </c>
      <c r="F69" s="32">
        <v>37404</v>
      </c>
      <c r="G69" s="32"/>
      <c r="H69" s="32">
        <f t="shared" ref="H69:H89" si="2">SUM(F69:G69)</f>
        <v>37404</v>
      </c>
    </row>
    <row r="70" spans="1:8" ht="21" customHeight="1" x14ac:dyDescent="0.35">
      <c r="A70" s="7"/>
      <c r="B70" s="8"/>
      <c r="C70" s="8"/>
      <c r="D70" s="8"/>
      <c r="E70" s="34" t="s">
        <v>405</v>
      </c>
      <c r="F70" s="32">
        <v>665000</v>
      </c>
      <c r="G70" s="32">
        <v>2101</v>
      </c>
      <c r="H70" s="32">
        <f t="shared" si="2"/>
        <v>667101</v>
      </c>
    </row>
    <row r="71" spans="1:8" ht="21" customHeight="1" x14ac:dyDescent="0.35">
      <c r="A71" s="7"/>
      <c r="B71" s="8"/>
      <c r="C71" s="8"/>
      <c r="D71" s="8"/>
      <c r="E71" s="34" t="s">
        <v>202</v>
      </c>
      <c r="F71" s="32">
        <v>9000</v>
      </c>
      <c r="G71" s="32">
        <v>3971</v>
      </c>
      <c r="H71" s="32">
        <f t="shared" si="2"/>
        <v>12971</v>
      </c>
    </row>
    <row r="72" spans="1:8" ht="21" customHeight="1" x14ac:dyDescent="0.35">
      <c r="A72" s="7"/>
      <c r="B72" s="8"/>
      <c r="C72" s="8"/>
      <c r="D72" s="8"/>
      <c r="E72" s="34" t="s">
        <v>672</v>
      </c>
      <c r="F72" s="32"/>
      <c r="G72" s="32">
        <v>232</v>
      </c>
      <c r="H72" s="32">
        <f t="shared" si="2"/>
        <v>232</v>
      </c>
    </row>
    <row r="73" spans="1:8" ht="21" customHeight="1" x14ac:dyDescent="0.35">
      <c r="A73" s="7"/>
      <c r="B73" s="8"/>
      <c r="C73" s="8"/>
      <c r="D73" s="8"/>
      <c r="E73" s="34" t="s">
        <v>85</v>
      </c>
      <c r="F73" s="32">
        <v>2700</v>
      </c>
      <c r="G73" s="32">
        <v>-89</v>
      </c>
      <c r="H73" s="32">
        <f t="shared" si="2"/>
        <v>2611</v>
      </c>
    </row>
    <row r="74" spans="1:8" ht="21" customHeight="1" x14ac:dyDescent="0.35">
      <c r="A74" s="7"/>
      <c r="B74" s="8"/>
      <c r="C74" s="8"/>
      <c r="D74" s="8"/>
      <c r="E74" s="34" t="s">
        <v>84</v>
      </c>
      <c r="F74" s="32">
        <v>700000</v>
      </c>
      <c r="G74" s="32"/>
      <c r="H74" s="32">
        <f t="shared" si="2"/>
        <v>700000</v>
      </c>
    </row>
    <row r="75" spans="1:8" x14ac:dyDescent="0.35">
      <c r="A75" s="7"/>
      <c r="B75" s="8"/>
      <c r="C75" s="8"/>
      <c r="D75" s="8"/>
      <c r="E75" s="34" t="s">
        <v>120</v>
      </c>
      <c r="F75" s="32">
        <v>9000</v>
      </c>
      <c r="G75" s="32">
        <v>2297</v>
      </c>
      <c r="H75" s="32">
        <f t="shared" si="2"/>
        <v>11297</v>
      </c>
    </row>
    <row r="76" spans="1:8" ht="21" customHeight="1" x14ac:dyDescent="0.35">
      <c r="A76" s="7"/>
      <c r="B76" s="8"/>
      <c r="C76" s="8"/>
      <c r="D76" s="8"/>
      <c r="E76" s="34" t="s">
        <v>162</v>
      </c>
      <c r="F76" s="32">
        <v>17000</v>
      </c>
      <c r="G76" s="32">
        <v>10177</v>
      </c>
      <c r="H76" s="32">
        <f t="shared" si="2"/>
        <v>27177</v>
      </c>
    </row>
    <row r="77" spans="1:8" ht="21" customHeight="1" x14ac:dyDescent="0.35">
      <c r="A77" s="7"/>
      <c r="B77" s="8"/>
      <c r="D77" s="8"/>
      <c r="E77" s="34" t="s">
        <v>155</v>
      </c>
      <c r="F77" s="32">
        <v>1700</v>
      </c>
      <c r="G77" s="32">
        <v>-561</v>
      </c>
      <c r="H77" s="32">
        <f t="shared" si="2"/>
        <v>1139</v>
      </c>
    </row>
    <row r="78" spans="1:8" ht="21" customHeight="1" x14ac:dyDescent="0.35">
      <c r="A78" s="7"/>
      <c r="B78" s="8"/>
      <c r="C78" s="8"/>
      <c r="D78" s="8"/>
      <c r="E78" s="31" t="s">
        <v>94</v>
      </c>
      <c r="F78" s="32">
        <v>975290</v>
      </c>
      <c r="G78" s="32">
        <v>-427090</v>
      </c>
      <c r="H78" s="32">
        <f t="shared" si="2"/>
        <v>548200</v>
      </c>
    </row>
    <row r="79" spans="1:8" ht="21" customHeight="1" x14ac:dyDescent="0.35">
      <c r="A79" s="7"/>
      <c r="B79" s="8"/>
      <c r="C79" s="8"/>
      <c r="D79" s="8"/>
      <c r="E79" s="31" t="s">
        <v>415</v>
      </c>
      <c r="F79" s="32">
        <v>23326</v>
      </c>
      <c r="G79" s="32">
        <v>12743</v>
      </c>
      <c r="H79" s="32">
        <f t="shared" si="2"/>
        <v>36069</v>
      </c>
    </row>
    <row r="80" spans="1:8" ht="21" customHeight="1" x14ac:dyDescent="0.35">
      <c r="A80" s="7"/>
      <c r="B80" s="8"/>
      <c r="C80" s="8"/>
      <c r="D80" s="8"/>
      <c r="E80" s="31" t="s">
        <v>438</v>
      </c>
      <c r="F80" s="32">
        <v>1465</v>
      </c>
      <c r="G80" s="32">
        <v>253</v>
      </c>
      <c r="H80" s="32">
        <f t="shared" si="2"/>
        <v>1718</v>
      </c>
    </row>
    <row r="81" spans="1:8" ht="21" customHeight="1" x14ac:dyDescent="0.35">
      <c r="A81" s="7"/>
      <c r="B81" s="8"/>
      <c r="C81" s="8"/>
      <c r="D81" s="8"/>
      <c r="E81" s="31" t="s">
        <v>629</v>
      </c>
      <c r="F81" s="32">
        <v>3309</v>
      </c>
      <c r="G81" s="32"/>
      <c r="H81" s="32">
        <f t="shared" si="2"/>
        <v>3309</v>
      </c>
    </row>
    <row r="82" spans="1:8" ht="21" customHeight="1" x14ac:dyDescent="0.35">
      <c r="A82" s="7"/>
      <c r="B82" s="8"/>
      <c r="C82" s="8"/>
      <c r="D82" s="8"/>
      <c r="E82" s="31" t="s">
        <v>626</v>
      </c>
      <c r="F82" s="32">
        <v>3958</v>
      </c>
      <c r="G82" s="32">
        <v>10840</v>
      </c>
      <c r="H82" s="32">
        <f t="shared" si="2"/>
        <v>14798</v>
      </c>
    </row>
    <row r="83" spans="1:8" ht="21" customHeight="1" x14ac:dyDescent="0.35">
      <c r="A83" s="7"/>
      <c r="B83" s="8"/>
      <c r="C83" s="8"/>
      <c r="D83" s="8"/>
      <c r="E83" s="31" t="s">
        <v>627</v>
      </c>
      <c r="F83" s="32">
        <v>1253</v>
      </c>
      <c r="G83" s="32">
        <v>7471</v>
      </c>
      <c r="H83" s="32">
        <f t="shared" si="2"/>
        <v>8724</v>
      </c>
    </row>
    <row r="84" spans="1:8" ht="21" customHeight="1" x14ac:dyDescent="0.35">
      <c r="A84" s="7"/>
      <c r="B84" s="8"/>
      <c r="C84" s="8"/>
      <c r="D84" s="8"/>
      <c r="E84" s="31" t="s">
        <v>630</v>
      </c>
      <c r="F84" s="32">
        <v>3504</v>
      </c>
      <c r="G84" s="32"/>
      <c r="H84" s="32">
        <f t="shared" si="2"/>
        <v>3504</v>
      </c>
    </row>
    <row r="85" spans="1:8" ht="21" customHeight="1" x14ac:dyDescent="0.35">
      <c r="A85" s="7"/>
      <c r="B85" s="8"/>
      <c r="C85" s="8"/>
      <c r="D85" s="8"/>
      <c r="E85" s="31" t="s">
        <v>636</v>
      </c>
      <c r="F85" s="32">
        <v>64640</v>
      </c>
      <c r="G85" s="32"/>
      <c r="H85" s="32">
        <f t="shared" si="2"/>
        <v>64640</v>
      </c>
    </row>
    <row r="86" spans="1:8" ht="21" customHeight="1" x14ac:dyDescent="0.35">
      <c r="A86" s="7"/>
      <c r="B86" s="8"/>
      <c r="C86" s="8"/>
      <c r="D86" s="8"/>
      <c r="E86" s="31" t="s">
        <v>673</v>
      </c>
      <c r="F86" s="32"/>
      <c r="G86" s="32">
        <v>374</v>
      </c>
      <c r="H86" s="32">
        <f t="shared" si="2"/>
        <v>374</v>
      </c>
    </row>
    <row r="87" spans="1:8" ht="21" customHeight="1" x14ac:dyDescent="0.35">
      <c r="A87" s="7"/>
      <c r="B87" s="8"/>
      <c r="C87" s="8"/>
      <c r="D87" s="8"/>
      <c r="E87" s="31" t="s">
        <v>655</v>
      </c>
      <c r="F87" s="32"/>
      <c r="G87" s="32">
        <v>238</v>
      </c>
      <c r="H87" s="32">
        <f t="shared" si="2"/>
        <v>238</v>
      </c>
    </row>
    <row r="88" spans="1:8" ht="21" customHeight="1" x14ac:dyDescent="0.35">
      <c r="A88" s="7"/>
      <c r="B88" s="8"/>
      <c r="C88" s="8"/>
      <c r="D88" s="8"/>
      <c r="E88" s="31" t="s">
        <v>656</v>
      </c>
      <c r="F88" s="32"/>
      <c r="G88" s="32">
        <v>52</v>
      </c>
      <c r="H88" s="32">
        <f t="shared" si="2"/>
        <v>52</v>
      </c>
    </row>
    <row r="89" spans="1:8" ht="21" customHeight="1" x14ac:dyDescent="0.35">
      <c r="A89" s="7"/>
      <c r="B89" s="8"/>
      <c r="C89" s="8"/>
      <c r="D89" s="8"/>
      <c r="E89" s="31" t="s">
        <v>654</v>
      </c>
      <c r="F89" s="32"/>
      <c r="G89" s="32">
        <v>905</v>
      </c>
      <c r="H89" s="32">
        <f t="shared" si="2"/>
        <v>905</v>
      </c>
    </row>
    <row r="90" spans="1:8" ht="21" customHeight="1" x14ac:dyDescent="0.35">
      <c r="A90" s="7"/>
      <c r="B90" s="139" t="s">
        <v>26</v>
      </c>
      <c r="C90" s="139"/>
      <c r="D90" s="139"/>
      <c r="E90" s="143"/>
      <c r="F90" s="40"/>
      <c r="G90" s="40"/>
      <c r="H90" s="37"/>
    </row>
    <row r="91" spans="1:8" ht="21" customHeight="1" x14ac:dyDescent="0.35">
      <c r="A91" s="7"/>
      <c r="B91" s="9"/>
      <c r="C91" s="9"/>
      <c r="D91" s="9"/>
      <c r="E91" s="31" t="s">
        <v>406</v>
      </c>
      <c r="F91" s="32">
        <v>114480</v>
      </c>
      <c r="G91" s="32"/>
      <c r="H91" s="32">
        <f t="shared" ref="H91:H96" si="3">SUM(F91:G91)</f>
        <v>114480</v>
      </c>
    </row>
    <row r="92" spans="1:8" ht="21" customHeight="1" x14ac:dyDescent="0.35">
      <c r="A92" s="7"/>
      <c r="B92" s="50"/>
      <c r="C92" s="50"/>
      <c r="D92" s="50"/>
      <c r="E92" s="129" t="s">
        <v>192</v>
      </c>
      <c r="F92" s="32">
        <v>250000</v>
      </c>
      <c r="G92" s="105"/>
      <c r="H92" s="32">
        <f t="shared" si="3"/>
        <v>250000</v>
      </c>
    </row>
    <row r="93" spans="1:8" ht="21" customHeight="1" x14ac:dyDescent="0.35">
      <c r="A93" s="7"/>
      <c r="B93" s="9"/>
      <c r="C93" s="9"/>
      <c r="D93" s="9"/>
      <c r="E93" s="31" t="s">
        <v>89</v>
      </c>
      <c r="F93" s="32">
        <v>20000</v>
      </c>
      <c r="G93" s="105"/>
      <c r="H93" s="32">
        <f t="shared" si="3"/>
        <v>20000</v>
      </c>
    </row>
    <row r="94" spans="1:8" ht="21" customHeight="1" x14ac:dyDescent="0.35">
      <c r="A94" s="7"/>
      <c r="B94" s="9"/>
      <c r="C94" s="9"/>
      <c r="D94" s="9"/>
      <c r="E94" s="31" t="s">
        <v>494</v>
      </c>
      <c r="F94" s="32">
        <v>270</v>
      </c>
      <c r="G94" s="105"/>
      <c r="H94" s="32">
        <f t="shared" si="3"/>
        <v>270</v>
      </c>
    </row>
    <row r="95" spans="1:8" ht="21" customHeight="1" x14ac:dyDescent="0.35">
      <c r="A95" s="7"/>
      <c r="B95" s="9"/>
      <c r="C95" s="9"/>
      <c r="D95" s="9"/>
      <c r="E95" s="31" t="s">
        <v>53</v>
      </c>
      <c r="F95" s="110">
        <v>270996</v>
      </c>
      <c r="G95" s="110"/>
      <c r="H95" s="110">
        <f t="shared" si="3"/>
        <v>270996</v>
      </c>
    </row>
    <row r="96" spans="1:8" ht="21" customHeight="1" x14ac:dyDescent="0.35">
      <c r="A96" s="7"/>
      <c r="B96" s="9"/>
      <c r="C96" s="9"/>
      <c r="D96" s="9"/>
      <c r="E96" s="31" t="s">
        <v>637</v>
      </c>
      <c r="F96" s="110">
        <v>17453</v>
      </c>
      <c r="G96" s="110"/>
      <c r="H96" s="110">
        <f t="shared" si="3"/>
        <v>17453</v>
      </c>
    </row>
    <row r="97" spans="1:8" ht="21" customHeight="1" x14ac:dyDescent="0.35">
      <c r="A97" s="7"/>
      <c r="B97" s="139" t="s">
        <v>27</v>
      </c>
      <c r="C97" s="139"/>
      <c r="D97" s="139"/>
      <c r="E97" s="143"/>
      <c r="F97" s="40"/>
      <c r="G97" s="40"/>
      <c r="H97" s="40"/>
    </row>
    <row r="98" spans="1:8" x14ac:dyDescent="0.35">
      <c r="A98" s="7"/>
      <c r="B98" s="9"/>
      <c r="C98" s="9"/>
      <c r="D98" s="9"/>
      <c r="E98" s="31" t="s">
        <v>159</v>
      </c>
      <c r="F98" s="32">
        <v>460000</v>
      </c>
      <c r="G98" s="32">
        <v>-63074</v>
      </c>
      <c r="H98" s="32">
        <f>SUM(F98:G98)</f>
        <v>396926</v>
      </c>
    </row>
    <row r="99" spans="1:8" x14ac:dyDescent="0.35">
      <c r="A99" s="7"/>
      <c r="B99" s="9"/>
      <c r="C99" s="9"/>
      <c r="D99" s="9"/>
      <c r="E99" s="31" t="s">
        <v>638</v>
      </c>
      <c r="F99" s="32">
        <v>40268</v>
      </c>
      <c r="G99" s="32"/>
      <c r="H99" s="32">
        <f>SUM(F99:G99)</f>
        <v>40268</v>
      </c>
    </row>
    <row r="100" spans="1:8" ht="21" customHeight="1" thickBot="1" x14ac:dyDescent="0.4">
      <c r="A100" s="131" t="s">
        <v>112</v>
      </c>
      <c r="B100" s="133"/>
      <c r="C100" s="133"/>
      <c r="D100" s="133"/>
      <c r="E100" s="133"/>
      <c r="F100" s="57">
        <f>SUM(F67:F99)</f>
        <v>3707616</v>
      </c>
      <c r="G100" s="57">
        <f>SUM(G67:G99)</f>
        <v>-439152</v>
      </c>
      <c r="H100" s="57">
        <f>SUM(H67:H99)</f>
        <v>3268464</v>
      </c>
    </row>
    <row r="101" spans="1:8" ht="21" customHeight="1" x14ac:dyDescent="0.35">
      <c r="A101" s="89" t="s">
        <v>108</v>
      </c>
      <c r="B101" s="50"/>
      <c r="C101" s="50"/>
      <c r="D101" s="50"/>
      <c r="E101" s="50"/>
      <c r="F101" s="90"/>
      <c r="G101" s="90"/>
      <c r="H101" s="90"/>
    </row>
    <row r="102" spans="1:8" ht="21" customHeight="1" x14ac:dyDescent="0.35">
      <c r="A102" s="89"/>
      <c r="B102" s="144" t="s">
        <v>33</v>
      </c>
      <c r="C102" s="50"/>
      <c r="D102" s="50"/>
      <c r="E102" s="50"/>
      <c r="F102" s="145"/>
      <c r="G102" s="145"/>
      <c r="H102" s="145"/>
    </row>
    <row r="103" spans="1:8" ht="21" customHeight="1" x14ac:dyDescent="0.35">
      <c r="A103" s="128"/>
      <c r="B103" s="9"/>
      <c r="C103" s="129" t="s">
        <v>645</v>
      </c>
      <c r="D103" s="129"/>
      <c r="E103" s="31"/>
      <c r="F103" s="105">
        <v>20000</v>
      </c>
      <c r="G103" s="105"/>
      <c r="H103" s="105">
        <f>SUM(F103:G103)</f>
        <v>20000</v>
      </c>
    </row>
    <row r="104" spans="1:8" ht="21" customHeight="1" x14ac:dyDescent="0.35">
      <c r="A104" s="128"/>
      <c r="B104" s="9"/>
      <c r="C104" s="129" t="s">
        <v>643</v>
      </c>
      <c r="D104" s="129"/>
      <c r="E104" s="31"/>
      <c r="F104" s="105">
        <v>6657</v>
      </c>
      <c r="G104" s="105"/>
      <c r="H104" s="105">
        <f>SUM(F104:G104)</f>
        <v>6657</v>
      </c>
    </row>
    <row r="105" spans="1:8" ht="21" customHeight="1" x14ac:dyDescent="0.35">
      <c r="A105" s="128"/>
      <c r="B105" s="9"/>
      <c r="C105" s="129" t="s">
        <v>644</v>
      </c>
      <c r="D105" s="129"/>
      <c r="E105" s="31"/>
      <c r="F105" s="105">
        <v>500</v>
      </c>
      <c r="G105" s="105"/>
      <c r="H105" s="105">
        <f>SUM(F105:G105)</f>
        <v>500</v>
      </c>
    </row>
    <row r="106" spans="1:8" ht="21" customHeight="1" x14ac:dyDescent="0.35">
      <c r="A106" s="7"/>
      <c r="B106" s="139" t="s">
        <v>34</v>
      </c>
      <c r="C106" s="139"/>
      <c r="D106" s="139"/>
      <c r="E106" s="143"/>
      <c r="F106" s="40"/>
      <c r="G106" s="40"/>
      <c r="H106" s="146"/>
    </row>
    <row r="107" spans="1:8" ht="21" customHeight="1" x14ac:dyDescent="0.35">
      <c r="A107" s="128"/>
      <c r="B107" s="9"/>
      <c r="C107" s="129" t="s">
        <v>663</v>
      </c>
      <c r="D107" s="129"/>
      <c r="E107" s="31"/>
      <c r="F107" s="105"/>
      <c r="G107" s="105">
        <v>4168</v>
      </c>
      <c r="H107" s="105">
        <f>SUM(F107:G107)</f>
        <v>4168</v>
      </c>
    </row>
    <row r="108" spans="1:8" ht="21" customHeight="1" x14ac:dyDescent="0.35">
      <c r="A108" s="7"/>
      <c r="B108" s="139"/>
      <c r="C108" s="129" t="s">
        <v>642</v>
      </c>
      <c r="D108" s="585"/>
      <c r="E108" s="586"/>
      <c r="F108" s="32">
        <v>1076</v>
      </c>
      <c r="G108" s="32">
        <f>200+307</f>
        <v>507</v>
      </c>
      <c r="H108" s="105">
        <f t="shared" ref="H108:H117" si="4">SUM(F108:G108)</f>
        <v>1583</v>
      </c>
    </row>
    <row r="109" spans="1:8" ht="21" customHeight="1" x14ac:dyDescent="0.35">
      <c r="A109" s="7"/>
      <c r="B109" s="139"/>
      <c r="C109" s="129" t="s">
        <v>589</v>
      </c>
      <c r="D109" s="585"/>
      <c r="E109" s="586"/>
      <c r="F109" s="32">
        <v>14353</v>
      </c>
      <c r="G109" s="32"/>
      <c r="H109" s="105">
        <f t="shared" si="4"/>
        <v>14353</v>
      </c>
    </row>
    <row r="110" spans="1:8" ht="21" customHeight="1" x14ac:dyDescent="0.35">
      <c r="A110" s="7"/>
      <c r="B110" s="139"/>
      <c r="C110" s="129" t="s">
        <v>628</v>
      </c>
      <c r="D110" s="585"/>
      <c r="E110" s="586"/>
      <c r="F110" s="32">
        <v>450</v>
      </c>
      <c r="G110" s="32"/>
      <c r="H110" s="105">
        <f t="shared" si="4"/>
        <v>450</v>
      </c>
    </row>
    <row r="111" spans="1:8" ht="21" customHeight="1" x14ac:dyDescent="0.35">
      <c r="A111" s="128"/>
      <c r="B111" s="9"/>
      <c r="C111" s="129" t="s">
        <v>540</v>
      </c>
      <c r="D111" s="129"/>
      <c r="E111" s="31"/>
      <c r="F111" s="32">
        <v>1618</v>
      </c>
      <c r="G111" s="32"/>
      <c r="H111" s="105">
        <f t="shared" si="4"/>
        <v>1618</v>
      </c>
    </row>
    <row r="112" spans="1:8" ht="21" customHeight="1" x14ac:dyDescent="0.35">
      <c r="A112" s="128"/>
      <c r="B112" s="9"/>
      <c r="C112" s="129" t="s">
        <v>607</v>
      </c>
      <c r="D112" s="129"/>
      <c r="E112" s="31"/>
      <c r="F112" s="32">
        <v>19262</v>
      </c>
      <c r="G112" s="32">
        <v>674</v>
      </c>
      <c r="H112" s="105">
        <f t="shared" si="4"/>
        <v>19936</v>
      </c>
    </row>
    <row r="113" spans="1:8" ht="21" customHeight="1" x14ac:dyDescent="0.35">
      <c r="A113" s="128"/>
      <c r="B113" s="9"/>
      <c r="C113" s="129" t="s">
        <v>671</v>
      </c>
      <c r="D113" s="129"/>
      <c r="E113" s="31"/>
      <c r="F113" s="32">
        <v>52960</v>
      </c>
      <c r="G113" s="32">
        <v>-8545</v>
      </c>
      <c r="H113" s="105">
        <f t="shared" si="4"/>
        <v>44415</v>
      </c>
    </row>
    <row r="114" spans="1:8" ht="21" customHeight="1" x14ac:dyDescent="0.35">
      <c r="A114" s="7"/>
      <c r="B114" s="541"/>
      <c r="C114" s="129" t="s">
        <v>495</v>
      </c>
      <c r="D114" s="647"/>
      <c r="E114" s="646"/>
      <c r="F114" s="32">
        <v>8888</v>
      </c>
      <c r="G114" s="32">
        <v>292</v>
      </c>
      <c r="H114" s="105">
        <f t="shared" si="4"/>
        <v>9180</v>
      </c>
    </row>
    <row r="115" spans="1:8" ht="21" customHeight="1" x14ac:dyDescent="0.35">
      <c r="A115" s="7"/>
      <c r="B115" s="541"/>
      <c r="C115" s="129" t="s">
        <v>635</v>
      </c>
      <c r="D115" s="647"/>
      <c r="E115" s="646"/>
      <c r="F115" s="32">
        <v>5370</v>
      </c>
      <c r="G115" s="32"/>
      <c r="H115" s="105">
        <f t="shared" si="4"/>
        <v>5370</v>
      </c>
    </row>
    <row r="116" spans="1:8" ht="21" customHeight="1" x14ac:dyDescent="0.35">
      <c r="A116" s="7"/>
      <c r="B116" s="541"/>
      <c r="C116" s="129" t="s">
        <v>649</v>
      </c>
      <c r="D116" s="647"/>
      <c r="E116" s="646"/>
      <c r="F116" s="32">
        <v>6355</v>
      </c>
      <c r="G116" s="32"/>
      <c r="H116" s="105">
        <f t="shared" si="4"/>
        <v>6355</v>
      </c>
    </row>
    <row r="117" spans="1:8" ht="21" customHeight="1" thickBot="1" x14ac:dyDescent="0.4">
      <c r="A117" s="7"/>
      <c r="B117" s="541"/>
      <c r="C117" s="129" t="s">
        <v>496</v>
      </c>
      <c r="D117" s="486"/>
      <c r="E117" s="646"/>
      <c r="F117" s="32">
        <v>39937</v>
      </c>
      <c r="G117" s="32"/>
      <c r="H117" s="105">
        <f t="shared" si="4"/>
        <v>39937</v>
      </c>
    </row>
    <row r="118" spans="1:8" s="81" customFormat="1" ht="21" customHeight="1" thickBot="1" x14ac:dyDescent="0.4">
      <c r="A118" s="147" t="s">
        <v>176</v>
      </c>
      <c r="B118" s="148"/>
      <c r="C118" s="130"/>
      <c r="D118" s="130"/>
      <c r="E118" s="130"/>
      <c r="F118" s="149">
        <f>SUM(F102:F117)</f>
        <v>177426</v>
      </c>
      <c r="G118" s="149">
        <f>SUM(G102:G117)</f>
        <v>-2904</v>
      </c>
      <c r="H118" s="149">
        <f>SUM(H102:H117)</f>
        <v>174522</v>
      </c>
    </row>
    <row r="119" spans="1:8" ht="21" customHeight="1" x14ac:dyDescent="0.35">
      <c r="A119" s="135" t="s">
        <v>67</v>
      </c>
      <c r="B119" s="150"/>
      <c r="C119" s="150"/>
      <c r="D119" s="150"/>
      <c r="E119" s="150"/>
      <c r="F119" s="151"/>
      <c r="G119" s="151"/>
      <c r="H119" s="151"/>
    </row>
    <row r="120" spans="1:8" s="81" customFormat="1" ht="21" customHeight="1" x14ac:dyDescent="0.35">
      <c r="A120" s="152"/>
      <c r="B120" s="9" t="s">
        <v>195</v>
      </c>
      <c r="C120" s="139"/>
      <c r="D120" s="139"/>
      <c r="E120" s="47"/>
      <c r="F120" s="32">
        <v>23684</v>
      </c>
      <c r="G120" s="32">
        <v>9822</v>
      </c>
      <c r="H120" s="32">
        <f t="shared" ref="H120:H130" si="5">SUM(F120:G120)</f>
        <v>33506</v>
      </c>
    </row>
    <row r="121" spans="1:8" s="81" customFormat="1" ht="21" customHeight="1" x14ac:dyDescent="0.35">
      <c r="A121" s="152"/>
      <c r="B121" s="153" t="s">
        <v>380</v>
      </c>
      <c r="C121" s="154"/>
      <c r="D121" s="154"/>
      <c r="E121" s="38"/>
      <c r="F121" s="32">
        <v>611872</v>
      </c>
      <c r="G121" s="32">
        <v>-32398</v>
      </c>
      <c r="H121" s="32">
        <f t="shared" si="5"/>
        <v>579474</v>
      </c>
    </row>
    <row r="122" spans="1:8" s="81" customFormat="1" ht="21" customHeight="1" x14ac:dyDescent="0.35">
      <c r="A122" s="152"/>
      <c r="B122" s="153" t="s">
        <v>105</v>
      </c>
      <c r="C122" s="154"/>
      <c r="D122" s="154"/>
      <c r="E122" s="38"/>
      <c r="F122" s="32">
        <v>28471</v>
      </c>
      <c r="G122" s="32">
        <v>54933</v>
      </c>
      <c r="H122" s="32">
        <f t="shared" si="5"/>
        <v>83404</v>
      </c>
    </row>
    <row r="123" spans="1:8" s="81" customFormat="1" ht="21" customHeight="1" x14ac:dyDescent="0.35">
      <c r="A123" s="152"/>
      <c r="B123" s="153" t="s">
        <v>106</v>
      </c>
      <c r="C123" s="154"/>
      <c r="D123" s="154"/>
      <c r="E123" s="38"/>
      <c r="F123" s="32">
        <v>287415</v>
      </c>
      <c r="G123" s="32">
        <v>32131</v>
      </c>
      <c r="H123" s="32">
        <f t="shared" si="5"/>
        <v>319546</v>
      </c>
    </row>
    <row r="124" spans="1:8" s="81" customFormat="1" ht="21" customHeight="1" x14ac:dyDescent="0.35">
      <c r="A124" s="152"/>
      <c r="B124" s="153" t="s">
        <v>354</v>
      </c>
      <c r="C124" s="154"/>
      <c r="D124" s="154"/>
      <c r="E124" s="38"/>
      <c r="F124" s="32">
        <v>31100</v>
      </c>
      <c r="G124" s="32">
        <v>24401</v>
      </c>
      <c r="H124" s="32">
        <f t="shared" si="5"/>
        <v>55501</v>
      </c>
    </row>
    <row r="125" spans="1:8" s="81" customFormat="1" ht="21" customHeight="1" x14ac:dyDescent="0.35">
      <c r="A125" s="152"/>
      <c r="B125" s="153" t="s">
        <v>116</v>
      </c>
      <c r="C125" s="154"/>
      <c r="D125" s="154"/>
      <c r="E125" s="38"/>
      <c r="F125" s="32">
        <v>164008</v>
      </c>
      <c r="G125" s="32">
        <v>104064</v>
      </c>
      <c r="H125" s="32">
        <f t="shared" si="5"/>
        <v>268072</v>
      </c>
    </row>
    <row r="126" spans="1:8" s="81" customFormat="1" ht="21" customHeight="1" x14ac:dyDescent="0.35">
      <c r="A126" s="152"/>
      <c r="B126" s="153" t="s">
        <v>78</v>
      </c>
      <c r="C126" s="154"/>
      <c r="D126" s="154"/>
      <c r="E126" s="38"/>
      <c r="F126" s="32">
        <v>221868</v>
      </c>
      <c r="G126" s="32">
        <v>13394</v>
      </c>
      <c r="H126" s="32">
        <f t="shared" si="5"/>
        <v>235262</v>
      </c>
    </row>
    <row r="127" spans="1:8" s="81" customFormat="1" ht="21" customHeight="1" x14ac:dyDescent="0.35">
      <c r="A127" s="152"/>
      <c r="B127" s="153" t="s">
        <v>205</v>
      </c>
      <c r="C127" s="154"/>
      <c r="D127" s="154"/>
      <c r="E127" s="38"/>
      <c r="F127" s="32">
        <v>543795</v>
      </c>
      <c r="G127" s="32">
        <v>23497</v>
      </c>
      <c r="H127" s="32">
        <f t="shared" si="5"/>
        <v>567292</v>
      </c>
    </row>
    <row r="128" spans="1:8" s="81" customFormat="1" ht="21" customHeight="1" x14ac:dyDescent="0.35">
      <c r="A128" s="152"/>
      <c r="B128" s="153" t="s">
        <v>12</v>
      </c>
      <c r="C128" s="154"/>
      <c r="D128" s="154"/>
      <c r="E128" s="38"/>
      <c r="F128" s="32">
        <v>108258</v>
      </c>
      <c r="G128" s="32">
        <v>15396</v>
      </c>
      <c r="H128" s="32">
        <f t="shared" si="5"/>
        <v>123654</v>
      </c>
    </row>
    <row r="129" spans="1:8" s="81" customFormat="1" ht="21" customHeight="1" x14ac:dyDescent="0.35">
      <c r="A129" s="152"/>
      <c r="B129" s="153" t="s">
        <v>154</v>
      </c>
      <c r="C129" s="154"/>
      <c r="D129" s="154"/>
      <c r="E129" s="38"/>
      <c r="F129" s="32">
        <v>188823</v>
      </c>
      <c r="G129" s="32">
        <v>-3109</v>
      </c>
      <c r="H129" s="32">
        <f t="shared" si="5"/>
        <v>185714</v>
      </c>
    </row>
    <row r="130" spans="1:8" s="81" customFormat="1" ht="21" customHeight="1" x14ac:dyDescent="0.35">
      <c r="A130" s="152"/>
      <c r="B130" s="153" t="s">
        <v>4</v>
      </c>
      <c r="C130" s="154"/>
      <c r="D130" s="154"/>
      <c r="E130" s="38"/>
      <c r="F130" s="32">
        <v>70713</v>
      </c>
      <c r="G130" s="32">
        <v>7554</v>
      </c>
      <c r="H130" s="32">
        <f t="shared" si="5"/>
        <v>78267</v>
      </c>
    </row>
    <row r="131" spans="1:8" ht="21" customHeight="1" thickBot="1" x14ac:dyDescent="0.4">
      <c r="A131" s="131" t="s">
        <v>68</v>
      </c>
      <c r="B131" s="132"/>
      <c r="C131" s="133"/>
      <c r="D131" s="133"/>
      <c r="E131" s="133"/>
      <c r="F131" s="134">
        <f>SUM(F120:F130)</f>
        <v>2280007</v>
      </c>
      <c r="G131" s="134">
        <f>SUM(G120:G130)</f>
        <v>249685</v>
      </c>
      <c r="H131" s="134">
        <f>SUM(H120:H130)</f>
        <v>2529692</v>
      </c>
    </row>
    <row r="132" spans="1:8" ht="21" customHeight="1" thickBot="1" x14ac:dyDescent="0.4">
      <c r="A132" s="131" t="s">
        <v>321</v>
      </c>
      <c r="B132" s="132"/>
      <c r="C132" s="133"/>
      <c r="D132" s="133"/>
      <c r="E132" s="133"/>
      <c r="F132" s="134">
        <f>F100+F52+F118+F66+F131</f>
        <v>28568396</v>
      </c>
      <c r="G132" s="134">
        <f>G100+G52+G118+G66+G131</f>
        <v>284393</v>
      </c>
      <c r="H132" s="134">
        <f>H100+H52+H118+H66+H131</f>
        <v>28852789</v>
      </c>
    </row>
    <row r="134" spans="1:8" ht="21" customHeight="1" x14ac:dyDescent="0.25">
      <c r="F134" s="78"/>
      <c r="G134" s="78"/>
    </row>
    <row r="135" spans="1:8" ht="21" customHeight="1" x14ac:dyDescent="0.25">
      <c r="F135" s="78"/>
    </row>
  </sheetData>
  <mergeCells count="2">
    <mergeCell ref="A1:E1"/>
    <mergeCell ref="A2:H2"/>
  </mergeCells>
  <phoneticPr fontId="0" type="noConversion"/>
  <printOptions horizontalCentered="1" verticalCentered="1"/>
  <pageMargins left="0.59055118110236227" right="0" top="0" bottom="0" header="0.51181102362204722" footer="0.51181102362204722"/>
  <pageSetup paperSize="9" scale="42" orientation="portrait" r:id="rId1"/>
  <headerFooter alignWithMargins="0">
    <oddHeader xml:space="preserve">&amp;R&amp;"Times New Roman CE,Félkövér"&amp;16
3. melléklet az    1/2025.(I.31.) önkormányzati rendelethez
"3. melléklet a 8/2024.(III.5.) önkormányzati rendelethez"
</oddHeader>
  </headerFooter>
  <rowBreaks count="1" manualBreakCount="1">
    <brk id="66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49"/>
  <sheetViews>
    <sheetView zoomScale="50" zoomScaleNormal="50" zoomScaleSheetLayoutView="50" workbookViewId="0">
      <selection activeCell="BL8" sqref="BL8"/>
    </sheetView>
  </sheetViews>
  <sheetFormatPr defaultRowHeight="26.45" customHeight="1" x14ac:dyDescent="0.6"/>
  <cols>
    <col min="1" max="1" width="186.33203125" style="651" customWidth="1"/>
    <col min="2" max="2" width="49.83203125" style="653" customWidth="1"/>
    <col min="3" max="3" width="38.33203125" style="653" customWidth="1"/>
    <col min="4" max="5" width="50" style="653" customWidth="1"/>
    <col min="6" max="6" width="37.6640625" style="653" customWidth="1"/>
    <col min="7" max="7" width="50" style="653" customWidth="1"/>
    <col min="8" max="8" width="51.33203125" style="653" customWidth="1"/>
    <col min="9" max="9" width="38.1640625" style="653" customWidth="1"/>
    <col min="10" max="11" width="50" style="653" customWidth="1"/>
    <col min="12" max="12" width="38.33203125" style="653" customWidth="1"/>
    <col min="13" max="14" width="50" style="653" customWidth="1"/>
    <col min="15" max="15" width="38.33203125" style="653" customWidth="1"/>
    <col min="16" max="16" width="50" style="653" customWidth="1"/>
    <col min="17" max="17" width="186.33203125" style="651" customWidth="1"/>
    <col min="18" max="18" width="50" style="653" customWidth="1"/>
    <col min="19" max="19" width="38.33203125" style="653" customWidth="1"/>
    <col min="20" max="21" width="49.83203125" style="653" customWidth="1"/>
    <col min="22" max="22" width="38.1640625" style="653" customWidth="1"/>
    <col min="23" max="23" width="49.83203125" style="653" customWidth="1"/>
    <col min="24" max="24" width="50" style="653" customWidth="1"/>
    <col min="25" max="25" width="38.33203125" style="653" customWidth="1"/>
    <col min="26" max="27" width="49.83203125" style="653" customWidth="1"/>
    <col min="28" max="28" width="38.1640625" style="653" customWidth="1"/>
    <col min="29" max="30" width="50" style="653" customWidth="1"/>
    <col min="31" max="31" width="38.33203125" style="653" customWidth="1"/>
    <col min="32" max="32" width="50" style="653" customWidth="1"/>
    <col min="33" max="33" width="186.33203125" style="651" customWidth="1"/>
    <col min="34" max="34" width="50" style="651" customWidth="1"/>
    <col min="35" max="35" width="38.33203125" style="651" customWidth="1"/>
    <col min="36" max="36" width="49.83203125" style="651" customWidth="1"/>
    <col min="37" max="37" width="50" style="651" customWidth="1"/>
    <col min="38" max="38" width="45" style="651" customWidth="1"/>
    <col min="39" max="40" width="50" style="651" customWidth="1"/>
    <col min="41" max="41" width="45" style="651" customWidth="1"/>
    <col min="42" max="43" width="50" style="651" customWidth="1"/>
    <col min="44" max="44" width="45" style="651" customWidth="1"/>
    <col min="45" max="45" width="50.33203125" style="666" customWidth="1"/>
    <col min="46" max="46" width="50" style="666" customWidth="1"/>
    <col min="47" max="47" width="45" style="666" customWidth="1"/>
    <col min="48" max="48" width="50" style="653" customWidth="1"/>
    <col min="49" max="246" width="9.33203125" style="651"/>
    <col min="247" max="247" width="186.33203125" style="651" customWidth="1"/>
    <col min="248" max="248" width="49.83203125" style="651" customWidth="1"/>
    <col min="249" max="249" width="38.33203125" style="651" customWidth="1"/>
    <col min="250" max="251" width="50" style="651" customWidth="1"/>
    <col min="252" max="252" width="37.6640625" style="651" customWidth="1"/>
    <col min="253" max="253" width="50" style="651" customWidth="1"/>
    <col min="254" max="254" width="51.33203125" style="651" customWidth="1"/>
    <col min="255" max="255" width="38.1640625" style="651" customWidth="1"/>
    <col min="256" max="257" width="50" style="651" customWidth="1"/>
    <col min="258" max="258" width="38.33203125" style="651" customWidth="1"/>
    <col min="259" max="260" width="50" style="651" customWidth="1"/>
    <col min="261" max="261" width="38.33203125" style="651" customWidth="1"/>
    <col min="262" max="262" width="50" style="651" customWidth="1"/>
    <col min="263" max="263" width="186.33203125" style="651" customWidth="1"/>
    <col min="264" max="264" width="50" style="651" customWidth="1"/>
    <col min="265" max="265" width="38.33203125" style="651" customWidth="1"/>
    <col min="266" max="267" width="49.83203125" style="651" customWidth="1"/>
    <col min="268" max="268" width="38.1640625" style="651" customWidth="1"/>
    <col min="269" max="269" width="49.83203125" style="651" customWidth="1"/>
    <col min="270" max="270" width="50" style="651" customWidth="1"/>
    <col min="271" max="271" width="38.33203125" style="651" customWidth="1"/>
    <col min="272" max="273" width="49.83203125" style="651" customWidth="1"/>
    <col min="274" max="274" width="38.1640625" style="651" customWidth="1"/>
    <col min="275" max="276" width="50" style="651" customWidth="1"/>
    <col min="277" max="277" width="38.33203125" style="651" customWidth="1"/>
    <col min="278" max="278" width="50" style="651" customWidth="1"/>
    <col min="279" max="279" width="186.33203125" style="651" customWidth="1"/>
    <col min="280" max="280" width="50" style="651" customWidth="1"/>
    <col min="281" max="281" width="38.33203125" style="651" customWidth="1"/>
    <col min="282" max="282" width="49.83203125" style="651" customWidth="1"/>
    <col min="283" max="283" width="50" style="651" customWidth="1"/>
    <col min="284" max="284" width="45" style="651" customWidth="1"/>
    <col min="285" max="286" width="50" style="651" customWidth="1"/>
    <col min="287" max="287" width="45" style="651" customWidth="1"/>
    <col min="288" max="289" width="50" style="651" customWidth="1"/>
    <col min="290" max="290" width="45" style="651" customWidth="1"/>
    <col min="291" max="291" width="50.33203125" style="651" customWidth="1"/>
    <col min="292" max="292" width="50" style="651" customWidth="1"/>
    <col min="293" max="293" width="45" style="651" customWidth="1"/>
    <col min="294" max="294" width="50" style="651" customWidth="1"/>
    <col min="295" max="296" width="51" style="651" customWidth="1"/>
    <col min="297" max="502" width="9.33203125" style="651"/>
    <col min="503" max="503" width="186.33203125" style="651" customWidth="1"/>
    <col min="504" max="504" width="49.83203125" style="651" customWidth="1"/>
    <col min="505" max="505" width="38.33203125" style="651" customWidth="1"/>
    <col min="506" max="507" width="50" style="651" customWidth="1"/>
    <col min="508" max="508" width="37.6640625" style="651" customWidth="1"/>
    <col min="509" max="509" width="50" style="651" customWidth="1"/>
    <col min="510" max="510" width="51.33203125" style="651" customWidth="1"/>
    <col min="511" max="511" width="38.1640625" style="651" customWidth="1"/>
    <col min="512" max="513" width="50" style="651" customWidth="1"/>
    <col min="514" max="514" width="38.33203125" style="651" customWidth="1"/>
    <col min="515" max="516" width="50" style="651" customWidth="1"/>
    <col min="517" max="517" width="38.33203125" style="651" customWidth="1"/>
    <col min="518" max="518" width="50" style="651" customWidth="1"/>
    <col min="519" max="519" width="186.33203125" style="651" customWidth="1"/>
    <col min="520" max="520" width="50" style="651" customWidth="1"/>
    <col min="521" max="521" width="38.33203125" style="651" customWidth="1"/>
    <col min="522" max="523" width="49.83203125" style="651" customWidth="1"/>
    <col min="524" max="524" width="38.1640625" style="651" customWidth="1"/>
    <col min="525" max="525" width="49.83203125" style="651" customWidth="1"/>
    <col min="526" max="526" width="50" style="651" customWidth="1"/>
    <col min="527" max="527" width="38.33203125" style="651" customWidth="1"/>
    <col min="528" max="529" width="49.83203125" style="651" customWidth="1"/>
    <col min="530" max="530" width="38.1640625" style="651" customWidth="1"/>
    <col min="531" max="532" width="50" style="651" customWidth="1"/>
    <col min="533" max="533" width="38.33203125" style="651" customWidth="1"/>
    <col min="534" max="534" width="50" style="651" customWidth="1"/>
    <col min="535" max="535" width="186.33203125" style="651" customWidth="1"/>
    <col min="536" max="536" width="50" style="651" customWidth="1"/>
    <col min="537" max="537" width="38.33203125" style="651" customWidth="1"/>
    <col min="538" max="538" width="49.83203125" style="651" customWidth="1"/>
    <col min="539" max="539" width="50" style="651" customWidth="1"/>
    <col min="540" max="540" width="45" style="651" customWidth="1"/>
    <col min="541" max="542" width="50" style="651" customWidth="1"/>
    <col min="543" max="543" width="45" style="651" customWidth="1"/>
    <col min="544" max="545" width="50" style="651" customWidth="1"/>
    <col min="546" max="546" width="45" style="651" customWidth="1"/>
    <col min="547" max="547" width="50.33203125" style="651" customWidth="1"/>
    <col min="548" max="548" width="50" style="651" customWidth="1"/>
    <col min="549" max="549" width="45" style="651" customWidth="1"/>
    <col min="550" max="550" width="50" style="651" customWidth="1"/>
    <col min="551" max="552" width="51" style="651" customWidth="1"/>
    <col min="553" max="758" width="9.33203125" style="651"/>
    <col min="759" max="759" width="186.33203125" style="651" customWidth="1"/>
    <col min="760" max="760" width="49.83203125" style="651" customWidth="1"/>
    <col min="761" max="761" width="38.33203125" style="651" customWidth="1"/>
    <col min="762" max="763" width="50" style="651" customWidth="1"/>
    <col min="764" max="764" width="37.6640625" style="651" customWidth="1"/>
    <col min="765" max="765" width="50" style="651" customWidth="1"/>
    <col min="766" max="766" width="51.33203125" style="651" customWidth="1"/>
    <col min="767" max="767" width="38.1640625" style="651" customWidth="1"/>
    <col min="768" max="769" width="50" style="651" customWidth="1"/>
    <col min="770" max="770" width="38.33203125" style="651" customWidth="1"/>
    <col min="771" max="772" width="50" style="651" customWidth="1"/>
    <col min="773" max="773" width="38.33203125" style="651" customWidth="1"/>
    <col min="774" max="774" width="50" style="651" customWidth="1"/>
    <col min="775" max="775" width="186.33203125" style="651" customWidth="1"/>
    <col min="776" max="776" width="50" style="651" customWidth="1"/>
    <col min="777" max="777" width="38.33203125" style="651" customWidth="1"/>
    <col min="778" max="779" width="49.83203125" style="651" customWidth="1"/>
    <col min="780" max="780" width="38.1640625" style="651" customWidth="1"/>
    <col min="781" max="781" width="49.83203125" style="651" customWidth="1"/>
    <col min="782" max="782" width="50" style="651" customWidth="1"/>
    <col min="783" max="783" width="38.33203125" style="651" customWidth="1"/>
    <col min="784" max="785" width="49.83203125" style="651" customWidth="1"/>
    <col min="786" max="786" width="38.1640625" style="651" customWidth="1"/>
    <col min="787" max="788" width="50" style="651" customWidth="1"/>
    <col min="789" max="789" width="38.33203125" style="651" customWidth="1"/>
    <col min="790" max="790" width="50" style="651" customWidth="1"/>
    <col min="791" max="791" width="186.33203125" style="651" customWidth="1"/>
    <col min="792" max="792" width="50" style="651" customWidth="1"/>
    <col min="793" max="793" width="38.33203125" style="651" customWidth="1"/>
    <col min="794" max="794" width="49.83203125" style="651" customWidth="1"/>
    <col min="795" max="795" width="50" style="651" customWidth="1"/>
    <col min="796" max="796" width="45" style="651" customWidth="1"/>
    <col min="797" max="798" width="50" style="651" customWidth="1"/>
    <col min="799" max="799" width="45" style="651" customWidth="1"/>
    <col min="800" max="801" width="50" style="651" customWidth="1"/>
    <col min="802" max="802" width="45" style="651" customWidth="1"/>
    <col min="803" max="803" width="50.33203125" style="651" customWidth="1"/>
    <col min="804" max="804" width="50" style="651" customWidth="1"/>
    <col min="805" max="805" width="45" style="651" customWidth="1"/>
    <col min="806" max="806" width="50" style="651" customWidth="1"/>
    <col min="807" max="808" width="51" style="651" customWidth="1"/>
    <col min="809" max="1014" width="9.33203125" style="651"/>
    <col min="1015" max="1015" width="186.33203125" style="651" customWidth="1"/>
    <col min="1016" max="1016" width="49.83203125" style="651" customWidth="1"/>
    <col min="1017" max="1017" width="38.33203125" style="651" customWidth="1"/>
    <col min="1018" max="1019" width="50" style="651" customWidth="1"/>
    <col min="1020" max="1020" width="37.6640625" style="651" customWidth="1"/>
    <col min="1021" max="1021" width="50" style="651" customWidth="1"/>
    <col min="1022" max="1022" width="51.33203125" style="651" customWidth="1"/>
    <col min="1023" max="1023" width="38.1640625" style="651" customWidth="1"/>
    <col min="1024" max="1025" width="50" style="651" customWidth="1"/>
    <col min="1026" max="1026" width="38.33203125" style="651" customWidth="1"/>
    <col min="1027" max="1028" width="50" style="651" customWidth="1"/>
    <col min="1029" max="1029" width="38.33203125" style="651" customWidth="1"/>
    <col min="1030" max="1030" width="50" style="651" customWidth="1"/>
    <col min="1031" max="1031" width="186.33203125" style="651" customWidth="1"/>
    <col min="1032" max="1032" width="50" style="651" customWidth="1"/>
    <col min="1033" max="1033" width="38.33203125" style="651" customWidth="1"/>
    <col min="1034" max="1035" width="49.83203125" style="651" customWidth="1"/>
    <col min="1036" max="1036" width="38.1640625" style="651" customWidth="1"/>
    <col min="1037" max="1037" width="49.83203125" style="651" customWidth="1"/>
    <col min="1038" max="1038" width="50" style="651" customWidth="1"/>
    <col min="1039" max="1039" width="38.33203125" style="651" customWidth="1"/>
    <col min="1040" max="1041" width="49.83203125" style="651" customWidth="1"/>
    <col min="1042" max="1042" width="38.1640625" style="651" customWidth="1"/>
    <col min="1043" max="1044" width="50" style="651" customWidth="1"/>
    <col min="1045" max="1045" width="38.33203125" style="651" customWidth="1"/>
    <col min="1046" max="1046" width="50" style="651" customWidth="1"/>
    <col min="1047" max="1047" width="186.33203125" style="651" customWidth="1"/>
    <col min="1048" max="1048" width="50" style="651" customWidth="1"/>
    <col min="1049" max="1049" width="38.33203125" style="651" customWidth="1"/>
    <col min="1050" max="1050" width="49.83203125" style="651" customWidth="1"/>
    <col min="1051" max="1051" width="50" style="651" customWidth="1"/>
    <col min="1052" max="1052" width="45" style="651" customWidth="1"/>
    <col min="1053" max="1054" width="50" style="651" customWidth="1"/>
    <col min="1055" max="1055" width="45" style="651" customWidth="1"/>
    <col min="1056" max="1057" width="50" style="651" customWidth="1"/>
    <col min="1058" max="1058" width="45" style="651" customWidth="1"/>
    <col min="1059" max="1059" width="50.33203125" style="651" customWidth="1"/>
    <col min="1060" max="1060" width="50" style="651" customWidth="1"/>
    <col min="1061" max="1061" width="45" style="651" customWidth="1"/>
    <col min="1062" max="1062" width="50" style="651" customWidth="1"/>
    <col min="1063" max="1064" width="51" style="651" customWidth="1"/>
    <col min="1065" max="1270" width="9.33203125" style="651"/>
    <col min="1271" max="1271" width="186.33203125" style="651" customWidth="1"/>
    <col min="1272" max="1272" width="49.83203125" style="651" customWidth="1"/>
    <col min="1273" max="1273" width="38.33203125" style="651" customWidth="1"/>
    <col min="1274" max="1275" width="50" style="651" customWidth="1"/>
    <col min="1276" max="1276" width="37.6640625" style="651" customWidth="1"/>
    <col min="1277" max="1277" width="50" style="651" customWidth="1"/>
    <col min="1278" max="1278" width="51.33203125" style="651" customWidth="1"/>
    <col min="1279" max="1279" width="38.1640625" style="651" customWidth="1"/>
    <col min="1280" max="1281" width="50" style="651" customWidth="1"/>
    <col min="1282" max="1282" width="38.33203125" style="651" customWidth="1"/>
    <col min="1283" max="1284" width="50" style="651" customWidth="1"/>
    <col min="1285" max="1285" width="38.33203125" style="651" customWidth="1"/>
    <col min="1286" max="1286" width="50" style="651" customWidth="1"/>
    <col min="1287" max="1287" width="186.33203125" style="651" customWidth="1"/>
    <col min="1288" max="1288" width="50" style="651" customWidth="1"/>
    <col min="1289" max="1289" width="38.33203125" style="651" customWidth="1"/>
    <col min="1290" max="1291" width="49.83203125" style="651" customWidth="1"/>
    <col min="1292" max="1292" width="38.1640625" style="651" customWidth="1"/>
    <col min="1293" max="1293" width="49.83203125" style="651" customWidth="1"/>
    <col min="1294" max="1294" width="50" style="651" customWidth="1"/>
    <col min="1295" max="1295" width="38.33203125" style="651" customWidth="1"/>
    <col min="1296" max="1297" width="49.83203125" style="651" customWidth="1"/>
    <col min="1298" max="1298" width="38.1640625" style="651" customWidth="1"/>
    <col min="1299" max="1300" width="50" style="651" customWidth="1"/>
    <col min="1301" max="1301" width="38.33203125" style="651" customWidth="1"/>
    <col min="1302" max="1302" width="50" style="651" customWidth="1"/>
    <col min="1303" max="1303" width="186.33203125" style="651" customWidth="1"/>
    <col min="1304" max="1304" width="50" style="651" customWidth="1"/>
    <col min="1305" max="1305" width="38.33203125" style="651" customWidth="1"/>
    <col min="1306" max="1306" width="49.83203125" style="651" customWidth="1"/>
    <col min="1307" max="1307" width="50" style="651" customWidth="1"/>
    <col min="1308" max="1308" width="45" style="651" customWidth="1"/>
    <col min="1309" max="1310" width="50" style="651" customWidth="1"/>
    <col min="1311" max="1311" width="45" style="651" customWidth="1"/>
    <col min="1312" max="1313" width="50" style="651" customWidth="1"/>
    <col min="1314" max="1314" width="45" style="651" customWidth="1"/>
    <col min="1315" max="1315" width="50.33203125" style="651" customWidth="1"/>
    <col min="1316" max="1316" width="50" style="651" customWidth="1"/>
    <col min="1317" max="1317" width="45" style="651" customWidth="1"/>
    <col min="1318" max="1318" width="50" style="651" customWidth="1"/>
    <col min="1319" max="1320" width="51" style="651" customWidth="1"/>
    <col min="1321" max="1526" width="9.33203125" style="651"/>
    <col min="1527" max="1527" width="186.33203125" style="651" customWidth="1"/>
    <col min="1528" max="1528" width="49.83203125" style="651" customWidth="1"/>
    <col min="1529" max="1529" width="38.33203125" style="651" customWidth="1"/>
    <col min="1530" max="1531" width="50" style="651" customWidth="1"/>
    <col min="1532" max="1532" width="37.6640625" style="651" customWidth="1"/>
    <col min="1533" max="1533" width="50" style="651" customWidth="1"/>
    <col min="1534" max="1534" width="51.33203125" style="651" customWidth="1"/>
    <col min="1535" max="1535" width="38.1640625" style="651" customWidth="1"/>
    <col min="1536" max="1537" width="50" style="651" customWidth="1"/>
    <col min="1538" max="1538" width="38.33203125" style="651" customWidth="1"/>
    <col min="1539" max="1540" width="50" style="651" customWidth="1"/>
    <col min="1541" max="1541" width="38.33203125" style="651" customWidth="1"/>
    <col min="1542" max="1542" width="50" style="651" customWidth="1"/>
    <col min="1543" max="1543" width="186.33203125" style="651" customWidth="1"/>
    <col min="1544" max="1544" width="50" style="651" customWidth="1"/>
    <col min="1545" max="1545" width="38.33203125" style="651" customWidth="1"/>
    <col min="1546" max="1547" width="49.83203125" style="651" customWidth="1"/>
    <col min="1548" max="1548" width="38.1640625" style="651" customWidth="1"/>
    <col min="1549" max="1549" width="49.83203125" style="651" customWidth="1"/>
    <col min="1550" max="1550" width="50" style="651" customWidth="1"/>
    <col min="1551" max="1551" width="38.33203125" style="651" customWidth="1"/>
    <col min="1552" max="1553" width="49.83203125" style="651" customWidth="1"/>
    <col min="1554" max="1554" width="38.1640625" style="651" customWidth="1"/>
    <col min="1555" max="1556" width="50" style="651" customWidth="1"/>
    <col min="1557" max="1557" width="38.33203125" style="651" customWidth="1"/>
    <col min="1558" max="1558" width="50" style="651" customWidth="1"/>
    <col min="1559" max="1559" width="186.33203125" style="651" customWidth="1"/>
    <col min="1560" max="1560" width="50" style="651" customWidth="1"/>
    <col min="1561" max="1561" width="38.33203125" style="651" customWidth="1"/>
    <col min="1562" max="1562" width="49.83203125" style="651" customWidth="1"/>
    <col min="1563" max="1563" width="50" style="651" customWidth="1"/>
    <col min="1564" max="1564" width="45" style="651" customWidth="1"/>
    <col min="1565" max="1566" width="50" style="651" customWidth="1"/>
    <col min="1567" max="1567" width="45" style="651" customWidth="1"/>
    <col min="1568" max="1569" width="50" style="651" customWidth="1"/>
    <col min="1570" max="1570" width="45" style="651" customWidth="1"/>
    <col min="1571" max="1571" width="50.33203125" style="651" customWidth="1"/>
    <col min="1572" max="1572" width="50" style="651" customWidth="1"/>
    <col min="1573" max="1573" width="45" style="651" customWidth="1"/>
    <col min="1574" max="1574" width="50" style="651" customWidth="1"/>
    <col min="1575" max="1576" width="51" style="651" customWidth="1"/>
    <col min="1577" max="1782" width="9.33203125" style="651"/>
    <col min="1783" max="1783" width="186.33203125" style="651" customWidth="1"/>
    <col min="1784" max="1784" width="49.83203125" style="651" customWidth="1"/>
    <col min="1785" max="1785" width="38.33203125" style="651" customWidth="1"/>
    <col min="1786" max="1787" width="50" style="651" customWidth="1"/>
    <col min="1788" max="1788" width="37.6640625" style="651" customWidth="1"/>
    <col min="1789" max="1789" width="50" style="651" customWidth="1"/>
    <col min="1790" max="1790" width="51.33203125" style="651" customWidth="1"/>
    <col min="1791" max="1791" width="38.1640625" style="651" customWidth="1"/>
    <col min="1792" max="1793" width="50" style="651" customWidth="1"/>
    <col min="1794" max="1794" width="38.33203125" style="651" customWidth="1"/>
    <col min="1795" max="1796" width="50" style="651" customWidth="1"/>
    <col min="1797" max="1797" width="38.33203125" style="651" customWidth="1"/>
    <col min="1798" max="1798" width="50" style="651" customWidth="1"/>
    <col min="1799" max="1799" width="186.33203125" style="651" customWidth="1"/>
    <col min="1800" max="1800" width="50" style="651" customWidth="1"/>
    <col min="1801" max="1801" width="38.33203125" style="651" customWidth="1"/>
    <col min="1802" max="1803" width="49.83203125" style="651" customWidth="1"/>
    <col min="1804" max="1804" width="38.1640625" style="651" customWidth="1"/>
    <col min="1805" max="1805" width="49.83203125" style="651" customWidth="1"/>
    <col min="1806" max="1806" width="50" style="651" customWidth="1"/>
    <col min="1807" max="1807" width="38.33203125" style="651" customWidth="1"/>
    <col min="1808" max="1809" width="49.83203125" style="651" customWidth="1"/>
    <col min="1810" max="1810" width="38.1640625" style="651" customWidth="1"/>
    <col min="1811" max="1812" width="50" style="651" customWidth="1"/>
    <col min="1813" max="1813" width="38.33203125" style="651" customWidth="1"/>
    <col min="1814" max="1814" width="50" style="651" customWidth="1"/>
    <col min="1815" max="1815" width="186.33203125" style="651" customWidth="1"/>
    <col min="1816" max="1816" width="50" style="651" customWidth="1"/>
    <col min="1817" max="1817" width="38.33203125" style="651" customWidth="1"/>
    <col min="1818" max="1818" width="49.83203125" style="651" customWidth="1"/>
    <col min="1819" max="1819" width="50" style="651" customWidth="1"/>
    <col min="1820" max="1820" width="45" style="651" customWidth="1"/>
    <col min="1821" max="1822" width="50" style="651" customWidth="1"/>
    <col min="1823" max="1823" width="45" style="651" customWidth="1"/>
    <col min="1824" max="1825" width="50" style="651" customWidth="1"/>
    <col min="1826" max="1826" width="45" style="651" customWidth="1"/>
    <col min="1827" max="1827" width="50.33203125" style="651" customWidth="1"/>
    <col min="1828" max="1828" width="50" style="651" customWidth="1"/>
    <col min="1829" max="1829" width="45" style="651" customWidth="1"/>
    <col min="1830" max="1830" width="50" style="651" customWidth="1"/>
    <col min="1831" max="1832" width="51" style="651" customWidth="1"/>
    <col min="1833" max="2038" width="9.33203125" style="651"/>
    <col min="2039" max="2039" width="186.33203125" style="651" customWidth="1"/>
    <col min="2040" max="2040" width="49.83203125" style="651" customWidth="1"/>
    <col min="2041" max="2041" width="38.33203125" style="651" customWidth="1"/>
    <col min="2042" max="2043" width="50" style="651" customWidth="1"/>
    <col min="2044" max="2044" width="37.6640625" style="651" customWidth="1"/>
    <col min="2045" max="2045" width="50" style="651" customWidth="1"/>
    <col min="2046" max="2046" width="51.33203125" style="651" customWidth="1"/>
    <col min="2047" max="2047" width="38.1640625" style="651" customWidth="1"/>
    <col min="2048" max="2049" width="50" style="651" customWidth="1"/>
    <col min="2050" max="2050" width="38.33203125" style="651" customWidth="1"/>
    <col min="2051" max="2052" width="50" style="651" customWidth="1"/>
    <col min="2053" max="2053" width="38.33203125" style="651" customWidth="1"/>
    <col min="2054" max="2054" width="50" style="651" customWidth="1"/>
    <col min="2055" max="2055" width="186.33203125" style="651" customWidth="1"/>
    <col min="2056" max="2056" width="50" style="651" customWidth="1"/>
    <col min="2057" max="2057" width="38.33203125" style="651" customWidth="1"/>
    <col min="2058" max="2059" width="49.83203125" style="651" customWidth="1"/>
    <col min="2060" max="2060" width="38.1640625" style="651" customWidth="1"/>
    <col min="2061" max="2061" width="49.83203125" style="651" customWidth="1"/>
    <col min="2062" max="2062" width="50" style="651" customWidth="1"/>
    <col min="2063" max="2063" width="38.33203125" style="651" customWidth="1"/>
    <col min="2064" max="2065" width="49.83203125" style="651" customWidth="1"/>
    <col min="2066" max="2066" width="38.1640625" style="651" customWidth="1"/>
    <col min="2067" max="2068" width="50" style="651" customWidth="1"/>
    <col min="2069" max="2069" width="38.33203125" style="651" customWidth="1"/>
    <col min="2070" max="2070" width="50" style="651" customWidth="1"/>
    <col min="2071" max="2071" width="186.33203125" style="651" customWidth="1"/>
    <col min="2072" max="2072" width="50" style="651" customWidth="1"/>
    <col min="2073" max="2073" width="38.33203125" style="651" customWidth="1"/>
    <col min="2074" max="2074" width="49.83203125" style="651" customWidth="1"/>
    <col min="2075" max="2075" width="50" style="651" customWidth="1"/>
    <col min="2076" max="2076" width="45" style="651" customWidth="1"/>
    <col min="2077" max="2078" width="50" style="651" customWidth="1"/>
    <col min="2079" max="2079" width="45" style="651" customWidth="1"/>
    <col min="2080" max="2081" width="50" style="651" customWidth="1"/>
    <col min="2082" max="2082" width="45" style="651" customWidth="1"/>
    <col min="2083" max="2083" width="50.33203125" style="651" customWidth="1"/>
    <col min="2084" max="2084" width="50" style="651" customWidth="1"/>
    <col min="2085" max="2085" width="45" style="651" customWidth="1"/>
    <col min="2086" max="2086" width="50" style="651" customWidth="1"/>
    <col min="2087" max="2088" width="51" style="651" customWidth="1"/>
    <col min="2089" max="2294" width="9.33203125" style="651"/>
    <col min="2295" max="2295" width="186.33203125" style="651" customWidth="1"/>
    <col min="2296" max="2296" width="49.83203125" style="651" customWidth="1"/>
    <col min="2297" max="2297" width="38.33203125" style="651" customWidth="1"/>
    <col min="2298" max="2299" width="50" style="651" customWidth="1"/>
    <col min="2300" max="2300" width="37.6640625" style="651" customWidth="1"/>
    <col min="2301" max="2301" width="50" style="651" customWidth="1"/>
    <col min="2302" max="2302" width="51.33203125" style="651" customWidth="1"/>
    <col min="2303" max="2303" width="38.1640625" style="651" customWidth="1"/>
    <col min="2304" max="2305" width="50" style="651" customWidth="1"/>
    <col min="2306" max="2306" width="38.33203125" style="651" customWidth="1"/>
    <col min="2307" max="2308" width="50" style="651" customWidth="1"/>
    <col min="2309" max="2309" width="38.33203125" style="651" customWidth="1"/>
    <col min="2310" max="2310" width="50" style="651" customWidth="1"/>
    <col min="2311" max="2311" width="186.33203125" style="651" customWidth="1"/>
    <col min="2312" max="2312" width="50" style="651" customWidth="1"/>
    <col min="2313" max="2313" width="38.33203125" style="651" customWidth="1"/>
    <col min="2314" max="2315" width="49.83203125" style="651" customWidth="1"/>
    <col min="2316" max="2316" width="38.1640625" style="651" customWidth="1"/>
    <col min="2317" max="2317" width="49.83203125" style="651" customWidth="1"/>
    <col min="2318" max="2318" width="50" style="651" customWidth="1"/>
    <col min="2319" max="2319" width="38.33203125" style="651" customWidth="1"/>
    <col min="2320" max="2321" width="49.83203125" style="651" customWidth="1"/>
    <col min="2322" max="2322" width="38.1640625" style="651" customWidth="1"/>
    <col min="2323" max="2324" width="50" style="651" customWidth="1"/>
    <col min="2325" max="2325" width="38.33203125" style="651" customWidth="1"/>
    <col min="2326" max="2326" width="50" style="651" customWidth="1"/>
    <col min="2327" max="2327" width="186.33203125" style="651" customWidth="1"/>
    <col min="2328" max="2328" width="50" style="651" customWidth="1"/>
    <col min="2329" max="2329" width="38.33203125" style="651" customWidth="1"/>
    <col min="2330" max="2330" width="49.83203125" style="651" customWidth="1"/>
    <col min="2331" max="2331" width="50" style="651" customWidth="1"/>
    <col min="2332" max="2332" width="45" style="651" customWidth="1"/>
    <col min="2333" max="2334" width="50" style="651" customWidth="1"/>
    <col min="2335" max="2335" width="45" style="651" customWidth="1"/>
    <col min="2336" max="2337" width="50" style="651" customWidth="1"/>
    <col min="2338" max="2338" width="45" style="651" customWidth="1"/>
    <col min="2339" max="2339" width="50.33203125" style="651" customWidth="1"/>
    <col min="2340" max="2340" width="50" style="651" customWidth="1"/>
    <col min="2341" max="2341" width="45" style="651" customWidth="1"/>
    <col min="2342" max="2342" width="50" style="651" customWidth="1"/>
    <col min="2343" max="2344" width="51" style="651" customWidth="1"/>
    <col min="2345" max="2550" width="9.33203125" style="651"/>
    <col min="2551" max="2551" width="186.33203125" style="651" customWidth="1"/>
    <col min="2552" max="2552" width="49.83203125" style="651" customWidth="1"/>
    <col min="2553" max="2553" width="38.33203125" style="651" customWidth="1"/>
    <col min="2554" max="2555" width="50" style="651" customWidth="1"/>
    <col min="2556" max="2556" width="37.6640625" style="651" customWidth="1"/>
    <col min="2557" max="2557" width="50" style="651" customWidth="1"/>
    <col min="2558" max="2558" width="51.33203125" style="651" customWidth="1"/>
    <col min="2559" max="2559" width="38.1640625" style="651" customWidth="1"/>
    <col min="2560" max="2561" width="50" style="651" customWidth="1"/>
    <col min="2562" max="2562" width="38.33203125" style="651" customWidth="1"/>
    <col min="2563" max="2564" width="50" style="651" customWidth="1"/>
    <col min="2565" max="2565" width="38.33203125" style="651" customWidth="1"/>
    <col min="2566" max="2566" width="50" style="651" customWidth="1"/>
    <col min="2567" max="2567" width="186.33203125" style="651" customWidth="1"/>
    <col min="2568" max="2568" width="50" style="651" customWidth="1"/>
    <col min="2569" max="2569" width="38.33203125" style="651" customWidth="1"/>
    <col min="2570" max="2571" width="49.83203125" style="651" customWidth="1"/>
    <col min="2572" max="2572" width="38.1640625" style="651" customWidth="1"/>
    <col min="2573" max="2573" width="49.83203125" style="651" customWidth="1"/>
    <col min="2574" max="2574" width="50" style="651" customWidth="1"/>
    <col min="2575" max="2575" width="38.33203125" style="651" customWidth="1"/>
    <col min="2576" max="2577" width="49.83203125" style="651" customWidth="1"/>
    <col min="2578" max="2578" width="38.1640625" style="651" customWidth="1"/>
    <col min="2579" max="2580" width="50" style="651" customWidth="1"/>
    <col min="2581" max="2581" width="38.33203125" style="651" customWidth="1"/>
    <col min="2582" max="2582" width="50" style="651" customWidth="1"/>
    <col min="2583" max="2583" width="186.33203125" style="651" customWidth="1"/>
    <col min="2584" max="2584" width="50" style="651" customWidth="1"/>
    <col min="2585" max="2585" width="38.33203125" style="651" customWidth="1"/>
    <col min="2586" max="2586" width="49.83203125" style="651" customWidth="1"/>
    <col min="2587" max="2587" width="50" style="651" customWidth="1"/>
    <col min="2588" max="2588" width="45" style="651" customWidth="1"/>
    <col min="2589" max="2590" width="50" style="651" customWidth="1"/>
    <col min="2591" max="2591" width="45" style="651" customWidth="1"/>
    <col min="2592" max="2593" width="50" style="651" customWidth="1"/>
    <col min="2594" max="2594" width="45" style="651" customWidth="1"/>
    <col min="2595" max="2595" width="50.33203125" style="651" customWidth="1"/>
    <col min="2596" max="2596" width="50" style="651" customWidth="1"/>
    <col min="2597" max="2597" width="45" style="651" customWidth="1"/>
    <col min="2598" max="2598" width="50" style="651" customWidth="1"/>
    <col min="2599" max="2600" width="51" style="651" customWidth="1"/>
    <col min="2601" max="2806" width="9.33203125" style="651"/>
    <col min="2807" max="2807" width="186.33203125" style="651" customWidth="1"/>
    <col min="2808" max="2808" width="49.83203125" style="651" customWidth="1"/>
    <col min="2809" max="2809" width="38.33203125" style="651" customWidth="1"/>
    <col min="2810" max="2811" width="50" style="651" customWidth="1"/>
    <col min="2812" max="2812" width="37.6640625" style="651" customWidth="1"/>
    <col min="2813" max="2813" width="50" style="651" customWidth="1"/>
    <col min="2814" max="2814" width="51.33203125" style="651" customWidth="1"/>
    <col min="2815" max="2815" width="38.1640625" style="651" customWidth="1"/>
    <col min="2816" max="2817" width="50" style="651" customWidth="1"/>
    <col min="2818" max="2818" width="38.33203125" style="651" customWidth="1"/>
    <col min="2819" max="2820" width="50" style="651" customWidth="1"/>
    <col min="2821" max="2821" width="38.33203125" style="651" customWidth="1"/>
    <col min="2822" max="2822" width="50" style="651" customWidth="1"/>
    <col min="2823" max="2823" width="186.33203125" style="651" customWidth="1"/>
    <col min="2824" max="2824" width="50" style="651" customWidth="1"/>
    <col min="2825" max="2825" width="38.33203125" style="651" customWidth="1"/>
    <col min="2826" max="2827" width="49.83203125" style="651" customWidth="1"/>
    <col min="2828" max="2828" width="38.1640625" style="651" customWidth="1"/>
    <col min="2829" max="2829" width="49.83203125" style="651" customWidth="1"/>
    <col min="2830" max="2830" width="50" style="651" customWidth="1"/>
    <col min="2831" max="2831" width="38.33203125" style="651" customWidth="1"/>
    <col min="2832" max="2833" width="49.83203125" style="651" customWidth="1"/>
    <col min="2834" max="2834" width="38.1640625" style="651" customWidth="1"/>
    <col min="2835" max="2836" width="50" style="651" customWidth="1"/>
    <col min="2837" max="2837" width="38.33203125" style="651" customWidth="1"/>
    <col min="2838" max="2838" width="50" style="651" customWidth="1"/>
    <col min="2839" max="2839" width="186.33203125" style="651" customWidth="1"/>
    <col min="2840" max="2840" width="50" style="651" customWidth="1"/>
    <col min="2841" max="2841" width="38.33203125" style="651" customWidth="1"/>
    <col min="2842" max="2842" width="49.83203125" style="651" customWidth="1"/>
    <col min="2843" max="2843" width="50" style="651" customWidth="1"/>
    <col min="2844" max="2844" width="45" style="651" customWidth="1"/>
    <col min="2845" max="2846" width="50" style="651" customWidth="1"/>
    <col min="2847" max="2847" width="45" style="651" customWidth="1"/>
    <col min="2848" max="2849" width="50" style="651" customWidth="1"/>
    <col min="2850" max="2850" width="45" style="651" customWidth="1"/>
    <col min="2851" max="2851" width="50.33203125" style="651" customWidth="1"/>
    <col min="2852" max="2852" width="50" style="651" customWidth="1"/>
    <col min="2853" max="2853" width="45" style="651" customWidth="1"/>
    <col min="2854" max="2854" width="50" style="651" customWidth="1"/>
    <col min="2855" max="2856" width="51" style="651" customWidth="1"/>
    <col min="2857" max="3062" width="9.33203125" style="651"/>
    <col min="3063" max="3063" width="186.33203125" style="651" customWidth="1"/>
    <col min="3064" max="3064" width="49.83203125" style="651" customWidth="1"/>
    <col min="3065" max="3065" width="38.33203125" style="651" customWidth="1"/>
    <col min="3066" max="3067" width="50" style="651" customWidth="1"/>
    <col min="3068" max="3068" width="37.6640625" style="651" customWidth="1"/>
    <col min="3069" max="3069" width="50" style="651" customWidth="1"/>
    <col min="3070" max="3070" width="51.33203125" style="651" customWidth="1"/>
    <col min="3071" max="3071" width="38.1640625" style="651" customWidth="1"/>
    <col min="3072" max="3073" width="50" style="651" customWidth="1"/>
    <col min="3074" max="3074" width="38.33203125" style="651" customWidth="1"/>
    <col min="3075" max="3076" width="50" style="651" customWidth="1"/>
    <col min="3077" max="3077" width="38.33203125" style="651" customWidth="1"/>
    <col min="3078" max="3078" width="50" style="651" customWidth="1"/>
    <col min="3079" max="3079" width="186.33203125" style="651" customWidth="1"/>
    <col min="3080" max="3080" width="50" style="651" customWidth="1"/>
    <col min="3081" max="3081" width="38.33203125" style="651" customWidth="1"/>
    <col min="3082" max="3083" width="49.83203125" style="651" customWidth="1"/>
    <col min="3084" max="3084" width="38.1640625" style="651" customWidth="1"/>
    <col min="3085" max="3085" width="49.83203125" style="651" customWidth="1"/>
    <col min="3086" max="3086" width="50" style="651" customWidth="1"/>
    <col min="3087" max="3087" width="38.33203125" style="651" customWidth="1"/>
    <col min="3088" max="3089" width="49.83203125" style="651" customWidth="1"/>
    <col min="3090" max="3090" width="38.1640625" style="651" customWidth="1"/>
    <col min="3091" max="3092" width="50" style="651" customWidth="1"/>
    <col min="3093" max="3093" width="38.33203125" style="651" customWidth="1"/>
    <col min="3094" max="3094" width="50" style="651" customWidth="1"/>
    <col min="3095" max="3095" width="186.33203125" style="651" customWidth="1"/>
    <col min="3096" max="3096" width="50" style="651" customWidth="1"/>
    <col min="3097" max="3097" width="38.33203125" style="651" customWidth="1"/>
    <col min="3098" max="3098" width="49.83203125" style="651" customWidth="1"/>
    <col min="3099" max="3099" width="50" style="651" customWidth="1"/>
    <col min="3100" max="3100" width="45" style="651" customWidth="1"/>
    <col min="3101" max="3102" width="50" style="651" customWidth="1"/>
    <col min="3103" max="3103" width="45" style="651" customWidth="1"/>
    <col min="3104" max="3105" width="50" style="651" customWidth="1"/>
    <col min="3106" max="3106" width="45" style="651" customWidth="1"/>
    <col min="3107" max="3107" width="50.33203125" style="651" customWidth="1"/>
    <col min="3108" max="3108" width="50" style="651" customWidth="1"/>
    <col min="3109" max="3109" width="45" style="651" customWidth="1"/>
    <col min="3110" max="3110" width="50" style="651" customWidth="1"/>
    <col min="3111" max="3112" width="51" style="651" customWidth="1"/>
    <col min="3113" max="3318" width="9.33203125" style="651"/>
    <col min="3319" max="3319" width="186.33203125" style="651" customWidth="1"/>
    <col min="3320" max="3320" width="49.83203125" style="651" customWidth="1"/>
    <col min="3321" max="3321" width="38.33203125" style="651" customWidth="1"/>
    <col min="3322" max="3323" width="50" style="651" customWidth="1"/>
    <col min="3324" max="3324" width="37.6640625" style="651" customWidth="1"/>
    <col min="3325" max="3325" width="50" style="651" customWidth="1"/>
    <col min="3326" max="3326" width="51.33203125" style="651" customWidth="1"/>
    <col min="3327" max="3327" width="38.1640625" style="651" customWidth="1"/>
    <col min="3328" max="3329" width="50" style="651" customWidth="1"/>
    <col min="3330" max="3330" width="38.33203125" style="651" customWidth="1"/>
    <col min="3331" max="3332" width="50" style="651" customWidth="1"/>
    <col min="3333" max="3333" width="38.33203125" style="651" customWidth="1"/>
    <col min="3334" max="3334" width="50" style="651" customWidth="1"/>
    <col min="3335" max="3335" width="186.33203125" style="651" customWidth="1"/>
    <col min="3336" max="3336" width="50" style="651" customWidth="1"/>
    <col min="3337" max="3337" width="38.33203125" style="651" customWidth="1"/>
    <col min="3338" max="3339" width="49.83203125" style="651" customWidth="1"/>
    <col min="3340" max="3340" width="38.1640625" style="651" customWidth="1"/>
    <col min="3341" max="3341" width="49.83203125" style="651" customWidth="1"/>
    <col min="3342" max="3342" width="50" style="651" customWidth="1"/>
    <col min="3343" max="3343" width="38.33203125" style="651" customWidth="1"/>
    <col min="3344" max="3345" width="49.83203125" style="651" customWidth="1"/>
    <col min="3346" max="3346" width="38.1640625" style="651" customWidth="1"/>
    <col min="3347" max="3348" width="50" style="651" customWidth="1"/>
    <col min="3349" max="3349" width="38.33203125" style="651" customWidth="1"/>
    <col min="3350" max="3350" width="50" style="651" customWidth="1"/>
    <col min="3351" max="3351" width="186.33203125" style="651" customWidth="1"/>
    <col min="3352" max="3352" width="50" style="651" customWidth="1"/>
    <col min="3353" max="3353" width="38.33203125" style="651" customWidth="1"/>
    <col min="3354" max="3354" width="49.83203125" style="651" customWidth="1"/>
    <col min="3355" max="3355" width="50" style="651" customWidth="1"/>
    <col min="3356" max="3356" width="45" style="651" customWidth="1"/>
    <col min="3357" max="3358" width="50" style="651" customWidth="1"/>
    <col min="3359" max="3359" width="45" style="651" customWidth="1"/>
    <col min="3360" max="3361" width="50" style="651" customWidth="1"/>
    <col min="3362" max="3362" width="45" style="651" customWidth="1"/>
    <col min="3363" max="3363" width="50.33203125" style="651" customWidth="1"/>
    <col min="3364" max="3364" width="50" style="651" customWidth="1"/>
    <col min="3365" max="3365" width="45" style="651" customWidth="1"/>
    <col min="3366" max="3366" width="50" style="651" customWidth="1"/>
    <col min="3367" max="3368" width="51" style="651" customWidth="1"/>
    <col min="3369" max="3574" width="9.33203125" style="651"/>
    <col min="3575" max="3575" width="186.33203125" style="651" customWidth="1"/>
    <col min="3576" max="3576" width="49.83203125" style="651" customWidth="1"/>
    <col min="3577" max="3577" width="38.33203125" style="651" customWidth="1"/>
    <col min="3578" max="3579" width="50" style="651" customWidth="1"/>
    <col min="3580" max="3580" width="37.6640625" style="651" customWidth="1"/>
    <col min="3581" max="3581" width="50" style="651" customWidth="1"/>
    <col min="3582" max="3582" width="51.33203125" style="651" customWidth="1"/>
    <col min="3583" max="3583" width="38.1640625" style="651" customWidth="1"/>
    <col min="3584" max="3585" width="50" style="651" customWidth="1"/>
    <col min="3586" max="3586" width="38.33203125" style="651" customWidth="1"/>
    <col min="3587" max="3588" width="50" style="651" customWidth="1"/>
    <col min="3589" max="3589" width="38.33203125" style="651" customWidth="1"/>
    <col min="3590" max="3590" width="50" style="651" customWidth="1"/>
    <col min="3591" max="3591" width="186.33203125" style="651" customWidth="1"/>
    <col min="3592" max="3592" width="50" style="651" customWidth="1"/>
    <col min="3593" max="3593" width="38.33203125" style="651" customWidth="1"/>
    <col min="3594" max="3595" width="49.83203125" style="651" customWidth="1"/>
    <col min="3596" max="3596" width="38.1640625" style="651" customWidth="1"/>
    <col min="3597" max="3597" width="49.83203125" style="651" customWidth="1"/>
    <col min="3598" max="3598" width="50" style="651" customWidth="1"/>
    <col min="3599" max="3599" width="38.33203125" style="651" customWidth="1"/>
    <col min="3600" max="3601" width="49.83203125" style="651" customWidth="1"/>
    <col min="3602" max="3602" width="38.1640625" style="651" customWidth="1"/>
    <col min="3603" max="3604" width="50" style="651" customWidth="1"/>
    <col min="3605" max="3605" width="38.33203125" style="651" customWidth="1"/>
    <col min="3606" max="3606" width="50" style="651" customWidth="1"/>
    <col min="3607" max="3607" width="186.33203125" style="651" customWidth="1"/>
    <col min="3608" max="3608" width="50" style="651" customWidth="1"/>
    <col min="3609" max="3609" width="38.33203125" style="651" customWidth="1"/>
    <col min="3610" max="3610" width="49.83203125" style="651" customWidth="1"/>
    <col min="3611" max="3611" width="50" style="651" customWidth="1"/>
    <col min="3612" max="3612" width="45" style="651" customWidth="1"/>
    <col min="3613" max="3614" width="50" style="651" customWidth="1"/>
    <col min="3615" max="3615" width="45" style="651" customWidth="1"/>
    <col min="3616" max="3617" width="50" style="651" customWidth="1"/>
    <col min="3618" max="3618" width="45" style="651" customWidth="1"/>
    <col min="3619" max="3619" width="50.33203125" style="651" customWidth="1"/>
    <col min="3620" max="3620" width="50" style="651" customWidth="1"/>
    <col min="3621" max="3621" width="45" style="651" customWidth="1"/>
    <col min="3622" max="3622" width="50" style="651" customWidth="1"/>
    <col min="3623" max="3624" width="51" style="651" customWidth="1"/>
    <col min="3625" max="3830" width="9.33203125" style="651"/>
    <col min="3831" max="3831" width="186.33203125" style="651" customWidth="1"/>
    <col min="3832" max="3832" width="49.83203125" style="651" customWidth="1"/>
    <col min="3833" max="3833" width="38.33203125" style="651" customWidth="1"/>
    <col min="3834" max="3835" width="50" style="651" customWidth="1"/>
    <col min="3836" max="3836" width="37.6640625" style="651" customWidth="1"/>
    <col min="3837" max="3837" width="50" style="651" customWidth="1"/>
    <col min="3838" max="3838" width="51.33203125" style="651" customWidth="1"/>
    <col min="3839" max="3839" width="38.1640625" style="651" customWidth="1"/>
    <col min="3840" max="3841" width="50" style="651" customWidth="1"/>
    <col min="3842" max="3842" width="38.33203125" style="651" customWidth="1"/>
    <col min="3843" max="3844" width="50" style="651" customWidth="1"/>
    <col min="3845" max="3845" width="38.33203125" style="651" customWidth="1"/>
    <col min="3846" max="3846" width="50" style="651" customWidth="1"/>
    <col min="3847" max="3847" width="186.33203125" style="651" customWidth="1"/>
    <col min="3848" max="3848" width="50" style="651" customWidth="1"/>
    <col min="3849" max="3849" width="38.33203125" style="651" customWidth="1"/>
    <col min="3850" max="3851" width="49.83203125" style="651" customWidth="1"/>
    <col min="3852" max="3852" width="38.1640625" style="651" customWidth="1"/>
    <col min="3853" max="3853" width="49.83203125" style="651" customWidth="1"/>
    <col min="3854" max="3854" width="50" style="651" customWidth="1"/>
    <col min="3855" max="3855" width="38.33203125" style="651" customWidth="1"/>
    <col min="3856" max="3857" width="49.83203125" style="651" customWidth="1"/>
    <col min="3858" max="3858" width="38.1640625" style="651" customWidth="1"/>
    <col min="3859" max="3860" width="50" style="651" customWidth="1"/>
    <col min="3861" max="3861" width="38.33203125" style="651" customWidth="1"/>
    <col min="3862" max="3862" width="50" style="651" customWidth="1"/>
    <col min="3863" max="3863" width="186.33203125" style="651" customWidth="1"/>
    <col min="3864" max="3864" width="50" style="651" customWidth="1"/>
    <col min="3865" max="3865" width="38.33203125" style="651" customWidth="1"/>
    <col min="3866" max="3866" width="49.83203125" style="651" customWidth="1"/>
    <col min="3867" max="3867" width="50" style="651" customWidth="1"/>
    <col min="3868" max="3868" width="45" style="651" customWidth="1"/>
    <col min="3869" max="3870" width="50" style="651" customWidth="1"/>
    <col min="3871" max="3871" width="45" style="651" customWidth="1"/>
    <col min="3872" max="3873" width="50" style="651" customWidth="1"/>
    <col min="3874" max="3874" width="45" style="651" customWidth="1"/>
    <col min="3875" max="3875" width="50.33203125" style="651" customWidth="1"/>
    <col min="3876" max="3876" width="50" style="651" customWidth="1"/>
    <col min="3877" max="3877" width="45" style="651" customWidth="1"/>
    <col min="3878" max="3878" width="50" style="651" customWidth="1"/>
    <col min="3879" max="3880" width="51" style="651" customWidth="1"/>
    <col min="3881" max="4086" width="9.33203125" style="651"/>
    <col min="4087" max="4087" width="186.33203125" style="651" customWidth="1"/>
    <col min="4088" max="4088" width="49.83203125" style="651" customWidth="1"/>
    <col min="4089" max="4089" width="38.33203125" style="651" customWidth="1"/>
    <col min="4090" max="4091" width="50" style="651" customWidth="1"/>
    <col min="4092" max="4092" width="37.6640625" style="651" customWidth="1"/>
    <col min="4093" max="4093" width="50" style="651" customWidth="1"/>
    <col min="4094" max="4094" width="51.33203125" style="651" customWidth="1"/>
    <col min="4095" max="4095" width="38.1640625" style="651" customWidth="1"/>
    <col min="4096" max="4097" width="50" style="651" customWidth="1"/>
    <col min="4098" max="4098" width="38.33203125" style="651" customWidth="1"/>
    <col min="4099" max="4100" width="50" style="651" customWidth="1"/>
    <col min="4101" max="4101" width="38.33203125" style="651" customWidth="1"/>
    <col min="4102" max="4102" width="50" style="651" customWidth="1"/>
    <col min="4103" max="4103" width="186.33203125" style="651" customWidth="1"/>
    <col min="4104" max="4104" width="50" style="651" customWidth="1"/>
    <col min="4105" max="4105" width="38.33203125" style="651" customWidth="1"/>
    <col min="4106" max="4107" width="49.83203125" style="651" customWidth="1"/>
    <col min="4108" max="4108" width="38.1640625" style="651" customWidth="1"/>
    <col min="4109" max="4109" width="49.83203125" style="651" customWidth="1"/>
    <col min="4110" max="4110" width="50" style="651" customWidth="1"/>
    <col min="4111" max="4111" width="38.33203125" style="651" customWidth="1"/>
    <col min="4112" max="4113" width="49.83203125" style="651" customWidth="1"/>
    <col min="4114" max="4114" width="38.1640625" style="651" customWidth="1"/>
    <col min="4115" max="4116" width="50" style="651" customWidth="1"/>
    <col min="4117" max="4117" width="38.33203125" style="651" customWidth="1"/>
    <col min="4118" max="4118" width="50" style="651" customWidth="1"/>
    <col min="4119" max="4119" width="186.33203125" style="651" customWidth="1"/>
    <col min="4120" max="4120" width="50" style="651" customWidth="1"/>
    <col min="4121" max="4121" width="38.33203125" style="651" customWidth="1"/>
    <col min="4122" max="4122" width="49.83203125" style="651" customWidth="1"/>
    <col min="4123" max="4123" width="50" style="651" customWidth="1"/>
    <col min="4124" max="4124" width="45" style="651" customWidth="1"/>
    <col min="4125" max="4126" width="50" style="651" customWidth="1"/>
    <col min="4127" max="4127" width="45" style="651" customWidth="1"/>
    <col min="4128" max="4129" width="50" style="651" customWidth="1"/>
    <col min="4130" max="4130" width="45" style="651" customWidth="1"/>
    <col min="4131" max="4131" width="50.33203125" style="651" customWidth="1"/>
    <col min="4132" max="4132" width="50" style="651" customWidth="1"/>
    <col min="4133" max="4133" width="45" style="651" customWidth="1"/>
    <col min="4134" max="4134" width="50" style="651" customWidth="1"/>
    <col min="4135" max="4136" width="51" style="651" customWidth="1"/>
    <col min="4137" max="4342" width="9.33203125" style="651"/>
    <col min="4343" max="4343" width="186.33203125" style="651" customWidth="1"/>
    <col min="4344" max="4344" width="49.83203125" style="651" customWidth="1"/>
    <col min="4345" max="4345" width="38.33203125" style="651" customWidth="1"/>
    <col min="4346" max="4347" width="50" style="651" customWidth="1"/>
    <col min="4348" max="4348" width="37.6640625" style="651" customWidth="1"/>
    <col min="4349" max="4349" width="50" style="651" customWidth="1"/>
    <col min="4350" max="4350" width="51.33203125" style="651" customWidth="1"/>
    <col min="4351" max="4351" width="38.1640625" style="651" customWidth="1"/>
    <col min="4352" max="4353" width="50" style="651" customWidth="1"/>
    <col min="4354" max="4354" width="38.33203125" style="651" customWidth="1"/>
    <col min="4355" max="4356" width="50" style="651" customWidth="1"/>
    <col min="4357" max="4357" width="38.33203125" style="651" customWidth="1"/>
    <col min="4358" max="4358" width="50" style="651" customWidth="1"/>
    <col min="4359" max="4359" width="186.33203125" style="651" customWidth="1"/>
    <col min="4360" max="4360" width="50" style="651" customWidth="1"/>
    <col min="4361" max="4361" width="38.33203125" style="651" customWidth="1"/>
    <col min="4362" max="4363" width="49.83203125" style="651" customWidth="1"/>
    <col min="4364" max="4364" width="38.1640625" style="651" customWidth="1"/>
    <col min="4365" max="4365" width="49.83203125" style="651" customWidth="1"/>
    <col min="4366" max="4366" width="50" style="651" customWidth="1"/>
    <col min="4367" max="4367" width="38.33203125" style="651" customWidth="1"/>
    <col min="4368" max="4369" width="49.83203125" style="651" customWidth="1"/>
    <col min="4370" max="4370" width="38.1640625" style="651" customWidth="1"/>
    <col min="4371" max="4372" width="50" style="651" customWidth="1"/>
    <col min="4373" max="4373" width="38.33203125" style="651" customWidth="1"/>
    <col min="4374" max="4374" width="50" style="651" customWidth="1"/>
    <col min="4375" max="4375" width="186.33203125" style="651" customWidth="1"/>
    <col min="4376" max="4376" width="50" style="651" customWidth="1"/>
    <col min="4377" max="4377" width="38.33203125" style="651" customWidth="1"/>
    <col min="4378" max="4378" width="49.83203125" style="651" customWidth="1"/>
    <col min="4379" max="4379" width="50" style="651" customWidth="1"/>
    <col min="4380" max="4380" width="45" style="651" customWidth="1"/>
    <col min="4381" max="4382" width="50" style="651" customWidth="1"/>
    <col min="4383" max="4383" width="45" style="651" customWidth="1"/>
    <col min="4384" max="4385" width="50" style="651" customWidth="1"/>
    <col min="4386" max="4386" width="45" style="651" customWidth="1"/>
    <col min="4387" max="4387" width="50.33203125" style="651" customWidth="1"/>
    <col min="4388" max="4388" width="50" style="651" customWidth="1"/>
    <col min="4389" max="4389" width="45" style="651" customWidth="1"/>
    <col min="4390" max="4390" width="50" style="651" customWidth="1"/>
    <col min="4391" max="4392" width="51" style="651" customWidth="1"/>
    <col min="4393" max="4598" width="9.33203125" style="651"/>
    <col min="4599" max="4599" width="186.33203125" style="651" customWidth="1"/>
    <col min="4600" max="4600" width="49.83203125" style="651" customWidth="1"/>
    <col min="4601" max="4601" width="38.33203125" style="651" customWidth="1"/>
    <col min="4602" max="4603" width="50" style="651" customWidth="1"/>
    <col min="4604" max="4604" width="37.6640625" style="651" customWidth="1"/>
    <col min="4605" max="4605" width="50" style="651" customWidth="1"/>
    <col min="4606" max="4606" width="51.33203125" style="651" customWidth="1"/>
    <col min="4607" max="4607" width="38.1640625" style="651" customWidth="1"/>
    <col min="4608" max="4609" width="50" style="651" customWidth="1"/>
    <col min="4610" max="4610" width="38.33203125" style="651" customWidth="1"/>
    <col min="4611" max="4612" width="50" style="651" customWidth="1"/>
    <col min="4613" max="4613" width="38.33203125" style="651" customWidth="1"/>
    <col min="4614" max="4614" width="50" style="651" customWidth="1"/>
    <col min="4615" max="4615" width="186.33203125" style="651" customWidth="1"/>
    <col min="4616" max="4616" width="50" style="651" customWidth="1"/>
    <col min="4617" max="4617" width="38.33203125" style="651" customWidth="1"/>
    <col min="4618" max="4619" width="49.83203125" style="651" customWidth="1"/>
    <col min="4620" max="4620" width="38.1640625" style="651" customWidth="1"/>
    <col min="4621" max="4621" width="49.83203125" style="651" customWidth="1"/>
    <col min="4622" max="4622" width="50" style="651" customWidth="1"/>
    <col min="4623" max="4623" width="38.33203125" style="651" customWidth="1"/>
    <col min="4624" max="4625" width="49.83203125" style="651" customWidth="1"/>
    <col min="4626" max="4626" width="38.1640625" style="651" customWidth="1"/>
    <col min="4627" max="4628" width="50" style="651" customWidth="1"/>
    <col min="4629" max="4629" width="38.33203125" style="651" customWidth="1"/>
    <col min="4630" max="4630" width="50" style="651" customWidth="1"/>
    <col min="4631" max="4631" width="186.33203125" style="651" customWidth="1"/>
    <col min="4632" max="4632" width="50" style="651" customWidth="1"/>
    <col min="4633" max="4633" width="38.33203125" style="651" customWidth="1"/>
    <col min="4634" max="4634" width="49.83203125" style="651" customWidth="1"/>
    <col min="4635" max="4635" width="50" style="651" customWidth="1"/>
    <col min="4636" max="4636" width="45" style="651" customWidth="1"/>
    <col min="4637" max="4638" width="50" style="651" customWidth="1"/>
    <col min="4639" max="4639" width="45" style="651" customWidth="1"/>
    <col min="4640" max="4641" width="50" style="651" customWidth="1"/>
    <col min="4642" max="4642" width="45" style="651" customWidth="1"/>
    <col min="4643" max="4643" width="50.33203125" style="651" customWidth="1"/>
    <col min="4644" max="4644" width="50" style="651" customWidth="1"/>
    <col min="4645" max="4645" width="45" style="651" customWidth="1"/>
    <col min="4646" max="4646" width="50" style="651" customWidth="1"/>
    <col min="4647" max="4648" width="51" style="651" customWidth="1"/>
    <col min="4649" max="4854" width="9.33203125" style="651"/>
    <col min="4855" max="4855" width="186.33203125" style="651" customWidth="1"/>
    <col min="4856" max="4856" width="49.83203125" style="651" customWidth="1"/>
    <col min="4857" max="4857" width="38.33203125" style="651" customWidth="1"/>
    <col min="4858" max="4859" width="50" style="651" customWidth="1"/>
    <col min="4860" max="4860" width="37.6640625" style="651" customWidth="1"/>
    <col min="4861" max="4861" width="50" style="651" customWidth="1"/>
    <col min="4862" max="4862" width="51.33203125" style="651" customWidth="1"/>
    <col min="4863" max="4863" width="38.1640625" style="651" customWidth="1"/>
    <col min="4864" max="4865" width="50" style="651" customWidth="1"/>
    <col min="4866" max="4866" width="38.33203125" style="651" customWidth="1"/>
    <col min="4867" max="4868" width="50" style="651" customWidth="1"/>
    <col min="4869" max="4869" width="38.33203125" style="651" customWidth="1"/>
    <col min="4870" max="4870" width="50" style="651" customWidth="1"/>
    <col min="4871" max="4871" width="186.33203125" style="651" customWidth="1"/>
    <col min="4872" max="4872" width="50" style="651" customWidth="1"/>
    <col min="4873" max="4873" width="38.33203125" style="651" customWidth="1"/>
    <col min="4874" max="4875" width="49.83203125" style="651" customWidth="1"/>
    <col min="4876" max="4876" width="38.1640625" style="651" customWidth="1"/>
    <col min="4877" max="4877" width="49.83203125" style="651" customWidth="1"/>
    <col min="4878" max="4878" width="50" style="651" customWidth="1"/>
    <col min="4879" max="4879" width="38.33203125" style="651" customWidth="1"/>
    <col min="4880" max="4881" width="49.83203125" style="651" customWidth="1"/>
    <col min="4882" max="4882" width="38.1640625" style="651" customWidth="1"/>
    <col min="4883" max="4884" width="50" style="651" customWidth="1"/>
    <col min="4885" max="4885" width="38.33203125" style="651" customWidth="1"/>
    <col min="4886" max="4886" width="50" style="651" customWidth="1"/>
    <col min="4887" max="4887" width="186.33203125" style="651" customWidth="1"/>
    <col min="4888" max="4888" width="50" style="651" customWidth="1"/>
    <col min="4889" max="4889" width="38.33203125" style="651" customWidth="1"/>
    <col min="4890" max="4890" width="49.83203125" style="651" customWidth="1"/>
    <col min="4891" max="4891" width="50" style="651" customWidth="1"/>
    <col min="4892" max="4892" width="45" style="651" customWidth="1"/>
    <col min="4893" max="4894" width="50" style="651" customWidth="1"/>
    <col min="4895" max="4895" width="45" style="651" customWidth="1"/>
    <col min="4896" max="4897" width="50" style="651" customWidth="1"/>
    <col min="4898" max="4898" width="45" style="651" customWidth="1"/>
    <col min="4899" max="4899" width="50.33203125" style="651" customWidth="1"/>
    <col min="4900" max="4900" width="50" style="651" customWidth="1"/>
    <col min="4901" max="4901" width="45" style="651" customWidth="1"/>
    <col min="4902" max="4902" width="50" style="651" customWidth="1"/>
    <col min="4903" max="4904" width="51" style="651" customWidth="1"/>
    <col min="4905" max="5110" width="9.33203125" style="651"/>
    <col min="5111" max="5111" width="186.33203125" style="651" customWidth="1"/>
    <col min="5112" max="5112" width="49.83203125" style="651" customWidth="1"/>
    <col min="5113" max="5113" width="38.33203125" style="651" customWidth="1"/>
    <col min="5114" max="5115" width="50" style="651" customWidth="1"/>
    <col min="5116" max="5116" width="37.6640625" style="651" customWidth="1"/>
    <col min="5117" max="5117" width="50" style="651" customWidth="1"/>
    <col min="5118" max="5118" width="51.33203125" style="651" customWidth="1"/>
    <col min="5119" max="5119" width="38.1640625" style="651" customWidth="1"/>
    <col min="5120" max="5121" width="50" style="651" customWidth="1"/>
    <col min="5122" max="5122" width="38.33203125" style="651" customWidth="1"/>
    <col min="5123" max="5124" width="50" style="651" customWidth="1"/>
    <col min="5125" max="5125" width="38.33203125" style="651" customWidth="1"/>
    <col min="5126" max="5126" width="50" style="651" customWidth="1"/>
    <col min="5127" max="5127" width="186.33203125" style="651" customWidth="1"/>
    <col min="5128" max="5128" width="50" style="651" customWidth="1"/>
    <col min="5129" max="5129" width="38.33203125" style="651" customWidth="1"/>
    <col min="5130" max="5131" width="49.83203125" style="651" customWidth="1"/>
    <col min="5132" max="5132" width="38.1640625" style="651" customWidth="1"/>
    <col min="5133" max="5133" width="49.83203125" style="651" customWidth="1"/>
    <col min="5134" max="5134" width="50" style="651" customWidth="1"/>
    <col min="5135" max="5135" width="38.33203125" style="651" customWidth="1"/>
    <col min="5136" max="5137" width="49.83203125" style="651" customWidth="1"/>
    <col min="5138" max="5138" width="38.1640625" style="651" customWidth="1"/>
    <col min="5139" max="5140" width="50" style="651" customWidth="1"/>
    <col min="5141" max="5141" width="38.33203125" style="651" customWidth="1"/>
    <col min="5142" max="5142" width="50" style="651" customWidth="1"/>
    <col min="5143" max="5143" width="186.33203125" style="651" customWidth="1"/>
    <col min="5144" max="5144" width="50" style="651" customWidth="1"/>
    <col min="5145" max="5145" width="38.33203125" style="651" customWidth="1"/>
    <col min="5146" max="5146" width="49.83203125" style="651" customWidth="1"/>
    <col min="5147" max="5147" width="50" style="651" customWidth="1"/>
    <col min="5148" max="5148" width="45" style="651" customWidth="1"/>
    <col min="5149" max="5150" width="50" style="651" customWidth="1"/>
    <col min="5151" max="5151" width="45" style="651" customWidth="1"/>
    <col min="5152" max="5153" width="50" style="651" customWidth="1"/>
    <col min="5154" max="5154" width="45" style="651" customWidth="1"/>
    <col min="5155" max="5155" width="50.33203125" style="651" customWidth="1"/>
    <col min="5156" max="5156" width="50" style="651" customWidth="1"/>
    <col min="5157" max="5157" width="45" style="651" customWidth="1"/>
    <col min="5158" max="5158" width="50" style="651" customWidth="1"/>
    <col min="5159" max="5160" width="51" style="651" customWidth="1"/>
    <col min="5161" max="5366" width="9.33203125" style="651"/>
    <col min="5367" max="5367" width="186.33203125" style="651" customWidth="1"/>
    <col min="5368" max="5368" width="49.83203125" style="651" customWidth="1"/>
    <col min="5369" max="5369" width="38.33203125" style="651" customWidth="1"/>
    <col min="5370" max="5371" width="50" style="651" customWidth="1"/>
    <col min="5372" max="5372" width="37.6640625" style="651" customWidth="1"/>
    <col min="5373" max="5373" width="50" style="651" customWidth="1"/>
    <col min="5374" max="5374" width="51.33203125" style="651" customWidth="1"/>
    <col min="5375" max="5375" width="38.1640625" style="651" customWidth="1"/>
    <col min="5376" max="5377" width="50" style="651" customWidth="1"/>
    <col min="5378" max="5378" width="38.33203125" style="651" customWidth="1"/>
    <col min="5379" max="5380" width="50" style="651" customWidth="1"/>
    <col min="5381" max="5381" width="38.33203125" style="651" customWidth="1"/>
    <col min="5382" max="5382" width="50" style="651" customWidth="1"/>
    <col min="5383" max="5383" width="186.33203125" style="651" customWidth="1"/>
    <col min="5384" max="5384" width="50" style="651" customWidth="1"/>
    <col min="5385" max="5385" width="38.33203125" style="651" customWidth="1"/>
    <col min="5386" max="5387" width="49.83203125" style="651" customWidth="1"/>
    <col min="5388" max="5388" width="38.1640625" style="651" customWidth="1"/>
    <col min="5389" max="5389" width="49.83203125" style="651" customWidth="1"/>
    <col min="5390" max="5390" width="50" style="651" customWidth="1"/>
    <col min="5391" max="5391" width="38.33203125" style="651" customWidth="1"/>
    <col min="5392" max="5393" width="49.83203125" style="651" customWidth="1"/>
    <col min="5394" max="5394" width="38.1640625" style="651" customWidth="1"/>
    <col min="5395" max="5396" width="50" style="651" customWidth="1"/>
    <col min="5397" max="5397" width="38.33203125" style="651" customWidth="1"/>
    <col min="5398" max="5398" width="50" style="651" customWidth="1"/>
    <col min="5399" max="5399" width="186.33203125" style="651" customWidth="1"/>
    <col min="5400" max="5400" width="50" style="651" customWidth="1"/>
    <col min="5401" max="5401" width="38.33203125" style="651" customWidth="1"/>
    <col min="5402" max="5402" width="49.83203125" style="651" customWidth="1"/>
    <col min="5403" max="5403" width="50" style="651" customWidth="1"/>
    <col min="5404" max="5404" width="45" style="651" customWidth="1"/>
    <col min="5405" max="5406" width="50" style="651" customWidth="1"/>
    <col min="5407" max="5407" width="45" style="651" customWidth="1"/>
    <col min="5408" max="5409" width="50" style="651" customWidth="1"/>
    <col min="5410" max="5410" width="45" style="651" customWidth="1"/>
    <col min="5411" max="5411" width="50.33203125" style="651" customWidth="1"/>
    <col min="5412" max="5412" width="50" style="651" customWidth="1"/>
    <col min="5413" max="5413" width="45" style="651" customWidth="1"/>
    <col min="5414" max="5414" width="50" style="651" customWidth="1"/>
    <col min="5415" max="5416" width="51" style="651" customWidth="1"/>
    <col min="5417" max="5622" width="9.33203125" style="651"/>
    <col min="5623" max="5623" width="186.33203125" style="651" customWidth="1"/>
    <col min="5624" max="5624" width="49.83203125" style="651" customWidth="1"/>
    <col min="5625" max="5625" width="38.33203125" style="651" customWidth="1"/>
    <col min="5626" max="5627" width="50" style="651" customWidth="1"/>
    <col min="5628" max="5628" width="37.6640625" style="651" customWidth="1"/>
    <col min="5629" max="5629" width="50" style="651" customWidth="1"/>
    <col min="5630" max="5630" width="51.33203125" style="651" customWidth="1"/>
    <col min="5631" max="5631" width="38.1640625" style="651" customWidth="1"/>
    <col min="5632" max="5633" width="50" style="651" customWidth="1"/>
    <col min="5634" max="5634" width="38.33203125" style="651" customWidth="1"/>
    <col min="5635" max="5636" width="50" style="651" customWidth="1"/>
    <col min="5637" max="5637" width="38.33203125" style="651" customWidth="1"/>
    <col min="5638" max="5638" width="50" style="651" customWidth="1"/>
    <col min="5639" max="5639" width="186.33203125" style="651" customWidth="1"/>
    <col min="5640" max="5640" width="50" style="651" customWidth="1"/>
    <col min="5641" max="5641" width="38.33203125" style="651" customWidth="1"/>
    <col min="5642" max="5643" width="49.83203125" style="651" customWidth="1"/>
    <col min="5644" max="5644" width="38.1640625" style="651" customWidth="1"/>
    <col min="5645" max="5645" width="49.83203125" style="651" customWidth="1"/>
    <col min="5646" max="5646" width="50" style="651" customWidth="1"/>
    <col min="5647" max="5647" width="38.33203125" style="651" customWidth="1"/>
    <col min="5648" max="5649" width="49.83203125" style="651" customWidth="1"/>
    <col min="5650" max="5650" width="38.1640625" style="651" customWidth="1"/>
    <col min="5651" max="5652" width="50" style="651" customWidth="1"/>
    <col min="5653" max="5653" width="38.33203125" style="651" customWidth="1"/>
    <col min="5654" max="5654" width="50" style="651" customWidth="1"/>
    <col min="5655" max="5655" width="186.33203125" style="651" customWidth="1"/>
    <col min="5656" max="5656" width="50" style="651" customWidth="1"/>
    <col min="5657" max="5657" width="38.33203125" style="651" customWidth="1"/>
    <col min="5658" max="5658" width="49.83203125" style="651" customWidth="1"/>
    <col min="5659" max="5659" width="50" style="651" customWidth="1"/>
    <col min="5660" max="5660" width="45" style="651" customWidth="1"/>
    <col min="5661" max="5662" width="50" style="651" customWidth="1"/>
    <col min="5663" max="5663" width="45" style="651" customWidth="1"/>
    <col min="5664" max="5665" width="50" style="651" customWidth="1"/>
    <col min="5666" max="5666" width="45" style="651" customWidth="1"/>
    <col min="5667" max="5667" width="50.33203125" style="651" customWidth="1"/>
    <col min="5668" max="5668" width="50" style="651" customWidth="1"/>
    <col min="5669" max="5669" width="45" style="651" customWidth="1"/>
    <col min="5670" max="5670" width="50" style="651" customWidth="1"/>
    <col min="5671" max="5672" width="51" style="651" customWidth="1"/>
    <col min="5673" max="5878" width="9.33203125" style="651"/>
    <col min="5879" max="5879" width="186.33203125" style="651" customWidth="1"/>
    <col min="5880" max="5880" width="49.83203125" style="651" customWidth="1"/>
    <col min="5881" max="5881" width="38.33203125" style="651" customWidth="1"/>
    <col min="5882" max="5883" width="50" style="651" customWidth="1"/>
    <col min="5884" max="5884" width="37.6640625" style="651" customWidth="1"/>
    <col min="5885" max="5885" width="50" style="651" customWidth="1"/>
    <col min="5886" max="5886" width="51.33203125" style="651" customWidth="1"/>
    <col min="5887" max="5887" width="38.1640625" style="651" customWidth="1"/>
    <col min="5888" max="5889" width="50" style="651" customWidth="1"/>
    <col min="5890" max="5890" width="38.33203125" style="651" customWidth="1"/>
    <col min="5891" max="5892" width="50" style="651" customWidth="1"/>
    <col min="5893" max="5893" width="38.33203125" style="651" customWidth="1"/>
    <col min="5894" max="5894" width="50" style="651" customWidth="1"/>
    <col min="5895" max="5895" width="186.33203125" style="651" customWidth="1"/>
    <col min="5896" max="5896" width="50" style="651" customWidth="1"/>
    <col min="5897" max="5897" width="38.33203125" style="651" customWidth="1"/>
    <col min="5898" max="5899" width="49.83203125" style="651" customWidth="1"/>
    <col min="5900" max="5900" width="38.1640625" style="651" customWidth="1"/>
    <col min="5901" max="5901" width="49.83203125" style="651" customWidth="1"/>
    <col min="5902" max="5902" width="50" style="651" customWidth="1"/>
    <col min="5903" max="5903" width="38.33203125" style="651" customWidth="1"/>
    <col min="5904" max="5905" width="49.83203125" style="651" customWidth="1"/>
    <col min="5906" max="5906" width="38.1640625" style="651" customWidth="1"/>
    <col min="5907" max="5908" width="50" style="651" customWidth="1"/>
    <col min="5909" max="5909" width="38.33203125" style="651" customWidth="1"/>
    <col min="5910" max="5910" width="50" style="651" customWidth="1"/>
    <col min="5911" max="5911" width="186.33203125" style="651" customWidth="1"/>
    <col min="5912" max="5912" width="50" style="651" customWidth="1"/>
    <col min="5913" max="5913" width="38.33203125" style="651" customWidth="1"/>
    <col min="5914" max="5914" width="49.83203125" style="651" customWidth="1"/>
    <col min="5915" max="5915" width="50" style="651" customWidth="1"/>
    <col min="5916" max="5916" width="45" style="651" customWidth="1"/>
    <col min="5917" max="5918" width="50" style="651" customWidth="1"/>
    <col min="5919" max="5919" width="45" style="651" customWidth="1"/>
    <col min="5920" max="5921" width="50" style="651" customWidth="1"/>
    <col min="5922" max="5922" width="45" style="651" customWidth="1"/>
    <col min="5923" max="5923" width="50.33203125" style="651" customWidth="1"/>
    <col min="5924" max="5924" width="50" style="651" customWidth="1"/>
    <col min="5925" max="5925" width="45" style="651" customWidth="1"/>
    <col min="5926" max="5926" width="50" style="651" customWidth="1"/>
    <col min="5927" max="5928" width="51" style="651" customWidth="1"/>
    <col min="5929" max="6134" width="9.33203125" style="651"/>
    <col min="6135" max="6135" width="186.33203125" style="651" customWidth="1"/>
    <col min="6136" max="6136" width="49.83203125" style="651" customWidth="1"/>
    <col min="6137" max="6137" width="38.33203125" style="651" customWidth="1"/>
    <col min="6138" max="6139" width="50" style="651" customWidth="1"/>
    <col min="6140" max="6140" width="37.6640625" style="651" customWidth="1"/>
    <col min="6141" max="6141" width="50" style="651" customWidth="1"/>
    <col min="6142" max="6142" width="51.33203125" style="651" customWidth="1"/>
    <col min="6143" max="6143" width="38.1640625" style="651" customWidth="1"/>
    <col min="6144" max="6145" width="50" style="651" customWidth="1"/>
    <col min="6146" max="6146" width="38.33203125" style="651" customWidth="1"/>
    <col min="6147" max="6148" width="50" style="651" customWidth="1"/>
    <col min="6149" max="6149" width="38.33203125" style="651" customWidth="1"/>
    <col min="6150" max="6150" width="50" style="651" customWidth="1"/>
    <col min="6151" max="6151" width="186.33203125" style="651" customWidth="1"/>
    <col min="6152" max="6152" width="50" style="651" customWidth="1"/>
    <col min="6153" max="6153" width="38.33203125" style="651" customWidth="1"/>
    <col min="6154" max="6155" width="49.83203125" style="651" customWidth="1"/>
    <col min="6156" max="6156" width="38.1640625" style="651" customWidth="1"/>
    <col min="6157" max="6157" width="49.83203125" style="651" customWidth="1"/>
    <col min="6158" max="6158" width="50" style="651" customWidth="1"/>
    <col min="6159" max="6159" width="38.33203125" style="651" customWidth="1"/>
    <col min="6160" max="6161" width="49.83203125" style="651" customWidth="1"/>
    <col min="6162" max="6162" width="38.1640625" style="651" customWidth="1"/>
    <col min="6163" max="6164" width="50" style="651" customWidth="1"/>
    <col min="6165" max="6165" width="38.33203125" style="651" customWidth="1"/>
    <col min="6166" max="6166" width="50" style="651" customWidth="1"/>
    <col min="6167" max="6167" width="186.33203125" style="651" customWidth="1"/>
    <col min="6168" max="6168" width="50" style="651" customWidth="1"/>
    <col min="6169" max="6169" width="38.33203125" style="651" customWidth="1"/>
    <col min="6170" max="6170" width="49.83203125" style="651" customWidth="1"/>
    <col min="6171" max="6171" width="50" style="651" customWidth="1"/>
    <col min="6172" max="6172" width="45" style="651" customWidth="1"/>
    <col min="6173" max="6174" width="50" style="651" customWidth="1"/>
    <col min="6175" max="6175" width="45" style="651" customWidth="1"/>
    <col min="6176" max="6177" width="50" style="651" customWidth="1"/>
    <col min="6178" max="6178" width="45" style="651" customWidth="1"/>
    <col min="6179" max="6179" width="50.33203125" style="651" customWidth="1"/>
    <col min="6180" max="6180" width="50" style="651" customWidth="1"/>
    <col min="6181" max="6181" width="45" style="651" customWidth="1"/>
    <col min="6182" max="6182" width="50" style="651" customWidth="1"/>
    <col min="6183" max="6184" width="51" style="651" customWidth="1"/>
    <col min="6185" max="6390" width="9.33203125" style="651"/>
    <col min="6391" max="6391" width="186.33203125" style="651" customWidth="1"/>
    <col min="6392" max="6392" width="49.83203125" style="651" customWidth="1"/>
    <col min="6393" max="6393" width="38.33203125" style="651" customWidth="1"/>
    <col min="6394" max="6395" width="50" style="651" customWidth="1"/>
    <col min="6396" max="6396" width="37.6640625" style="651" customWidth="1"/>
    <col min="6397" max="6397" width="50" style="651" customWidth="1"/>
    <col min="6398" max="6398" width="51.33203125" style="651" customWidth="1"/>
    <col min="6399" max="6399" width="38.1640625" style="651" customWidth="1"/>
    <col min="6400" max="6401" width="50" style="651" customWidth="1"/>
    <col min="6402" max="6402" width="38.33203125" style="651" customWidth="1"/>
    <col min="6403" max="6404" width="50" style="651" customWidth="1"/>
    <col min="6405" max="6405" width="38.33203125" style="651" customWidth="1"/>
    <col min="6406" max="6406" width="50" style="651" customWidth="1"/>
    <col min="6407" max="6407" width="186.33203125" style="651" customWidth="1"/>
    <col min="6408" max="6408" width="50" style="651" customWidth="1"/>
    <col min="6409" max="6409" width="38.33203125" style="651" customWidth="1"/>
    <col min="6410" max="6411" width="49.83203125" style="651" customWidth="1"/>
    <col min="6412" max="6412" width="38.1640625" style="651" customWidth="1"/>
    <col min="6413" max="6413" width="49.83203125" style="651" customWidth="1"/>
    <col min="6414" max="6414" width="50" style="651" customWidth="1"/>
    <col min="6415" max="6415" width="38.33203125" style="651" customWidth="1"/>
    <col min="6416" max="6417" width="49.83203125" style="651" customWidth="1"/>
    <col min="6418" max="6418" width="38.1640625" style="651" customWidth="1"/>
    <col min="6419" max="6420" width="50" style="651" customWidth="1"/>
    <col min="6421" max="6421" width="38.33203125" style="651" customWidth="1"/>
    <col min="6422" max="6422" width="50" style="651" customWidth="1"/>
    <col min="6423" max="6423" width="186.33203125" style="651" customWidth="1"/>
    <col min="6424" max="6424" width="50" style="651" customWidth="1"/>
    <col min="6425" max="6425" width="38.33203125" style="651" customWidth="1"/>
    <col min="6426" max="6426" width="49.83203125" style="651" customWidth="1"/>
    <col min="6427" max="6427" width="50" style="651" customWidth="1"/>
    <col min="6428" max="6428" width="45" style="651" customWidth="1"/>
    <col min="6429" max="6430" width="50" style="651" customWidth="1"/>
    <col min="6431" max="6431" width="45" style="651" customWidth="1"/>
    <col min="6432" max="6433" width="50" style="651" customWidth="1"/>
    <col min="6434" max="6434" width="45" style="651" customWidth="1"/>
    <col min="6435" max="6435" width="50.33203125" style="651" customWidth="1"/>
    <col min="6436" max="6436" width="50" style="651" customWidth="1"/>
    <col min="6437" max="6437" width="45" style="651" customWidth="1"/>
    <col min="6438" max="6438" width="50" style="651" customWidth="1"/>
    <col min="6439" max="6440" width="51" style="651" customWidth="1"/>
    <col min="6441" max="6646" width="9.33203125" style="651"/>
    <col min="6647" max="6647" width="186.33203125" style="651" customWidth="1"/>
    <col min="6648" max="6648" width="49.83203125" style="651" customWidth="1"/>
    <col min="6649" max="6649" width="38.33203125" style="651" customWidth="1"/>
    <col min="6650" max="6651" width="50" style="651" customWidth="1"/>
    <col min="6652" max="6652" width="37.6640625" style="651" customWidth="1"/>
    <col min="6653" max="6653" width="50" style="651" customWidth="1"/>
    <col min="6654" max="6654" width="51.33203125" style="651" customWidth="1"/>
    <col min="6655" max="6655" width="38.1640625" style="651" customWidth="1"/>
    <col min="6656" max="6657" width="50" style="651" customWidth="1"/>
    <col min="6658" max="6658" width="38.33203125" style="651" customWidth="1"/>
    <col min="6659" max="6660" width="50" style="651" customWidth="1"/>
    <col min="6661" max="6661" width="38.33203125" style="651" customWidth="1"/>
    <col min="6662" max="6662" width="50" style="651" customWidth="1"/>
    <col min="6663" max="6663" width="186.33203125" style="651" customWidth="1"/>
    <col min="6664" max="6664" width="50" style="651" customWidth="1"/>
    <col min="6665" max="6665" width="38.33203125" style="651" customWidth="1"/>
    <col min="6666" max="6667" width="49.83203125" style="651" customWidth="1"/>
    <col min="6668" max="6668" width="38.1640625" style="651" customWidth="1"/>
    <col min="6669" max="6669" width="49.83203125" style="651" customWidth="1"/>
    <col min="6670" max="6670" width="50" style="651" customWidth="1"/>
    <col min="6671" max="6671" width="38.33203125" style="651" customWidth="1"/>
    <col min="6672" max="6673" width="49.83203125" style="651" customWidth="1"/>
    <col min="6674" max="6674" width="38.1640625" style="651" customWidth="1"/>
    <col min="6675" max="6676" width="50" style="651" customWidth="1"/>
    <col min="6677" max="6677" width="38.33203125" style="651" customWidth="1"/>
    <col min="6678" max="6678" width="50" style="651" customWidth="1"/>
    <col min="6679" max="6679" width="186.33203125" style="651" customWidth="1"/>
    <col min="6680" max="6680" width="50" style="651" customWidth="1"/>
    <col min="6681" max="6681" width="38.33203125" style="651" customWidth="1"/>
    <col min="6682" max="6682" width="49.83203125" style="651" customWidth="1"/>
    <col min="6683" max="6683" width="50" style="651" customWidth="1"/>
    <col min="6684" max="6684" width="45" style="651" customWidth="1"/>
    <col min="6685" max="6686" width="50" style="651" customWidth="1"/>
    <col min="6687" max="6687" width="45" style="651" customWidth="1"/>
    <col min="6688" max="6689" width="50" style="651" customWidth="1"/>
    <col min="6690" max="6690" width="45" style="651" customWidth="1"/>
    <col min="6691" max="6691" width="50.33203125" style="651" customWidth="1"/>
    <col min="6692" max="6692" width="50" style="651" customWidth="1"/>
    <col min="6693" max="6693" width="45" style="651" customWidth="1"/>
    <col min="6694" max="6694" width="50" style="651" customWidth="1"/>
    <col min="6695" max="6696" width="51" style="651" customWidth="1"/>
    <col min="6697" max="6902" width="9.33203125" style="651"/>
    <col min="6903" max="6903" width="186.33203125" style="651" customWidth="1"/>
    <col min="6904" max="6904" width="49.83203125" style="651" customWidth="1"/>
    <col min="6905" max="6905" width="38.33203125" style="651" customWidth="1"/>
    <col min="6906" max="6907" width="50" style="651" customWidth="1"/>
    <col min="6908" max="6908" width="37.6640625" style="651" customWidth="1"/>
    <col min="6909" max="6909" width="50" style="651" customWidth="1"/>
    <col min="6910" max="6910" width="51.33203125" style="651" customWidth="1"/>
    <col min="6911" max="6911" width="38.1640625" style="651" customWidth="1"/>
    <col min="6912" max="6913" width="50" style="651" customWidth="1"/>
    <col min="6914" max="6914" width="38.33203125" style="651" customWidth="1"/>
    <col min="6915" max="6916" width="50" style="651" customWidth="1"/>
    <col min="6917" max="6917" width="38.33203125" style="651" customWidth="1"/>
    <col min="6918" max="6918" width="50" style="651" customWidth="1"/>
    <col min="6919" max="6919" width="186.33203125" style="651" customWidth="1"/>
    <col min="6920" max="6920" width="50" style="651" customWidth="1"/>
    <col min="6921" max="6921" width="38.33203125" style="651" customWidth="1"/>
    <col min="6922" max="6923" width="49.83203125" style="651" customWidth="1"/>
    <col min="6924" max="6924" width="38.1640625" style="651" customWidth="1"/>
    <col min="6925" max="6925" width="49.83203125" style="651" customWidth="1"/>
    <col min="6926" max="6926" width="50" style="651" customWidth="1"/>
    <col min="6927" max="6927" width="38.33203125" style="651" customWidth="1"/>
    <col min="6928" max="6929" width="49.83203125" style="651" customWidth="1"/>
    <col min="6930" max="6930" width="38.1640625" style="651" customWidth="1"/>
    <col min="6931" max="6932" width="50" style="651" customWidth="1"/>
    <col min="6933" max="6933" width="38.33203125" style="651" customWidth="1"/>
    <col min="6934" max="6934" width="50" style="651" customWidth="1"/>
    <col min="6935" max="6935" width="186.33203125" style="651" customWidth="1"/>
    <col min="6936" max="6936" width="50" style="651" customWidth="1"/>
    <col min="6937" max="6937" width="38.33203125" style="651" customWidth="1"/>
    <col min="6938" max="6938" width="49.83203125" style="651" customWidth="1"/>
    <col min="6939" max="6939" width="50" style="651" customWidth="1"/>
    <col min="6940" max="6940" width="45" style="651" customWidth="1"/>
    <col min="6941" max="6942" width="50" style="651" customWidth="1"/>
    <col min="6943" max="6943" width="45" style="651" customWidth="1"/>
    <col min="6944" max="6945" width="50" style="651" customWidth="1"/>
    <col min="6946" max="6946" width="45" style="651" customWidth="1"/>
    <col min="6947" max="6947" width="50.33203125" style="651" customWidth="1"/>
    <col min="6948" max="6948" width="50" style="651" customWidth="1"/>
    <col min="6949" max="6949" width="45" style="651" customWidth="1"/>
    <col min="6950" max="6950" width="50" style="651" customWidth="1"/>
    <col min="6951" max="6952" width="51" style="651" customWidth="1"/>
    <col min="6953" max="7158" width="9.33203125" style="651"/>
    <col min="7159" max="7159" width="186.33203125" style="651" customWidth="1"/>
    <col min="7160" max="7160" width="49.83203125" style="651" customWidth="1"/>
    <col min="7161" max="7161" width="38.33203125" style="651" customWidth="1"/>
    <col min="7162" max="7163" width="50" style="651" customWidth="1"/>
    <col min="7164" max="7164" width="37.6640625" style="651" customWidth="1"/>
    <col min="7165" max="7165" width="50" style="651" customWidth="1"/>
    <col min="7166" max="7166" width="51.33203125" style="651" customWidth="1"/>
    <col min="7167" max="7167" width="38.1640625" style="651" customWidth="1"/>
    <col min="7168" max="7169" width="50" style="651" customWidth="1"/>
    <col min="7170" max="7170" width="38.33203125" style="651" customWidth="1"/>
    <col min="7171" max="7172" width="50" style="651" customWidth="1"/>
    <col min="7173" max="7173" width="38.33203125" style="651" customWidth="1"/>
    <col min="7174" max="7174" width="50" style="651" customWidth="1"/>
    <col min="7175" max="7175" width="186.33203125" style="651" customWidth="1"/>
    <col min="7176" max="7176" width="50" style="651" customWidth="1"/>
    <col min="7177" max="7177" width="38.33203125" style="651" customWidth="1"/>
    <col min="7178" max="7179" width="49.83203125" style="651" customWidth="1"/>
    <col min="7180" max="7180" width="38.1640625" style="651" customWidth="1"/>
    <col min="7181" max="7181" width="49.83203125" style="651" customWidth="1"/>
    <col min="7182" max="7182" width="50" style="651" customWidth="1"/>
    <col min="7183" max="7183" width="38.33203125" style="651" customWidth="1"/>
    <col min="7184" max="7185" width="49.83203125" style="651" customWidth="1"/>
    <col min="7186" max="7186" width="38.1640625" style="651" customWidth="1"/>
    <col min="7187" max="7188" width="50" style="651" customWidth="1"/>
    <col min="7189" max="7189" width="38.33203125" style="651" customWidth="1"/>
    <col min="7190" max="7190" width="50" style="651" customWidth="1"/>
    <col min="7191" max="7191" width="186.33203125" style="651" customWidth="1"/>
    <col min="7192" max="7192" width="50" style="651" customWidth="1"/>
    <col min="7193" max="7193" width="38.33203125" style="651" customWidth="1"/>
    <col min="7194" max="7194" width="49.83203125" style="651" customWidth="1"/>
    <col min="7195" max="7195" width="50" style="651" customWidth="1"/>
    <col min="7196" max="7196" width="45" style="651" customWidth="1"/>
    <col min="7197" max="7198" width="50" style="651" customWidth="1"/>
    <col min="7199" max="7199" width="45" style="651" customWidth="1"/>
    <col min="7200" max="7201" width="50" style="651" customWidth="1"/>
    <col min="7202" max="7202" width="45" style="651" customWidth="1"/>
    <col min="7203" max="7203" width="50.33203125" style="651" customWidth="1"/>
    <col min="7204" max="7204" width="50" style="651" customWidth="1"/>
    <col min="7205" max="7205" width="45" style="651" customWidth="1"/>
    <col min="7206" max="7206" width="50" style="651" customWidth="1"/>
    <col min="7207" max="7208" width="51" style="651" customWidth="1"/>
    <col min="7209" max="7414" width="9.33203125" style="651"/>
    <col min="7415" max="7415" width="186.33203125" style="651" customWidth="1"/>
    <col min="7416" max="7416" width="49.83203125" style="651" customWidth="1"/>
    <col min="7417" max="7417" width="38.33203125" style="651" customWidth="1"/>
    <col min="7418" max="7419" width="50" style="651" customWidth="1"/>
    <col min="7420" max="7420" width="37.6640625" style="651" customWidth="1"/>
    <col min="7421" max="7421" width="50" style="651" customWidth="1"/>
    <col min="7422" max="7422" width="51.33203125" style="651" customWidth="1"/>
    <col min="7423" max="7423" width="38.1640625" style="651" customWidth="1"/>
    <col min="7424" max="7425" width="50" style="651" customWidth="1"/>
    <col min="7426" max="7426" width="38.33203125" style="651" customWidth="1"/>
    <col min="7427" max="7428" width="50" style="651" customWidth="1"/>
    <col min="7429" max="7429" width="38.33203125" style="651" customWidth="1"/>
    <col min="7430" max="7430" width="50" style="651" customWidth="1"/>
    <col min="7431" max="7431" width="186.33203125" style="651" customWidth="1"/>
    <col min="7432" max="7432" width="50" style="651" customWidth="1"/>
    <col min="7433" max="7433" width="38.33203125" style="651" customWidth="1"/>
    <col min="7434" max="7435" width="49.83203125" style="651" customWidth="1"/>
    <col min="7436" max="7436" width="38.1640625" style="651" customWidth="1"/>
    <col min="7437" max="7437" width="49.83203125" style="651" customWidth="1"/>
    <col min="7438" max="7438" width="50" style="651" customWidth="1"/>
    <col min="7439" max="7439" width="38.33203125" style="651" customWidth="1"/>
    <col min="7440" max="7441" width="49.83203125" style="651" customWidth="1"/>
    <col min="7442" max="7442" width="38.1640625" style="651" customWidth="1"/>
    <col min="7443" max="7444" width="50" style="651" customWidth="1"/>
    <col min="7445" max="7445" width="38.33203125" style="651" customWidth="1"/>
    <col min="7446" max="7446" width="50" style="651" customWidth="1"/>
    <col min="7447" max="7447" width="186.33203125" style="651" customWidth="1"/>
    <col min="7448" max="7448" width="50" style="651" customWidth="1"/>
    <col min="7449" max="7449" width="38.33203125" style="651" customWidth="1"/>
    <col min="7450" max="7450" width="49.83203125" style="651" customWidth="1"/>
    <col min="7451" max="7451" width="50" style="651" customWidth="1"/>
    <col min="7452" max="7452" width="45" style="651" customWidth="1"/>
    <col min="7453" max="7454" width="50" style="651" customWidth="1"/>
    <col min="7455" max="7455" width="45" style="651" customWidth="1"/>
    <col min="7456" max="7457" width="50" style="651" customWidth="1"/>
    <col min="7458" max="7458" width="45" style="651" customWidth="1"/>
    <col min="7459" max="7459" width="50.33203125" style="651" customWidth="1"/>
    <col min="7460" max="7460" width="50" style="651" customWidth="1"/>
    <col min="7461" max="7461" width="45" style="651" customWidth="1"/>
    <col min="7462" max="7462" width="50" style="651" customWidth="1"/>
    <col min="7463" max="7464" width="51" style="651" customWidth="1"/>
    <col min="7465" max="7670" width="9.33203125" style="651"/>
    <col min="7671" max="7671" width="186.33203125" style="651" customWidth="1"/>
    <col min="7672" max="7672" width="49.83203125" style="651" customWidth="1"/>
    <col min="7673" max="7673" width="38.33203125" style="651" customWidth="1"/>
    <col min="7674" max="7675" width="50" style="651" customWidth="1"/>
    <col min="7676" max="7676" width="37.6640625" style="651" customWidth="1"/>
    <col min="7677" max="7677" width="50" style="651" customWidth="1"/>
    <col min="7678" max="7678" width="51.33203125" style="651" customWidth="1"/>
    <col min="7679" max="7679" width="38.1640625" style="651" customWidth="1"/>
    <col min="7680" max="7681" width="50" style="651" customWidth="1"/>
    <col min="7682" max="7682" width="38.33203125" style="651" customWidth="1"/>
    <col min="7683" max="7684" width="50" style="651" customWidth="1"/>
    <col min="7685" max="7685" width="38.33203125" style="651" customWidth="1"/>
    <col min="7686" max="7686" width="50" style="651" customWidth="1"/>
    <col min="7687" max="7687" width="186.33203125" style="651" customWidth="1"/>
    <col min="7688" max="7688" width="50" style="651" customWidth="1"/>
    <col min="7689" max="7689" width="38.33203125" style="651" customWidth="1"/>
    <col min="7690" max="7691" width="49.83203125" style="651" customWidth="1"/>
    <col min="7692" max="7692" width="38.1640625" style="651" customWidth="1"/>
    <col min="7693" max="7693" width="49.83203125" style="651" customWidth="1"/>
    <col min="7694" max="7694" width="50" style="651" customWidth="1"/>
    <col min="7695" max="7695" width="38.33203125" style="651" customWidth="1"/>
    <col min="7696" max="7697" width="49.83203125" style="651" customWidth="1"/>
    <col min="7698" max="7698" width="38.1640625" style="651" customWidth="1"/>
    <col min="7699" max="7700" width="50" style="651" customWidth="1"/>
    <col min="7701" max="7701" width="38.33203125" style="651" customWidth="1"/>
    <col min="7702" max="7702" width="50" style="651" customWidth="1"/>
    <col min="7703" max="7703" width="186.33203125" style="651" customWidth="1"/>
    <col min="7704" max="7704" width="50" style="651" customWidth="1"/>
    <col min="7705" max="7705" width="38.33203125" style="651" customWidth="1"/>
    <col min="7706" max="7706" width="49.83203125" style="651" customWidth="1"/>
    <col min="7707" max="7707" width="50" style="651" customWidth="1"/>
    <col min="7708" max="7708" width="45" style="651" customWidth="1"/>
    <col min="7709" max="7710" width="50" style="651" customWidth="1"/>
    <col min="7711" max="7711" width="45" style="651" customWidth="1"/>
    <col min="7712" max="7713" width="50" style="651" customWidth="1"/>
    <col min="7714" max="7714" width="45" style="651" customWidth="1"/>
    <col min="7715" max="7715" width="50.33203125" style="651" customWidth="1"/>
    <col min="7716" max="7716" width="50" style="651" customWidth="1"/>
    <col min="7717" max="7717" width="45" style="651" customWidth="1"/>
    <col min="7718" max="7718" width="50" style="651" customWidth="1"/>
    <col min="7719" max="7720" width="51" style="651" customWidth="1"/>
    <col min="7721" max="7926" width="9.33203125" style="651"/>
    <col min="7927" max="7927" width="186.33203125" style="651" customWidth="1"/>
    <col min="7928" max="7928" width="49.83203125" style="651" customWidth="1"/>
    <col min="7929" max="7929" width="38.33203125" style="651" customWidth="1"/>
    <col min="7930" max="7931" width="50" style="651" customWidth="1"/>
    <col min="7932" max="7932" width="37.6640625" style="651" customWidth="1"/>
    <col min="7933" max="7933" width="50" style="651" customWidth="1"/>
    <col min="7934" max="7934" width="51.33203125" style="651" customWidth="1"/>
    <col min="7935" max="7935" width="38.1640625" style="651" customWidth="1"/>
    <col min="7936" max="7937" width="50" style="651" customWidth="1"/>
    <col min="7938" max="7938" width="38.33203125" style="651" customWidth="1"/>
    <col min="7939" max="7940" width="50" style="651" customWidth="1"/>
    <col min="7941" max="7941" width="38.33203125" style="651" customWidth="1"/>
    <col min="7942" max="7942" width="50" style="651" customWidth="1"/>
    <col min="7943" max="7943" width="186.33203125" style="651" customWidth="1"/>
    <col min="7944" max="7944" width="50" style="651" customWidth="1"/>
    <col min="7945" max="7945" width="38.33203125" style="651" customWidth="1"/>
    <col min="7946" max="7947" width="49.83203125" style="651" customWidth="1"/>
    <col min="7948" max="7948" width="38.1640625" style="651" customWidth="1"/>
    <col min="7949" max="7949" width="49.83203125" style="651" customWidth="1"/>
    <col min="7950" max="7950" width="50" style="651" customWidth="1"/>
    <col min="7951" max="7951" width="38.33203125" style="651" customWidth="1"/>
    <col min="7952" max="7953" width="49.83203125" style="651" customWidth="1"/>
    <col min="7954" max="7954" width="38.1640625" style="651" customWidth="1"/>
    <col min="7955" max="7956" width="50" style="651" customWidth="1"/>
    <col min="7957" max="7957" width="38.33203125" style="651" customWidth="1"/>
    <col min="7958" max="7958" width="50" style="651" customWidth="1"/>
    <col min="7959" max="7959" width="186.33203125" style="651" customWidth="1"/>
    <col min="7960" max="7960" width="50" style="651" customWidth="1"/>
    <col min="7961" max="7961" width="38.33203125" style="651" customWidth="1"/>
    <col min="7962" max="7962" width="49.83203125" style="651" customWidth="1"/>
    <col min="7963" max="7963" width="50" style="651" customWidth="1"/>
    <col min="7964" max="7964" width="45" style="651" customWidth="1"/>
    <col min="7965" max="7966" width="50" style="651" customWidth="1"/>
    <col min="7967" max="7967" width="45" style="651" customWidth="1"/>
    <col min="7968" max="7969" width="50" style="651" customWidth="1"/>
    <col min="7970" max="7970" width="45" style="651" customWidth="1"/>
    <col min="7971" max="7971" width="50.33203125" style="651" customWidth="1"/>
    <col min="7972" max="7972" width="50" style="651" customWidth="1"/>
    <col min="7973" max="7973" width="45" style="651" customWidth="1"/>
    <col min="7974" max="7974" width="50" style="651" customWidth="1"/>
    <col min="7975" max="7976" width="51" style="651" customWidth="1"/>
    <col min="7977" max="8182" width="9.33203125" style="651"/>
    <col min="8183" max="8183" width="186.33203125" style="651" customWidth="1"/>
    <col min="8184" max="8184" width="49.83203125" style="651" customWidth="1"/>
    <col min="8185" max="8185" width="38.33203125" style="651" customWidth="1"/>
    <col min="8186" max="8187" width="50" style="651" customWidth="1"/>
    <col min="8188" max="8188" width="37.6640625" style="651" customWidth="1"/>
    <col min="8189" max="8189" width="50" style="651" customWidth="1"/>
    <col min="8190" max="8190" width="51.33203125" style="651" customWidth="1"/>
    <col min="8191" max="8191" width="38.1640625" style="651" customWidth="1"/>
    <col min="8192" max="8193" width="50" style="651" customWidth="1"/>
    <col min="8194" max="8194" width="38.33203125" style="651" customWidth="1"/>
    <col min="8195" max="8196" width="50" style="651" customWidth="1"/>
    <col min="8197" max="8197" width="38.33203125" style="651" customWidth="1"/>
    <col min="8198" max="8198" width="50" style="651" customWidth="1"/>
    <col min="8199" max="8199" width="186.33203125" style="651" customWidth="1"/>
    <col min="8200" max="8200" width="50" style="651" customWidth="1"/>
    <col min="8201" max="8201" width="38.33203125" style="651" customWidth="1"/>
    <col min="8202" max="8203" width="49.83203125" style="651" customWidth="1"/>
    <col min="8204" max="8204" width="38.1640625" style="651" customWidth="1"/>
    <col min="8205" max="8205" width="49.83203125" style="651" customWidth="1"/>
    <col min="8206" max="8206" width="50" style="651" customWidth="1"/>
    <col min="8207" max="8207" width="38.33203125" style="651" customWidth="1"/>
    <col min="8208" max="8209" width="49.83203125" style="651" customWidth="1"/>
    <col min="8210" max="8210" width="38.1640625" style="651" customWidth="1"/>
    <col min="8211" max="8212" width="50" style="651" customWidth="1"/>
    <col min="8213" max="8213" width="38.33203125" style="651" customWidth="1"/>
    <col min="8214" max="8214" width="50" style="651" customWidth="1"/>
    <col min="8215" max="8215" width="186.33203125" style="651" customWidth="1"/>
    <col min="8216" max="8216" width="50" style="651" customWidth="1"/>
    <col min="8217" max="8217" width="38.33203125" style="651" customWidth="1"/>
    <col min="8218" max="8218" width="49.83203125" style="651" customWidth="1"/>
    <col min="8219" max="8219" width="50" style="651" customWidth="1"/>
    <col min="8220" max="8220" width="45" style="651" customWidth="1"/>
    <col min="8221" max="8222" width="50" style="651" customWidth="1"/>
    <col min="8223" max="8223" width="45" style="651" customWidth="1"/>
    <col min="8224" max="8225" width="50" style="651" customWidth="1"/>
    <col min="8226" max="8226" width="45" style="651" customWidth="1"/>
    <col min="8227" max="8227" width="50.33203125" style="651" customWidth="1"/>
    <col min="8228" max="8228" width="50" style="651" customWidth="1"/>
    <col min="8229" max="8229" width="45" style="651" customWidth="1"/>
    <col min="8230" max="8230" width="50" style="651" customWidth="1"/>
    <col min="8231" max="8232" width="51" style="651" customWidth="1"/>
    <col min="8233" max="8438" width="9.33203125" style="651"/>
    <col min="8439" max="8439" width="186.33203125" style="651" customWidth="1"/>
    <col min="8440" max="8440" width="49.83203125" style="651" customWidth="1"/>
    <col min="8441" max="8441" width="38.33203125" style="651" customWidth="1"/>
    <col min="8442" max="8443" width="50" style="651" customWidth="1"/>
    <col min="8444" max="8444" width="37.6640625" style="651" customWidth="1"/>
    <col min="8445" max="8445" width="50" style="651" customWidth="1"/>
    <col min="8446" max="8446" width="51.33203125" style="651" customWidth="1"/>
    <col min="8447" max="8447" width="38.1640625" style="651" customWidth="1"/>
    <col min="8448" max="8449" width="50" style="651" customWidth="1"/>
    <col min="8450" max="8450" width="38.33203125" style="651" customWidth="1"/>
    <col min="8451" max="8452" width="50" style="651" customWidth="1"/>
    <col min="8453" max="8453" width="38.33203125" style="651" customWidth="1"/>
    <col min="8454" max="8454" width="50" style="651" customWidth="1"/>
    <col min="8455" max="8455" width="186.33203125" style="651" customWidth="1"/>
    <col min="8456" max="8456" width="50" style="651" customWidth="1"/>
    <col min="8457" max="8457" width="38.33203125" style="651" customWidth="1"/>
    <col min="8458" max="8459" width="49.83203125" style="651" customWidth="1"/>
    <col min="8460" max="8460" width="38.1640625" style="651" customWidth="1"/>
    <col min="8461" max="8461" width="49.83203125" style="651" customWidth="1"/>
    <col min="8462" max="8462" width="50" style="651" customWidth="1"/>
    <col min="8463" max="8463" width="38.33203125" style="651" customWidth="1"/>
    <col min="8464" max="8465" width="49.83203125" style="651" customWidth="1"/>
    <col min="8466" max="8466" width="38.1640625" style="651" customWidth="1"/>
    <col min="8467" max="8468" width="50" style="651" customWidth="1"/>
    <col min="8469" max="8469" width="38.33203125" style="651" customWidth="1"/>
    <col min="8470" max="8470" width="50" style="651" customWidth="1"/>
    <col min="8471" max="8471" width="186.33203125" style="651" customWidth="1"/>
    <col min="8472" max="8472" width="50" style="651" customWidth="1"/>
    <col min="8473" max="8473" width="38.33203125" style="651" customWidth="1"/>
    <col min="8474" max="8474" width="49.83203125" style="651" customWidth="1"/>
    <col min="8475" max="8475" width="50" style="651" customWidth="1"/>
    <col min="8476" max="8476" width="45" style="651" customWidth="1"/>
    <col min="8477" max="8478" width="50" style="651" customWidth="1"/>
    <col min="8479" max="8479" width="45" style="651" customWidth="1"/>
    <col min="8480" max="8481" width="50" style="651" customWidth="1"/>
    <col min="8482" max="8482" width="45" style="651" customWidth="1"/>
    <col min="8483" max="8483" width="50.33203125" style="651" customWidth="1"/>
    <col min="8484" max="8484" width="50" style="651" customWidth="1"/>
    <col min="8485" max="8485" width="45" style="651" customWidth="1"/>
    <col min="8486" max="8486" width="50" style="651" customWidth="1"/>
    <col min="8487" max="8488" width="51" style="651" customWidth="1"/>
    <col min="8489" max="8694" width="9.33203125" style="651"/>
    <col min="8695" max="8695" width="186.33203125" style="651" customWidth="1"/>
    <col min="8696" max="8696" width="49.83203125" style="651" customWidth="1"/>
    <col min="8697" max="8697" width="38.33203125" style="651" customWidth="1"/>
    <col min="8698" max="8699" width="50" style="651" customWidth="1"/>
    <col min="8700" max="8700" width="37.6640625" style="651" customWidth="1"/>
    <col min="8701" max="8701" width="50" style="651" customWidth="1"/>
    <col min="8702" max="8702" width="51.33203125" style="651" customWidth="1"/>
    <col min="8703" max="8703" width="38.1640625" style="651" customWidth="1"/>
    <col min="8704" max="8705" width="50" style="651" customWidth="1"/>
    <col min="8706" max="8706" width="38.33203125" style="651" customWidth="1"/>
    <col min="8707" max="8708" width="50" style="651" customWidth="1"/>
    <col min="8709" max="8709" width="38.33203125" style="651" customWidth="1"/>
    <col min="8710" max="8710" width="50" style="651" customWidth="1"/>
    <col min="8711" max="8711" width="186.33203125" style="651" customWidth="1"/>
    <col min="8712" max="8712" width="50" style="651" customWidth="1"/>
    <col min="8713" max="8713" width="38.33203125" style="651" customWidth="1"/>
    <col min="8714" max="8715" width="49.83203125" style="651" customWidth="1"/>
    <col min="8716" max="8716" width="38.1640625" style="651" customWidth="1"/>
    <col min="8717" max="8717" width="49.83203125" style="651" customWidth="1"/>
    <col min="8718" max="8718" width="50" style="651" customWidth="1"/>
    <col min="8719" max="8719" width="38.33203125" style="651" customWidth="1"/>
    <col min="8720" max="8721" width="49.83203125" style="651" customWidth="1"/>
    <col min="8722" max="8722" width="38.1640625" style="651" customWidth="1"/>
    <col min="8723" max="8724" width="50" style="651" customWidth="1"/>
    <col min="8725" max="8725" width="38.33203125" style="651" customWidth="1"/>
    <col min="8726" max="8726" width="50" style="651" customWidth="1"/>
    <col min="8727" max="8727" width="186.33203125" style="651" customWidth="1"/>
    <col min="8728" max="8728" width="50" style="651" customWidth="1"/>
    <col min="8729" max="8729" width="38.33203125" style="651" customWidth="1"/>
    <col min="8730" max="8730" width="49.83203125" style="651" customWidth="1"/>
    <col min="8731" max="8731" width="50" style="651" customWidth="1"/>
    <col min="8732" max="8732" width="45" style="651" customWidth="1"/>
    <col min="8733" max="8734" width="50" style="651" customWidth="1"/>
    <col min="8735" max="8735" width="45" style="651" customWidth="1"/>
    <col min="8736" max="8737" width="50" style="651" customWidth="1"/>
    <col min="8738" max="8738" width="45" style="651" customWidth="1"/>
    <col min="8739" max="8739" width="50.33203125" style="651" customWidth="1"/>
    <col min="8740" max="8740" width="50" style="651" customWidth="1"/>
    <col min="8741" max="8741" width="45" style="651" customWidth="1"/>
    <col min="8742" max="8742" width="50" style="651" customWidth="1"/>
    <col min="8743" max="8744" width="51" style="651" customWidth="1"/>
    <col min="8745" max="8950" width="9.33203125" style="651"/>
    <col min="8951" max="8951" width="186.33203125" style="651" customWidth="1"/>
    <col min="8952" max="8952" width="49.83203125" style="651" customWidth="1"/>
    <col min="8953" max="8953" width="38.33203125" style="651" customWidth="1"/>
    <col min="8954" max="8955" width="50" style="651" customWidth="1"/>
    <col min="8956" max="8956" width="37.6640625" style="651" customWidth="1"/>
    <col min="8957" max="8957" width="50" style="651" customWidth="1"/>
    <col min="8958" max="8958" width="51.33203125" style="651" customWidth="1"/>
    <col min="8959" max="8959" width="38.1640625" style="651" customWidth="1"/>
    <col min="8960" max="8961" width="50" style="651" customWidth="1"/>
    <col min="8962" max="8962" width="38.33203125" style="651" customWidth="1"/>
    <col min="8963" max="8964" width="50" style="651" customWidth="1"/>
    <col min="8965" max="8965" width="38.33203125" style="651" customWidth="1"/>
    <col min="8966" max="8966" width="50" style="651" customWidth="1"/>
    <col min="8967" max="8967" width="186.33203125" style="651" customWidth="1"/>
    <col min="8968" max="8968" width="50" style="651" customWidth="1"/>
    <col min="8969" max="8969" width="38.33203125" style="651" customWidth="1"/>
    <col min="8970" max="8971" width="49.83203125" style="651" customWidth="1"/>
    <col min="8972" max="8972" width="38.1640625" style="651" customWidth="1"/>
    <col min="8973" max="8973" width="49.83203125" style="651" customWidth="1"/>
    <col min="8974" max="8974" width="50" style="651" customWidth="1"/>
    <col min="8975" max="8975" width="38.33203125" style="651" customWidth="1"/>
    <col min="8976" max="8977" width="49.83203125" style="651" customWidth="1"/>
    <col min="8978" max="8978" width="38.1640625" style="651" customWidth="1"/>
    <col min="8979" max="8980" width="50" style="651" customWidth="1"/>
    <col min="8981" max="8981" width="38.33203125" style="651" customWidth="1"/>
    <col min="8982" max="8982" width="50" style="651" customWidth="1"/>
    <col min="8983" max="8983" width="186.33203125" style="651" customWidth="1"/>
    <col min="8984" max="8984" width="50" style="651" customWidth="1"/>
    <col min="8985" max="8985" width="38.33203125" style="651" customWidth="1"/>
    <col min="8986" max="8986" width="49.83203125" style="651" customWidth="1"/>
    <col min="8987" max="8987" width="50" style="651" customWidth="1"/>
    <col min="8988" max="8988" width="45" style="651" customWidth="1"/>
    <col min="8989" max="8990" width="50" style="651" customWidth="1"/>
    <col min="8991" max="8991" width="45" style="651" customWidth="1"/>
    <col min="8992" max="8993" width="50" style="651" customWidth="1"/>
    <col min="8994" max="8994" width="45" style="651" customWidth="1"/>
    <col min="8995" max="8995" width="50.33203125" style="651" customWidth="1"/>
    <col min="8996" max="8996" width="50" style="651" customWidth="1"/>
    <col min="8997" max="8997" width="45" style="651" customWidth="1"/>
    <col min="8998" max="8998" width="50" style="651" customWidth="1"/>
    <col min="8999" max="9000" width="51" style="651" customWidth="1"/>
    <col min="9001" max="9206" width="9.33203125" style="651"/>
    <col min="9207" max="9207" width="186.33203125" style="651" customWidth="1"/>
    <col min="9208" max="9208" width="49.83203125" style="651" customWidth="1"/>
    <col min="9209" max="9209" width="38.33203125" style="651" customWidth="1"/>
    <col min="9210" max="9211" width="50" style="651" customWidth="1"/>
    <col min="9212" max="9212" width="37.6640625" style="651" customWidth="1"/>
    <col min="9213" max="9213" width="50" style="651" customWidth="1"/>
    <col min="9214" max="9214" width="51.33203125" style="651" customWidth="1"/>
    <col min="9215" max="9215" width="38.1640625" style="651" customWidth="1"/>
    <col min="9216" max="9217" width="50" style="651" customWidth="1"/>
    <col min="9218" max="9218" width="38.33203125" style="651" customWidth="1"/>
    <col min="9219" max="9220" width="50" style="651" customWidth="1"/>
    <col min="9221" max="9221" width="38.33203125" style="651" customWidth="1"/>
    <col min="9222" max="9222" width="50" style="651" customWidth="1"/>
    <col min="9223" max="9223" width="186.33203125" style="651" customWidth="1"/>
    <col min="9224" max="9224" width="50" style="651" customWidth="1"/>
    <col min="9225" max="9225" width="38.33203125" style="651" customWidth="1"/>
    <col min="9226" max="9227" width="49.83203125" style="651" customWidth="1"/>
    <col min="9228" max="9228" width="38.1640625" style="651" customWidth="1"/>
    <col min="9229" max="9229" width="49.83203125" style="651" customWidth="1"/>
    <col min="9230" max="9230" width="50" style="651" customWidth="1"/>
    <col min="9231" max="9231" width="38.33203125" style="651" customWidth="1"/>
    <col min="9232" max="9233" width="49.83203125" style="651" customWidth="1"/>
    <col min="9234" max="9234" width="38.1640625" style="651" customWidth="1"/>
    <col min="9235" max="9236" width="50" style="651" customWidth="1"/>
    <col min="9237" max="9237" width="38.33203125" style="651" customWidth="1"/>
    <col min="9238" max="9238" width="50" style="651" customWidth="1"/>
    <col min="9239" max="9239" width="186.33203125" style="651" customWidth="1"/>
    <col min="9240" max="9240" width="50" style="651" customWidth="1"/>
    <col min="9241" max="9241" width="38.33203125" style="651" customWidth="1"/>
    <col min="9242" max="9242" width="49.83203125" style="651" customWidth="1"/>
    <col min="9243" max="9243" width="50" style="651" customWidth="1"/>
    <col min="9244" max="9244" width="45" style="651" customWidth="1"/>
    <col min="9245" max="9246" width="50" style="651" customWidth="1"/>
    <col min="9247" max="9247" width="45" style="651" customWidth="1"/>
    <col min="9248" max="9249" width="50" style="651" customWidth="1"/>
    <col min="9250" max="9250" width="45" style="651" customWidth="1"/>
    <col min="9251" max="9251" width="50.33203125" style="651" customWidth="1"/>
    <col min="9252" max="9252" width="50" style="651" customWidth="1"/>
    <col min="9253" max="9253" width="45" style="651" customWidth="1"/>
    <col min="9254" max="9254" width="50" style="651" customWidth="1"/>
    <col min="9255" max="9256" width="51" style="651" customWidth="1"/>
    <col min="9257" max="9462" width="9.33203125" style="651"/>
    <col min="9463" max="9463" width="186.33203125" style="651" customWidth="1"/>
    <col min="9464" max="9464" width="49.83203125" style="651" customWidth="1"/>
    <col min="9465" max="9465" width="38.33203125" style="651" customWidth="1"/>
    <col min="9466" max="9467" width="50" style="651" customWidth="1"/>
    <col min="9468" max="9468" width="37.6640625" style="651" customWidth="1"/>
    <col min="9469" max="9469" width="50" style="651" customWidth="1"/>
    <col min="9470" max="9470" width="51.33203125" style="651" customWidth="1"/>
    <col min="9471" max="9471" width="38.1640625" style="651" customWidth="1"/>
    <col min="9472" max="9473" width="50" style="651" customWidth="1"/>
    <col min="9474" max="9474" width="38.33203125" style="651" customWidth="1"/>
    <col min="9475" max="9476" width="50" style="651" customWidth="1"/>
    <col min="9477" max="9477" width="38.33203125" style="651" customWidth="1"/>
    <col min="9478" max="9478" width="50" style="651" customWidth="1"/>
    <col min="9479" max="9479" width="186.33203125" style="651" customWidth="1"/>
    <col min="9480" max="9480" width="50" style="651" customWidth="1"/>
    <col min="9481" max="9481" width="38.33203125" style="651" customWidth="1"/>
    <col min="9482" max="9483" width="49.83203125" style="651" customWidth="1"/>
    <col min="9484" max="9484" width="38.1640625" style="651" customWidth="1"/>
    <col min="9485" max="9485" width="49.83203125" style="651" customWidth="1"/>
    <col min="9486" max="9486" width="50" style="651" customWidth="1"/>
    <col min="9487" max="9487" width="38.33203125" style="651" customWidth="1"/>
    <col min="9488" max="9489" width="49.83203125" style="651" customWidth="1"/>
    <col min="9490" max="9490" width="38.1640625" style="651" customWidth="1"/>
    <col min="9491" max="9492" width="50" style="651" customWidth="1"/>
    <col min="9493" max="9493" width="38.33203125" style="651" customWidth="1"/>
    <col min="9494" max="9494" width="50" style="651" customWidth="1"/>
    <col min="9495" max="9495" width="186.33203125" style="651" customWidth="1"/>
    <col min="9496" max="9496" width="50" style="651" customWidth="1"/>
    <col min="9497" max="9497" width="38.33203125" style="651" customWidth="1"/>
    <col min="9498" max="9498" width="49.83203125" style="651" customWidth="1"/>
    <col min="9499" max="9499" width="50" style="651" customWidth="1"/>
    <col min="9500" max="9500" width="45" style="651" customWidth="1"/>
    <col min="9501" max="9502" width="50" style="651" customWidth="1"/>
    <col min="9503" max="9503" width="45" style="651" customWidth="1"/>
    <col min="9504" max="9505" width="50" style="651" customWidth="1"/>
    <col min="9506" max="9506" width="45" style="651" customWidth="1"/>
    <col min="9507" max="9507" width="50.33203125" style="651" customWidth="1"/>
    <col min="9508" max="9508" width="50" style="651" customWidth="1"/>
    <col min="9509" max="9509" width="45" style="651" customWidth="1"/>
    <col min="9510" max="9510" width="50" style="651" customWidth="1"/>
    <col min="9511" max="9512" width="51" style="651" customWidth="1"/>
    <col min="9513" max="9718" width="9.33203125" style="651"/>
    <col min="9719" max="9719" width="186.33203125" style="651" customWidth="1"/>
    <col min="9720" max="9720" width="49.83203125" style="651" customWidth="1"/>
    <col min="9721" max="9721" width="38.33203125" style="651" customWidth="1"/>
    <col min="9722" max="9723" width="50" style="651" customWidth="1"/>
    <col min="9724" max="9724" width="37.6640625" style="651" customWidth="1"/>
    <col min="9725" max="9725" width="50" style="651" customWidth="1"/>
    <col min="9726" max="9726" width="51.33203125" style="651" customWidth="1"/>
    <col min="9727" max="9727" width="38.1640625" style="651" customWidth="1"/>
    <col min="9728" max="9729" width="50" style="651" customWidth="1"/>
    <col min="9730" max="9730" width="38.33203125" style="651" customWidth="1"/>
    <col min="9731" max="9732" width="50" style="651" customWidth="1"/>
    <col min="9733" max="9733" width="38.33203125" style="651" customWidth="1"/>
    <col min="9734" max="9734" width="50" style="651" customWidth="1"/>
    <col min="9735" max="9735" width="186.33203125" style="651" customWidth="1"/>
    <col min="9736" max="9736" width="50" style="651" customWidth="1"/>
    <col min="9737" max="9737" width="38.33203125" style="651" customWidth="1"/>
    <col min="9738" max="9739" width="49.83203125" style="651" customWidth="1"/>
    <col min="9740" max="9740" width="38.1640625" style="651" customWidth="1"/>
    <col min="9741" max="9741" width="49.83203125" style="651" customWidth="1"/>
    <col min="9742" max="9742" width="50" style="651" customWidth="1"/>
    <col min="9743" max="9743" width="38.33203125" style="651" customWidth="1"/>
    <col min="9744" max="9745" width="49.83203125" style="651" customWidth="1"/>
    <col min="9746" max="9746" width="38.1640625" style="651" customWidth="1"/>
    <col min="9747" max="9748" width="50" style="651" customWidth="1"/>
    <col min="9749" max="9749" width="38.33203125" style="651" customWidth="1"/>
    <col min="9750" max="9750" width="50" style="651" customWidth="1"/>
    <col min="9751" max="9751" width="186.33203125" style="651" customWidth="1"/>
    <col min="9752" max="9752" width="50" style="651" customWidth="1"/>
    <col min="9753" max="9753" width="38.33203125" style="651" customWidth="1"/>
    <col min="9754" max="9754" width="49.83203125" style="651" customWidth="1"/>
    <col min="9755" max="9755" width="50" style="651" customWidth="1"/>
    <col min="9756" max="9756" width="45" style="651" customWidth="1"/>
    <col min="9757" max="9758" width="50" style="651" customWidth="1"/>
    <col min="9759" max="9759" width="45" style="651" customWidth="1"/>
    <col min="9760" max="9761" width="50" style="651" customWidth="1"/>
    <col min="9762" max="9762" width="45" style="651" customWidth="1"/>
    <col min="9763" max="9763" width="50.33203125" style="651" customWidth="1"/>
    <col min="9764" max="9764" width="50" style="651" customWidth="1"/>
    <col min="9765" max="9765" width="45" style="651" customWidth="1"/>
    <col min="9766" max="9766" width="50" style="651" customWidth="1"/>
    <col min="9767" max="9768" width="51" style="651" customWidth="1"/>
    <col min="9769" max="9974" width="9.33203125" style="651"/>
    <col min="9975" max="9975" width="186.33203125" style="651" customWidth="1"/>
    <col min="9976" max="9976" width="49.83203125" style="651" customWidth="1"/>
    <col min="9977" max="9977" width="38.33203125" style="651" customWidth="1"/>
    <col min="9978" max="9979" width="50" style="651" customWidth="1"/>
    <col min="9980" max="9980" width="37.6640625" style="651" customWidth="1"/>
    <col min="9981" max="9981" width="50" style="651" customWidth="1"/>
    <col min="9982" max="9982" width="51.33203125" style="651" customWidth="1"/>
    <col min="9983" max="9983" width="38.1640625" style="651" customWidth="1"/>
    <col min="9984" max="9985" width="50" style="651" customWidth="1"/>
    <col min="9986" max="9986" width="38.33203125" style="651" customWidth="1"/>
    <col min="9987" max="9988" width="50" style="651" customWidth="1"/>
    <col min="9989" max="9989" width="38.33203125" style="651" customWidth="1"/>
    <col min="9990" max="9990" width="50" style="651" customWidth="1"/>
    <col min="9991" max="9991" width="186.33203125" style="651" customWidth="1"/>
    <col min="9992" max="9992" width="50" style="651" customWidth="1"/>
    <col min="9993" max="9993" width="38.33203125" style="651" customWidth="1"/>
    <col min="9994" max="9995" width="49.83203125" style="651" customWidth="1"/>
    <col min="9996" max="9996" width="38.1640625" style="651" customWidth="1"/>
    <col min="9997" max="9997" width="49.83203125" style="651" customWidth="1"/>
    <col min="9998" max="9998" width="50" style="651" customWidth="1"/>
    <col min="9999" max="9999" width="38.33203125" style="651" customWidth="1"/>
    <col min="10000" max="10001" width="49.83203125" style="651" customWidth="1"/>
    <col min="10002" max="10002" width="38.1640625" style="651" customWidth="1"/>
    <col min="10003" max="10004" width="50" style="651" customWidth="1"/>
    <col min="10005" max="10005" width="38.33203125" style="651" customWidth="1"/>
    <col min="10006" max="10006" width="50" style="651" customWidth="1"/>
    <col min="10007" max="10007" width="186.33203125" style="651" customWidth="1"/>
    <col min="10008" max="10008" width="50" style="651" customWidth="1"/>
    <col min="10009" max="10009" width="38.33203125" style="651" customWidth="1"/>
    <col min="10010" max="10010" width="49.83203125" style="651" customWidth="1"/>
    <col min="10011" max="10011" width="50" style="651" customWidth="1"/>
    <col min="10012" max="10012" width="45" style="651" customWidth="1"/>
    <col min="10013" max="10014" width="50" style="651" customWidth="1"/>
    <col min="10015" max="10015" width="45" style="651" customWidth="1"/>
    <col min="10016" max="10017" width="50" style="651" customWidth="1"/>
    <col min="10018" max="10018" width="45" style="651" customWidth="1"/>
    <col min="10019" max="10019" width="50.33203125" style="651" customWidth="1"/>
    <col min="10020" max="10020" width="50" style="651" customWidth="1"/>
    <col min="10021" max="10021" width="45" style="651" customWidth="1"/>
    <col min="10022" max="10022" width="50" style="651" customWidth="1"/>
    <col min="10023" max="10024" width="51" style="651" customWidth="1"/>
    <col min="10025" max="10230" width="9.33203125" style="651"/>
    <col min="10231" max="10231" width="186.33203125" style="651" customWidth="1"/>
    <col min="10232" max="10232" width="49.83203125" style="651" customWidth="1"/>
    <col min="10233" max="10233" width="38.33203125" style="651" customWidth="1"/>
    <col min="10234" max="10235" width="50" style="651" customWidth="1"/>
    <col min="10236" max="10236" width="37.6640625" style="651" customWidth="1"/>
    <col min="10237" max="10237" width="50" style="651" customWidth="1"/>
    <col min="10238" max="10238" width="51.33203125" style="651" customWidth="1"/>
    <col min="10239" max="10239" width="38.1640625" style="651" customWidth="1"/>
    <col min="10240" max="10241" width="50" style="651" customWidth="1"/>
    <col min="10242" max="10242" width="38.33203125" style="651" customWidth="1"/>
    <col min="10243" max="10244" width="50" style="651" customWidth="1"/>
    <col min="10245" max="10245" width="38.33203125" style="651" customWidth="1"/>
    <col min="10246" max="10246" width="50" style="651" customWidth="1"/>
    <col min="10247" max="10247" width="186.33203125" style="651" customWidth="1"/>
    <col min="10248" max="10248" width="50" style="651" customWidth="1"/>
    <col min="10249" max="10249" width="38.33203125" style="651" customWidth="1"/>
    <col min="10250" max="10251" width="49.83203125" style="651" customWidth="1"/>
    <col min="10252" max="10252" width="38.1640625" style="651" customWidth="1"/>
    <col min="10253" max="10253" width="49.83203125" style="651" customWidth="1"/>
    <col min="10254" max="10254" width="50" style="651" customWidth="1"/>
    <col min="10255" max="10255" width="38.33203125" style="651" customWidth="1"/>
    <col min="10256" max="10257" width="49.83203125" style="651" customWidth="1"/>
    <col min="10258" max="10258" width="38.1640625" style="651" customWidth="1"/>
    <col min="10259" max="10260" width="50" style="651" customWidth="1"/>
    <col min="10261" max="10261" width="38.33203125" style="651" customWidth="1"/>
    <col min="10262" max="10262" width="50" style="651" customWidth="1"/>
    <col min="10263" max="10263" width="186.33203125" style="651" customWidth="1"/>
    <col min="10264" max="10264" width="50" style="651" customWidth="1"/>
    <col min="10265" max="10265" width="38.33203125" style="651" customWidth="1"/>
    <col min="10266" max="10266" width="49.83203125" style="651" customWidth="1"/>
    <col min="10267" max="10267" width="50" style="651" customWidth="1"/>
    <col min="10268" max="10268" width="45" style="651" customWidth="1"/>
    <col min="10269" max="10270" width="50" style="651" customWidth="1"/>
    <col min="10271" max="10271" width="45" style="651" customWidth="1"/>
    <col min="10272" max="10273" width="50" style="651" customWidth="1"/>
    <col min="10274" max="10274" width="45" style="651" customWidth="1"/>
    <col min="10275" max="10275" width="50.33203125" style="651" customWidth="1"/>
    <col min="10276" max="10276" width="50" style="651" customWidth="1"/>
    <col min="10277" max="10277" width="45" style="651" customWidth="1"/>
    <col min="10278" max="10278" width="50" style="651" customWidth="1"/>
    <col min="10279" max="10280" width="51" style="651" customWidth="1"/>
    <col min="10281" max="10486" width="9.33203125" style="651"/>
    <col min="10487" max="10487" width="186.33203125" style="651" customWidth="1"/>
    <col min="10488" max="10488" width="49.83203125" style="651" customWidth="1"/>
    <col min="10489" max="10489" width="38.33203125" style="651" customWidth="1"/>
    <col min="10490" max="10491" width="50" style="651" customWidth="1"/>
    <col min="10492" max="10492" width="37.6640625" style="651" customWidth="1"/>
    <col min="10493" max="10493" width="50" style="651" customWidth="1"/>
    <col min="10494" max="10494" width="51.33203125" style="651" customWidth="1"/>
    <col min="10495" max="10495" width="38.1640625" style="651" customWidth="1"/>
    <col min="10496" max="10497" width="50" style="651" customWidth="1"/>
    <col min="10498" max="10498" width="38.33203125" style="651" customWidth="1"/>
    <col min="10499" max="10500" width="50" style="651" customWidth="1"/>
    <col min="10501" max="10501" width="38.33203125" style="651" customWidth="1"/>
    <col min="10502" max="10502" width="50" style="651" customWidth="1"/>
    <col min="10503" max="10503" width="186.33203125" style="651" customWidth="1"/>
    <col min="10504" max="10504" width="50" style="651" customWidth="1"/>
    <col min="10505" max="10505" width="38.33203125" style="651" customWidth="1"/>
    <col min="10506" max="10507" width="49.83203125" style="651" customWidth="1"/>
    <col min="10508" max="10508" width="38.1640625" style="651" customWidth="1"/>
    <col min="10509" max="10509" width="49.83203125" style="651" customWidth="1"/>
    <col min="10510" max="10510" width="50" style="651" customWidth="1"/>
    <col min="10511" max="10511" width="38.33203125" style="651" customWidth="1"/>
    <col min="10512" max="10513" width="49.83203125" style="651" customWidth="1"/>
    <col min="10514" max="10514" width="38.1640625" style="651" customWidth="1"/>
    <col min="10515" max="10516" width="50" style="651" customWidth="1"/>
    <col min="10517" max="10517" width="38.33203125" style="651" customWidth="1"/>
    <col min="10518" max="10518" width="50" style="651" customWidth="1"/>
    <col min="10519" max="10519" width="186.33203125" style="651" customWidth="1"/>
    <col min="10520" max="10520" width="50" style="651" customWidth="1"/>
    <col min="10521" max="10521" width="38.33203125" style="651" customWidth="1"/>
    <col min="10522" max="10522" width="49.83203125" style="651" customWidth="1"/>
    <col min="10523" max="10523" width="50" style="651" customWidth="1"/>
    <col min="10524" max="10524" width="45" style="651" customWidth="1"/>
    <col min="10525" max="10526" width="50" style="651" customWidth="1"/>
    <col min="10527" max="10527" width="45" style="651" customWidth="1"/>
    <col min="10528" max="10529" width="50" style="651" customWidth="1"/>
    <col min="10530" max="10530" width="45" style="651" customWidth="1"/>
    <col min="10531" max="10531" width="50.33203125" style="651" customWidth="1"/>
    <col min="10532" max="10532" width="50" style="651" customWidth="1"/>
    <col min="10533" max="10533" width="45" style="651" customWidth="1"/>
    <col min="10534" max="10534" width="50" style="651" customWidth="1"/>
    <col min="10535" max="10536" width="51" style="651" customWidth="1"/>
    <col min="10537" max="10742" width="9.33203125" style="651"/>
    <col min="10743" max="10743" width="186.33203125" style="651" customWidth="1"/>
    <col min="10744" max="10744" width="49.83203125" style="651" customWidth="1"/>
    <col min="10745" max="10745" width="38.33203125" style="651" customWidth="1"/>
    <col min="10746" max="10747" width="50" style="651" customWidth="1"/>
    <col min="10748" max="10748" width="37.6640625" style="651" customWidth="1"/>
    <col min="10749" max="10749" width="50" style="651" customWidth="1"/>
    <col min="10750" max="10750" width="51.33203125" style="651" customWidth="1"/>
    <col min="10751" max="10751" width="38.1640625" style="651" customWidth="1"/>
    <col min="10752" max="10753" width="50" style="651" customWidth="1"/>
    <col min="10754" max="10754" width="38.33203125" style="651" customWidth="1"/>
    <col min="10755" max="10756" width="50" style="651" customWidth="1"/>
    <col min="10757" max="10757" width="38.33203125" style="651" customWidth="1"/>
    <col min="10758" max="10758" width="50" style="651" customWidth="1"/>
    <col min="10759" max="10759" width="186.33203125" style="651" customWidth="1"/>
    <col min="10760" max="10760" width="50" style="651" customWidth="1"/>
    <col min="10761" max="10761" width="38.33203125" style="651" customWidth="1"/>
    <col min="10762" max="10763" width="49.83203125" style="651" customWidth="1"/>
    <col min="10764" max="10764" width="38.1640625" style="651" customWidth="1"/>
    <col min="10765" max="10765" width="49.83203125" style="651" customWidth="1"/>
    <col min="10766" max="10766" width="50" style="651" customWidth="1"/>
    <col min="10767" max="10767" width="38.33203125" style="651" customWidth="1"/>
    <col min="10768" max="10769" width="49.83203125" style="651" customWidth="1"/>
    <col min="10770" max="10770" width="38.1640625" style="651" customWidth="1"/>
    <col min="10771" max="10772" width="50" style="651" customWidth="1"/>
    <col min="10773" max="10773" width="38.33203125" style="651" customWidth="1"/>
    <col min="10774" max="10774" width="50" style="651" customWidth="1"/>
    <col min="10775" max="10775" width="186.33203125" style="651" customWidth="1"/>
    <col min="10776" max="10776" width="50" style="651" customWidth="1"/>
    <col min="10777" max="10777" width="38.33203125" style="651" customWidth="1"/>
    <col min="10778" max="10778" width="49.83203125" style="651" customWidth="1"/>
    <col min="10779" max="10779" width="50" style="651" customWidth="1"/>
    <col min="10780" max="10780" width="45" style="651" customWidth="1"/>
    <col min="10781" max="10782" width="50" style="651" customWidth="1"/>
    <col min="10783" max="10783" width="45" style="651" customWidth="1"/>
    <col min="10784" max="10785" width="50" style="651" customWidth="1"/>
    <col min="10786" max="10786" width="45" style="651" customWidth="1"/>
    <col min="10787" max="10787" width="50.33203125" style="651" customWidth="1"/>
    <col min="10788" max="10788" width="50" style="651" customWidth="1"/>
    <col min="10789" max="10789" width="45" style="651" customWidth="1"/>
    <col min="10790" max="10790" width="50" style="651" customWidth="1"/>
    <col min="10791" max="10792" width="51" style="651" customWidth="1"/>
    <col min="10793" max="10998" width="9.33203125" style="651"/>
    <col min="10999" max="10999" width="186.33203125" style="651" customWidth="1"/>
    <col min="11000" max="11000" width="49.83203125" style="651" customWidth="1"/>
    <col min="11001" max="11001" width="38.33203125" style="651" customWidth="1"/>
    <col min="11002" max="11003" width="50" style="651" customWidth="1"/>
    <col min="11004" max="11004" width="37.6640625" style="651" customWidth="1"/>
    <col min="11005" max="11005" width="50" style="651" customWidth="1"/>
    <col min="11006" max="11006" width="51.33203125" style="651" customWidth="1"/>
    <col min="11007" max="11007" width="38.1640625" style="651" customWidth="1"/>
    <col min="11008" max="11009" width="50" style="651" customWidth="1"/>
    <col min="11010" max="11010" width="38.33203125" style="651" customWidth="1"/>
    <col min="11011" max="11012" width="50" style="651" customWidth="1"/>
    <col min="11013" max="11013" width="38.33203125" style="651" customWidth="1"/>
    <col min="11014" max="11014" width="50" style="651" customWidth="1"/>
    <col min="11015" max="11015" width="186.33203125" style="651" customWidth="1"/>
    <col min="11016" max="11016" width="50" style="651" customWidth="1"/>
    <col min="11017" max="11017" width="38.33203125" style="651" customWidth="1"/>
    <col min="11018" max="11019" width="49.83203125" style="651" customWidth="1"/>
    <col min="11020" max="11020" width="38.1640625" style="651" customWidth="1"/>
    <col min="11021" max="11021" width="49.83203125" style="651" customWidth="1"/>
    <col min="11022" max="11022" width="50" style="651" customWidth="1"/>
    <col min="11023" max="11023" width="38.33203125" style="651" customWidth="1"/>
    <col min="11024" max="11025" width="49.83203125" style="651" customWidth="1"/>
    <col min="11026" max="11026" width="38.1640625" style="651" customWidth="1"/>
    <col min="11027" max="11028" width="50" style="651" customWidth="1"/>
    <col min="11029" max="11029" width="38.33203125" style="651" customWidth="1"/>
    <col min="11030" max="11030" width="50" style="651" customWidth="1"/>
    <col min="11031" max="11031" width="186.33203125" style="651" customWidth="1"/>
    <col min="11032" max="11032" width="50" style="651" customWidth="1"/>
    <col min="11033" max="11033" width="38.33203125" style="651" customWidth="1"/>
    <col min="11034" max="11034" width="49.83203125" style="651" customWidth="1"/>
    <col min="11035" max="11035" width="50" style="651" customWidth="1"/>
    <col min="11036" max="11036" width="45" style="651" customWidth="1"/>
    <col min="11037" max="11038" width="50" style="651" customWidth="1"/>
    <col min="11039" max="11039" width="45" style="651" customWidth="1"/>
    <col min="11040" max="11041" width="50" style="651" customWidth="1"/>
    <col min="11042" max="11042" width="45" style="651" customWidth="1"/>
    <col min="11043" max="11043" width="50.33203125" style="651" customWidth="1"/>
    <col min="11044" max="11044" width="50" style="651" customWidth="1"/>
    <col min="11045" max="11045" width="45" style="651" customWidth="1"/>
    <col min="11046" max="11046" width="50" style="651" customWidth="1"/>
    <col min="11047" max="11048" width="51" style="651" customWidth="1"/>
    <col min="11049" max="11254" width="9.33203125" style="651"/>
    <col min="11255" max="11255" width="186.33203125" style="651" customWidth="1"/>
    <col min="11256" max="11256" width="49.83203125" style="651" customWidth="1"/>
    <col min="11257" max="11257" width="38.33203125" style="651" customWidth="1"/>
    <col min="11258" max="11259" width="50" style="651" customWidth="1"/>
    <col min="11260" max="11260" width="37.6640625" style="651" customWidth="1"/>
    <col min="11261" max="11261" width="50" style="651" customWidth="1"/>
    <col min="11262" max="11262" width="51.33203125" style="651" customWidth="1"/>
    <col min="11263" max="11263" width="38.1640625" style="651" customWidth="1"/>
    <col min="11264" max="11265" width="50" style="651" customWidth="1"/>
    <col min="11266" max="11266" width="38.33203125" style="651" customWidth="1"/>
    <col min="11267" max="11268" width="50" style="651" customWidth="1"/>
    <col min="11269" max="11269" width="38.33203125" style="651" customWidth="1"/>
    <col min="11270" max="11270" width="50" style="651" customWidth="1"/>
    <col min="11271" max="11271" width="186.33203125" style="651" customWidth="1"/>
    <col min="11272" max="11272" width="50" style="651" customWidth="1"/>
    <col min="11273" max="11273" width="38.33203125" style="651" customWidth="1"/>
    <col min="11274" max="11275" width="49.83203125" style="651" customWidth="1"/>
    <col min="11276" max="11276" width="38.1640625" style="651" customWidth="1"/>
    <col min="11277" max="11277" width="49.83203125" style="651" customWidth="1"/>
    <col min="11278" max="11278" width="50" style="651" customWidth="1"/>
    <col min="11279" max="11279" width="38.33203125" style="651" customWidth="1"/>
    <col min="11280" max="11281" width="49.83203125" style="651" customWidth="1"/>
    <col min="11282" max="11282" width="38.1640625" style="651" customWidth="1"/>
    <col min="11283" max="11284" width="50" style="651" customWidth="1"/>
    <col min="11285" max="11285" width="38.33203125" style="651" customWidth="1"/>
    <col min="11286" max="11286" width="50" style="651" customWidth="1"/>
    <col min="11287" max="11287" width="186.33203125" style="651" customWidth="1"/>
    <col min="11288" max="11288" width="50" style="651" customWidth="1"/>
    <col min="11289" max="11289" width="38.33203125" style="651" customWidth="1"/>
    <col min="11290" max="11290" width="49.83203125" style="651" customWidth="1"/>
    <col min="11291" max="11291" width="50" style="651" customWidth="1"/>
    <col min="11292" max="11292" width="45" style="651" customWidth="1"/>
    <col min="11293" max="11294" width="50" style="651" customWidth="1"/>
    <col min="11295" max="11295" width="45" style="651" customWidth="1"/>
    <col min="11296" max="11297" width="50" style="651" customWidth="1"/>
    <col min="11298" max="11298" width="45" style="651" customWidth="1"/>
    <col min="11299" max="11299" width="50.33203125" style="651" customWidth="1"/>
    <col min="11300" max="11300" width="50" style="651" customWidth="1"/>
    <col min="11301" max="11301" width="45" style="651" customWidth="1"/>
    <col min="11302" max="11302" width="50" style="651" customWidth="1"/>
    <col min="11303" max="11304" width="51" style="651" customWidth="1"/>
    <col min="11305" max="11510" width="9.33203125" style="651"/>
    <col min="11511" max="11511" width="186.33203125" style="651" customWidth="1"/>
    <col min="11512" max="11512" width="49.83203125" style="651" customWidth="1"/>
    <col min="11513" max="11513" width="38.33203125" style="651" customWidth="1"/>
    <col min="11514" max="11515" width="50" style="651" customWidth="1"/>
    <col min="11516" max="11516" width="37.6640625" style="651" customWidth="1"/>
    <col min="11517" max="11517" width="50" style="651" customWidth="1"/>
    <col min="11518" max="11518" width="51.33203125" style="651" customWidth="1"/>
    <col min="11519" max="11519" width="38.1640625" style="651" customWidth="1"/>
    <col min="11520" max="11521" width="50" style="651" customWidth="1"/>
    <col min="11522" max="11522" width="38.33203125" style="651" customWidth="1"/>
    <col min="11523" max="11524" width="50" style="651" customWidth="1"/>
    <col min="11525" max="11525" width="38.33203125" style="651" customWidth="1"/>
    <col min="11526" max="11526" width="50" style="651" customWidth="1"/>
    <col min="11527" max="11527" width="186.33203125" style="651" customWidth="1"/>
    <col min="11528" max="11528" width="50" style="651" customWidth="1"/>
    <col min="11529" max="11529" width="38.33203125" style="651" customWidth="1"/>
    <col min="11530" max="11531" width="49.83203125" style="651" customWidth="1"/>
    <col min="11532" max="11532" width="38.1640625" style="651" customWidth="1"/>
    <col min="11533" max="11533" width="49.83203125" style="651" customWidth="1"/>
    <col min="11534" max="11534" width="50" style="651" customWidth="1"/>
    <col min="11535" max="11535" width="38.33203125" style="651" customWidth="1"/>
    <col min="11536" max="11537" width="49.83203125" style="651" customWidth="1"/>
    <col min="11538" max="11538" width="38.1640625" style="651" customWidth="1"/>
    <col min="11539" max="11540" width="50" style="651" customWidth="1"/>
    <col min="11541" max="11541" width="38.33203125" style="651" customWidth="1"/>
    <col min="11542" max="11542" width="50" style="651" customWidth="1"/>
    <col min="11543" max="11543" width="186.33203125" style="651" customWidth="1"/>
    <col min="11544" max="11544" width="50" style="651" customWidth="1"/>
    <col min="11545" max="11545" width="38.33203125" style="651" customWidth="1"/>
    <col min="11546" max="11546" width="49.83203125" style="651" customWidth="1"/>
    <col min="11547" max="11547" width="50" style="651" customWidth="1"/>
    <col min="11548" max="11548" width="45" style="651" customWidth="1"/>
    <col min="11549" max="11550" width="50" style="651" customWidth="1"/>
    <col min="11551" max="11551" width="45" style="651" customWidth="1"/>
    <col min="11552" max="11553" width="50" style="651" customWidth="1"/>
    <col min="11554" max="11554" width="45" style="651" customWidth="1"/>
    <col min="11555" max="11555" width="50.33203125" style="651" customWidth="1"/>
    <col min="11556" max="11556" width="50" style="651" customWidth="1"/>
    <col min="11557" max="11557" width="45" style="651" customWidth="1"/>
    <col min="11558" max="11558" width="50" style="651" customWidth="1"/>
    <col min="11559" max="11560" width="51" style="651" customWidth="1"/>
    <col min="11561" max="11766" width="9.33203125" style="651"/>
    <col min="11767" max="11767" width="186.33203125" style="651" customWidth="1"/>
    <col min="11768" max="11768" width="49.83203125" style="651" customWidth="1"/>
    <col min="11769" max="11769" width="38.33203125" style="651" customWidth="1"/>
    <col min="11770" max="11771" width="50" style="651" customWidth="1"/>
    <col min="11772" max="11772" width="37.6640625" style="651" customWidth="1"/>
    <col min="11773" max="11773" width="50" style="651" customWidth="1"/>
    <col min="11774" max="11774" width="51.33203125" style="651" customWidth="1"/>
    <col min="11775" max="11775" width="38.1640625" style="651" customWidth="1"/>
    <col min="11776" max="11777" width="50" style="651" customWidth="1"/>
    <col min="11778" max="11778" width="38.33203125" style="651" customWidth="1"/>
    <col min="11779" max="11780" width="50" style="651" customWidth="1"/>
    <col min="11781" max="11781" width="38.33203125" style="651" customWidth="1"/>
    <col min="11782" max="11782" width="50" style="651" customWidth="1"/>
    <col min="11783" max="11783" width="186.33203125" style="651" customWidth="1"/>
    <col min="11784" max="11784" width="50" style="651" customWidth="1"/>
    <col min="11785" max="11785" width="38.33203125" style="651" customWidth="1"/>
    <col min="11786" max="11787" width="49.83203125" style="651" customWidth="1"/>
    <col min="11788" max="11788" width="38.1640625" style="651" customWidth="1"/>
    <col min="11789" max="11789" width="49.83203125" style="651" customWidth="1"/>
    <col min="11790" max="11790" width="50" style="651" customWidth="1"/>
    <col min="11791" max="11791" width="38.33203125" style="651" customWidth="1"/>
    <col min="11792" max="11793" width="49.83203125" style="651" customWidth="1"/>
    <col min="11794" max="11794" width="38.1640625" style="651" customWidth="1"/>
    <col min="11795" max="11796" width="50" style="651" customWidth="1"/>
    <col min="11797" max="11797" width="38.33203125" style="651" customWidth="1"/>
    <col min="11798" max="11798" width="50" style="651" customWidth="1"/>
    <col min="11799" max="11799" width="186.33203125" style="651" customWidth="1"/>
    <col min="11800" max="11800" width="50" style="651" customWidth="1"/>
    <col min="11801" max="11801" width="38.33203125" style="651" customWidth="1"/>
    <col min="11802" max="11802" width="49.83203125" style="651" customWidth="1"/>
    <col min="11803" max="11803" width="50" style="651" customWidth="1"/>
    <col min="11804" max="11804" width="45" style="651" customWidth="1"/>
    <col min="11805" max="11806" width="50" style="651" customWidth="1"/>
    <col min="11807" max="11807" width="45" style="651" customWidth="1"/>
    <col min="11808" max="11809" width="50" style="651" customWidth="1"/>
    <col min="11810" max="11810" width="45" style="651" customWidth="1"/>
    <col min="11811" max="11811" width="50.33203125" style="651" customWidth="1"/>
    <col min="11812" max="11812" width="50" style="651" customWidth="1"/>
    <col min="11813" max="11813" width="45" style="651" customWidth="1"/>
    <col min="11814" max="11814" width="50" style="651" customWidth="1"/>
    <col min="11815" max="11816" width="51" style="651" customWidth="1"/>
    <col min="11817" max="12022" width="9.33203125" style="651"/>
    <col min="12023" max="12023" width="186.33203125" style="651" customWidth="1"/>
    <col min="12024" max="12024" width="49.83203125" style="651" customWidth="1"/>
    <col min="12025" max="12025" width="38.33203125" style="651" customWidth="1"/>
    <col min="12026" max="12027" width="50" style="651" customWidth="1"/>
    <col min="12028" max="12028" width="37.6640625" style="651" customWidth="1"/>
    <col min="12029" max="12029" width="50" style="651" customWidth="1"/>
    <col min="12030" max="12030" width="51.33203125" style="651" customWidth="1"/>
    <col min="12031" max="12031" width="38.1640625" style="651" customWidth="1"/>
    <col min="12032" max="12033" width="50" style="651" customWidth="1"/>
    <col min="12034" max="12034" width="38.33203125" style="651" customWidth="1"/>
    <col min="12035" max="12036" width="50" style="651" customWidth="1"/>
    <col min="12037" max="12037" width="38.33203125" style="651" customWidth="1"/>
    <col min="12038" max="12038" width="50" style="651" customWidth="1"/>
    <col min="12039" max="12039" width="186.33203125" style="651" customWidth="1"/>
    <col min="12040" max="12040" width="50" style="651" customWidth="1"/>
    <col min="12041" max="12041" width="38.33203125" style="651" customWidth="1"/>
    <col min="12042" max="12043" width="49.83203125" style="651" customWidth="1"/>
    <col min="12044" max="12044" width="38.1640625" style="651" customWidth="1"/>
    <col min="12045" max="12045" width="49.83203125" style="651" customWidth="1"/>
    <col min="12046" max="12046" width="50" style="651" customWidth="1"/>
    <col min="12047" max="12047" width="38.33203125" style="651" customWidth="1"/>
    <col min="12048" max="12049" width="49.83203125" style="651" customWidth="1"/>
    <col min="12050" max="12050" width="38.1640625" style="651" customWidth="1"/>
    <col min="12051" max="12052" width="50" style="651" customWidth="1"/>
    <col min="12053" max="12053" width="38.33203125" style="651" customWidth="1"/>
    <col min="12054" max="12054" width="50" style="651" customWidth="1"/>
    <col min="12055" max="12055" width="186.33203125" style="651" customWidth="1"/>
    <col min="12056" max="12056" width="50" style="651" customWidth="1"/>
    <col min="12057" max="12057" width="38.33203125" style="651" customWidth="1"/>
    <col min="12058" max="12058" width="49.83203125" style="651" customWidth="1"/>
    <col min="12059" max="12059" width="50" style="651" customWidth="1"/>
    <col min="12060" max="12060" width="45" style="651" customWidth="1"/>
    <col min="12061" max="12062" width="50" style="651" customWidth="1"/>
    <col min="12063" max="12063" width="45" style="651" customWidth="1"/>
    <col min="12064" max="12065" width="50" style="651" customWidth="1"/>
    <col min="12066" max="12066" width="45" style="651" customWidth="1"/>
    <col min="12067" max="12067" width="50.33203125" style="651" customWidth="1"/>
    <col min="12068" max="12068" width="50" style="651" customWidth="1"/>
    <col min="12069" max="12069" width="45" style="651" customWidth="1"/>
    <col min="12070" max="12070" width="50" style="651" customWidth="1"/>
    <col min="12071" max="12072" width="51" style="651" customWidth="1"/>
    <col min="12073" max="12278" width="9.33203125" style="651"/>
    <col min="12279" max="12279" width="186.33203125" style="651" customWidth="1"/>
    <col min="12280" max="12280" width="49.83203125" style="651" customWidth="1"/>
    <col min="12281" max="12281" width="38.33203125" style="651" customWidth="1"/>
    <col min="12282" max="12283" width="50" style="651" customWidth="1"/>
    <col min="12284" max="12284" width="37.6640625" style="651" customWidth="1"/>
    <col min="12285" max="12285" width="50" style="651" customWidth="1"/>
    <col min="12286" max="12286" width="51.33203125" style="651" customWidth="1"/>
    <col min="12287" max="12287" width="38.1640625" style="651" customWidth="1"/>
    <col min="12288" max="12289" width="50" style="651" customWidth="1"/>
    <col min="12290" max="12290" width="38.33203125" style="651" customWidth="1"/>
    <col min="12291" max="12292" width="50" style="651" customWidth="1"/>
    <col min="12293" max="12293" width="38.33203125" style="651" customWidth="1"/>
    <col min="12294" max="12294" width="50" style="651" customWidth="1"/>
    <col min="12295" max="12295" width="186.33203125" style="651" customWidth="1"/>
    <col min="12296" max="12296" width="50" style="651" customWidth="1"/>
    <col min="12297" max="12297" width="38.33203125" style="651" customWidth="1"/>
    <col min="12298" max="12299" width="49.83203125" style="651" customWidth="1"/>
    <col min="12300" max="12300" width="38.1640625" style="651" customWidth="1"/>
    <col min="12301" max="12301" width="49.83203125" style="651" customWidth="1"/>
    <col min="12302" max="12302" width="50" style="651" customWidth="1"/>
    <col min="12303" max="12303" width="38.33203125" style="651" customWidth="1"/>
    <col min="12304" max="12305" width="49.83203125" style="651" customWidth="1"/>
    <col min="12306" max="12306" width="38.1640625" style="651" customWidth="1"/>
    <col min="12307" max="12308" width="50" style="651" customWidth="1"/>
    <col min="12309" max="12309" width="38.33203125" style="651" customWidth="1"/>
    <col min="12310" max="12310" width="50" style="651" customWidth="1"/>
    <col min="12311" max="12311" width="186.33203125" style="651" customWidth="1"/>
    <col min="12312" max="12312" width="50" style="651" customWidth="1"/>
    <col min="12313" max="12313" width="38.33203125" style="651" customWidth="1"/>
    <col min="12314" max="12314" width="49.83203125" style="651" customWidth="1"/>
    <col min="12315" max="12315" width="50" style="651" customWidth="1"/>
    <col min="12316" max="12316" width="45" style="651" customWidth="1"/>
    <col min="12317" max="12318" width="50" style="651" customWidth="1"/>
    <col min="12319" max="12319" width="45" style="651" customWidth="1"/>
    <col min="12320" max="12321" width="50" style="651" customWidth="1"/>
    <col min="12322" max="12322" width="45" style="651" customWidth="1"/>
    <col min="12323" max="12323" width="50.33203125" style="651" customWidth="1"/>
    <col min="12324" max="12324" width="50" style="651" customWidth="1"/>
    <col min="12325" max="12325" width="45" style="651" customWidth="1"/>
    <col min="12326" max="12326" width="50" style="651" customWidth="1"/>
    <col min="12327" max="12328" width="51" style="651" customWidth="1"/>
    <col min="12329" max="12534" width="9.33203125" style="651"/>
    <col min="12535" max="12535" width="186.33203125" style="651" customWidth="1"/>
    <col min="12536" max="12536" width="49.83203125" style="651" customWidth="1"/>
    <col min="12537" max="12537" width="38.33203125" style="651" customWidth="1"/>
    <col min="12538" max="12539" width="50" style="651" customWidth="1"/>
    <col min="12540" max="12540" width="37.6640625" style="651" customWidth="1"/>
    <col min="12541" max="12541" width="50" style="651" customWidth="1"/>
    <col min="12542" max="12542" width="51.33203125" style="651" customWidth="1"/>
    <col min="12543" max="12543" width="38.1640625" style="651" customWidth="1"/>
    <col min="12544" max="12545" width="50" style="651" customWidth="1"/>
    <col min="12546" max="12546" width="38.33203125" style="651" customWidth="1"/>
    <col min="12547" max="12548" width="50" style="651" customWidth="1"/>
    <col min="12549" max="12549" width="38.33203125" style="651" customWidth="1"/>
    <col min="12550" max="12550" width="50" style="651" customWidth="1"/>
    <col min="12551" max="12551" width="186.33203125" style="651" customWidth="1"/>
    <col min="12552" max="12552" width="50" style="651" customWidth="1"/>
    <col min="12553" max="12553" width="38.33203125" style="651" customWidth="1"/>
    <col min="12554" max="12555" width="49.83203125" style="651" customWidth="1"/>
    <col min="12556" max="12556" width="38.1640625" style="651" customWidth="1"/>
    <col min="12557" max="12557" width="49.83203125" style="651" customWidth="1"/>
    <col min="12558" max="12558" width="50" style="651" customWidth="1"/>
    <col min="12559" max="12559" width="38.33203125" style="651" customWidth="1"/>
    <col min="12560" max="12561" width="49.83203125" style="651" customWidth="1"/>
    <col min="12562" max="12562" width="38.1640625" style="651" customWidth="1"/>
    <col min="12563" max="12564" width="50" style="651" customWidth="1"/>
    <col min="12565" max="12565" width="38.33203125" style="651" customWidth="1"/>
    <col min="12566" max="12566" width="50" style="651" customWidth="1"/>
    <col min="12567" max="12567" width="186.33203125" style="651" customWidth="1"/>
    <col min="12568" max="12568" width="50" style="651" customWidth="1"/>
    <col min="12569" max="12569" width="38.33203125" style="651" customWidth="1"/>
    <col min="12570" max="12570" width="49.83203125" style="651" customWidth="1"/>
    <col min="12571" max="12571" width="50" style="651" customWidth="1"/>
    <col min="12572" max="12572" width="45" style="651" customWidth="1"/>
    <col min="12573" max="12574" width="50" style="651" customWidth="1"/>
    <col min="12575" max="12575" width="45" style="651" customWidth="1"/>
    <col min="12576" max="12577" width="50" style="651" customWidth="1"/>
    <col min="12578" max="12578" width="45" style="651" customWidth="1"/>
    <col min="12579" max="12579" width="50.33203125" style="651" customWidth="1"/>
    <col min="12580" max="12580" width="50" style="651" customWidth="1"/>
    <col min="12581" max="12581" width="45" style="651" customWidth="1"/>
    <col min="12582" max="12582" width="50" style="651" customWidth="1"/>
    <col min="12583" max="12584" width="51" style="651" customWidth="1"/>
    <col min="12585" max="12790" width="9.33203125" style="651"/>
    <col min="12791" max="12791" width="186.33203125" style="651" customWidth="1"/>
    <col min="12792" max="12792" width="49.83203125" style="651" customWidth="1"/>
    <col min="12793" max="12793" width="38.33203125" style="651" customWidth="1"/>
    <col min="12794" max="12795" width="50" style="651" customWidth="1"/>
    <col min="12796" max="12796" width="37.6640625" style="651" customWidth="1"/>
    <col min="12797" max="12797" width="50" style="651" customWidth="1"/>
    <col min="12798" max="12798" width="51.33203125" style="651" customWidth="1"/>
    <col min="12799" max="12799" width="38.1640625" style="651" customWidth="1"/>
    <col min="12800" max="12801" width="50" style="651" customWidth="1"/>
    <col min="12802" max="12802" width="38.33203125" style="651" customWidth="1"/>
    <col min="12803" max="12804" width="50" style="651" customWidth="1"/>
    <col min="12805" max="12805" width="38.33203125" style="651" customWidth="1"/>
    <col min="12806" max="12806" width="50" style="651" customWidth="1"/>
    <col min="12807" max="12807" width="186.33203125" style="651" customWidth="1"/>
    <col min="12808" max="12808" width="50" style="651" customWidth="1"/>
    <col min="12809" max="12809" width="38.33203125" style="651" customWidth="1"/>
    <col min="12810" max="12811" width="49.83203125" style="651" customWidth="1"/>
    <col min="12812" max="12812" width="38.1640625" style="651" customWidth="1"/>
    <col min="12813" max="12813" width="49.83203125" style="651" customWidth="1"/>
    <col min="12814" max="12814" width="50" style="651" customWidth="1"/>
    <col min="12815" max="12815" width="38.33203125" style="651" customWidth="1"/>
    <col min="12816" max="12817" width="49.83203125" style="651" customWidth="1"/>
    <col min="12818" max="12818" width="38.1640625" style="651" customWidth="1"/>
    <col min="12819" max="12820" width="50" style="651" customWidth="1"/>
    <col min="12821" max="12821" width="38.33203125" style="651" customWidth="1"/>
    <col min="12822" max="12822" width="50" style="651" customWidth="1"/>
    <col min="12823" max="12823" width="186.33203125" style="651" customWidth="1"/>
    <col min="12824" max="12824" width="50" style="651" customWidth="1"/>
    <col min="12825" max="12825" width="38.33203125" style="651" customWidth="1"/>
    <col min="12826" max="12826" width="49.83203125" style="651" customWidth="1"/>
    <col min="12827" max="12827" width="50" style="651" customWidth="1"/>
    <col min="12828" max="12828" width="45" style="651" customWidth="1"/>
    <col min="12829" max="12830" width="50" style="651" customWidth="1"/>
    <col min="12831" max="12831" width="45" style="651" customWidth="1"/>
    <col min="12832" max="12833" width="50" style="651" customWidth="1"/>
    <col min="12834" max="12834" width="45" style="651" customWidth="1"/>
    <col min="12835" max="12835" width="50.33203125" style="651" customWidth="1"/>
    <col min="12836" max="12836" width="50" style="651" customWidth="1"/>
    <col min="12837" max="12837" width="45" style="651" customWidth="1"/>
    <col min="12838" max="12838" width="50" style="651" customWidth="1"/>
    <col min="12839" max="12840" width="51" style="651" customWidth="1"/>
    <col min="12841" max="13046" width="9.33203125" style="651"/>
    <col min="13047" max="13047" width="186.33203125" style="651" customWidth="1"/>
    <col min="13048" max="13048" width="49.83203125" style="651" customWidth="1"/>
    <col min="13049" max="13049" width="38.33203125" style="651" customWidth="1"/>
    <col min="13050" max="13051" width="50" style="651" customWidth="1"/>
    <col min="13052" max="13052" width="37.6640625" style="651" customWidth="1"/>
    <col min="13053" max="13053" width="50" style="651" customWidth="1"/>
    <col min="13054" max="13054" width="51.33203125" style="651" customWidth="1"/>
    <col min="13055" max="13055" width="38.1640625" style="651" customWidth="1"/>
    <col min="13056" max="13057" width="50" style="651" customWidth="1"/>
    <col min="13058" max="13058" width="38.33203125" style="651" customWidth="1"/>
    <col min="13059" max="13060" width="50" style="651" customWidth="1"/>
    <col min="13061" max="13061" width="38.33203125" style="651" customWidth="1"/>
    <col min="13062" max="13062" width="50" style="651" customWidth="1"/>
    <col min="13063" max="13063" width="186.33203125" style="651" customWidth="1"/>
    <col min="13064" max="13064" width="50" style="651" customWidth="1"/>
    <col min="13065" max="13065" width="38.33203125" style="651" customWidth="1"/>
    <col min="13066" max="13067" width="49.83203125" style="651" customWidth="1"/>
    <col min="13068" max="13068" width="38.1640625" style="651" customWidth="1"/>
    <col min="13069" max="13069" width="49.83203125" style="651" customWidth="1"/>
    <col min="13070" max="13070" width="50" style="651" customWidth="1"/>
    <col min="13071" max="13071" width="38.33203125" style="651" customWidth="1"/>
    <col min="13072" max="13073" width="49.83203125" style="651" customWidth="1"/>
    <col min="13074" max="13074" width="38.1640625" style="651" customWidth="1"/>
    <col min="13075" max="13076" width="50" style="651" customWidth="1"/>
    <col min="13077" max="13077" width="38.33203125" style="651" customWidth="1"/>
    <col min="13078" max="13078" width="50" style="651" customWidth="1"/>
    <col min="13079" max="13079" width="186.33203125" style="651" customWidth="1"/>
    <col min="13080" max="13080" width="50" style="651" customWidth="1"/>
    <col min="13081" max="13081" width="38.33203125" style="651" customWidth="1"/>
    <col min="13082" max="13082" width="49.83203125" style="651" customWidth="1"/>
    <col min="13083" max="13083" width="50" style="651" customWidth="1"/>
    <col min="13084" max="13084" width="45" style="651" customWidth="1"/>
    <col min="13085" max="13086" width="50" style="651" customWidth="1"/>
    <col min="13087" max="13087" width="45" style="651" customWidth="1"/>
    <col min="13088" max="13089" width="50" style="651" customWidth="1"/>
    <col min="13090" max="13090" width="45" style="651" customWidth="1"/>
    <col min="13091" max="13091" width="50.33203125" style="651" customWidth="1"/>
    <col min="13092" max="13092" width="50" style="651" customWidth="1"/>
    <col min="13093" max="13093" width="45" style="651" customWidth="1"/>
    <col min="13094" max="13094" width="50" style="651" customWidth="1"/>
    <col min="13095" max="13096" width="51" style="651" customWidth="1"/>
    <col min="13097" max="13302" width="9.33203125" style="651"/>
    <col min="13303" max="13303" width="186.33203125" style="651" customWidth="1"/>
    <col min="13304" max="13304" width="49.83203125" style="651" customWidth="1"/>
    <col min="13305" max="13305" width="38.33203125" style="651" customWidth="1"/>
    <col min="13306" max="13307" width="50" style="651" customWidth="1"/>
    <col min="13308" max="13308" width="37.6640625" style="651" customWidth="1"/>
    <col min="13309" max="13309" width="50" style="651" customWidth="1"/>
    <col min="13310" max="13310" width="51.33203125" style="651" customWidth="1"/>
    <col min="13311" max="13311" width="38.1640625" style="651" customWidth="1"/>
    <col min="13312" max="13313" width="50" style="651" customWidth="1"/>
    <col min="13314" max="13314" width="38.33203125" style="651" customWidth="1"/>
    <col min="13315" max="13316" width="50" style="651" customWidth="1"/>
    <col min="13317" max="13317" width="38.33203125" style="651" customWidth="1"/>
    <col min="13318" max="13318" width="50" style="651" customWidth="1"/>
    <col min="13319" max="13319" width="186.33203125" style="651" customWidth="1"/>
    <col min="13320" max="13320" width="50" style="651" customWidth="1"/>
    <col min="13321" max="13321" width="38.33203125" style="651" customWidth="1"/>
    <col min="13322" max="13323" width="49.83203125" style="651" customWidth="1"/>
    <col min="13324" max="13324" width="38.1640625" style="651" customWidth="1"/>
    <col min="13325" max="13325" width="49.83203125" style="651" customWidth="1"/>
    <col min="13326" max="13326" width="50" style="651" customWidth="1"/>
    <col min="13327" max="13327" width="38.33203125" style="651" customWidth="1"/>
    <col min="13328" max="13329" width="49.83203125" style="651" customWidth="1"/>
    <col min="13330" max="13330" width="38.1640625" style="651" customWidth="1"/>
    <col min="13331" max="13332" width="50" style="651" customWidth="1"/>
    <col min="13333" max="13333" width="38.33203125" style="651" customWidth="1"/>
    <col min="13334" max="13334" width="50" style="651" customWidth="1"/>
    <col min="13335" max="13335" width="186.33203125" style="651" customWidth="1"/>
    <col min="13336" max="13336" width="50" style="651" customWidth="1"/>
    <col min="13337" max="13337" width="38.33203125" style="651" customWidth="1"/>
    <col min="13338" max="13338" width="49.83203125" style="651" customWidth="1"/>
    <col min="13339" max="13339" width="50" style="651" customWidth="1"/>
    <col min="13340" max="13340" width="45" style="651" customWidth="1"/>
    <col min="13341" max="13342" width="50" style="651" customWidth="1"/>
    <col min="13343" max="13343" width="45" style="651" customWidth="1"/>
    <col min="13344" max="13345" width="50" style="651" customWidth="1"/>
    <col min="13346" max="13346" width="45" style="651" customWidth="1"/>
    <col min="13347" max="13347" width="50.33203125" style="651" customWidth="1"/>
    <col min="13348" max="13348" width="50" style="651" customWidth="1"/>
    <col min="13349" max="13349" width="45" style="651" customWidth="1"/>
    <col min="13350" max="13350" width="50" style="651" customWidth="1"/>
    <col min="13351" max="13352" width="51" style="651" customWidth="1"/>
    <col min="13353" max="13558" width="9.33203125" style="651"/>
    <col min="13559" max="13559" width="186.33203125" style="651" customWidth="1"/>
    <col min="13560" max="13560" width="49.83203125" style="651" customWidth="1"/>
    <col min="13561" max="13561" width="38.33203125" style="651" customWidth="1"/>
    <col min="13562" max="13563" width="50" style="651" customWidth="1"/>
    <col min="13564" max="13564" width="37.6640625" style="651" customWidth="1"/>
    <col min="13565" max="13565" width="50" style="651" customWidth="1"/>
    <col min="13566" max="13566" width="51.33203125" style="651" customWidth="1"/>
    <col min="13567" max="13567" width="38.1640625" style="651" customWidth="1"/>
    <col min="13568" max="13569" width="50" style="651" customWidth="1"/>
    <col min="13570" max="13570" width="38.33203125" style="651" customWidth="1"/>
    <col min="13571" max="13572" width="50" style="651" customWidth="1"/>
    <col min="13573" max="13573" width="38.33203125" style="651" customWidth="1"/>
    <col min="13574" max="13574" width="50" style="651" customWidth="1"/>
    <col min="13575" max="13575" width="186.33203125" style="651" customWidth="1"/>
    <col min="13576" max="13576" width="50" style="651" customWidth="1"/>
    <col min="13577" max="13577" width="38.33203125" style="651" customWidth="1"/>
    <col min="13578" max="13579" width="49.83203125" style="651" customWidth="1"/>
    <col min="13580" max="13580" width="38.1640625" style="651" customWidth="1"/>
    <col min="13581" max="13581" width="49.83203125" style="651" customWidth="1"/>
    <col min="13582" max="13582" width="50" style="651" customWidth="1"/>
    <col min="13583" max="13583" width="38.33203125" style="651" customWidth="1"/>
    <col min="13584" max="13585" width="49.83203125" style="651" customWidth="1"/>
    <col min="13586" max="13586" width="38.1640625" style="651" customWidth="1"/>
    <col min="13587" max="13588" width="50" style="651" customWidth="1"/>
    <col min="13589" max="13589" width="38.33203125" style="651" customWidth="1"/>
    <col min="13590" max="13590" width="50" style="651" customWidth="1"/>
    <col min="13591" max="13591" width="186.33203125" style="651" customWidth="1"/>
    <col min="13592" max="13592" width="50" style="651" customWidth="1"/>
    <col min="13593" max="13593" width="38.33203125" style="651" customWidth="1"/>
    <col min="13594" max="13594" width="49.83203125" style="651" customWidth="1"/>
    <col min="13595" max="13595" width="50" style="651" customWidth="1"/>
    <col min="13596" max="13596" width="45" style="651" customWidth="1"/>
    <col min="13597" max="13598" width="50" style="651" customWidth="1"/>
    <col min="13599" max="13599" width="45" style="651" customWidth="1"/>
    <col min="13600" max="13601" width="50" style="651" customWidth="1"/>
    <col min="13602" max="13602" width="45" style="651" customWidth="1"/>
    <col min="13603" max="13603" width="50.33203125" style="651" customWidth="1"/>
    <col min="13604" max="13604" width="50" style="651" customWidth="1"/>
    <col min="13605" max="13605" width="45" style="651" customWidth="1"/>
    <col min="13606" max="13606" width="50" style="651" customWidth="1"/>
    <col min="13607" max="13608" width="51" style="651" customWidth="1"/>
    <col min="13609" max="13814" width="9.33203125" style="651"/>
    <col min="13815" max="13815" width="186.33203125" style="651" customWidth="1"/>
    <col min="13816" max="13816" width="49.83203125" style="651" customWidth="1"/>
    <col min="13817" max="13817" width="38.33203125" style="651" customWidth="1"/>
    <col min="13818" max="13819" width="50" style="651" customWidth="1"/>
    <col min="13820" max="13820" width="37.6640625" style="651" customWidth="1"/>
    <col min="13821" max="13821" width="50" style="651" customWidth="1"/>
    <col min="13822" max="13822" width="51.33203125" style="651" customWidth="1"/>
    <col min="13823" max="13823" width="38.1640625" style="651" customWidth="1"/>
    <col min="13824" max="13825" width="50" style="651" customWidth="1"/>
    <col min="13826" max="13826" width="38.33203125" style="651" customWidth="1"/>
    <col min="13827" max="13828" width="50" style="651" customWidth="1"/>
    <col min="13829" max="13829" width="38.33203125" style="651" customWidth="1"/>
    <col min="13830" max="13830" width="50" style="651" customWidth="1"/>
    <col min="13831" max="13831" width="186.33203125" style="651" customWidth="1"/>
    <col min="13832" max="13832" width="50" style="651" customWidth="1"/>
    <col min="13833" max="13833" width="38.33203125" style="651" customWidth="1"/>
    <col min="13834" max="13835" width="49.83203125" style="651" customWidth="1"/>
    <col min="13836" max="13836" width="38.1640625" style="651" customWidth="1"/>
    <col min="13837" max="13837" width="49.83203125" style="651" customWidth="1"/>
    <col min="13838" max="13838" width="50" style="651" customWidth="1"/>
    <col min="13839" max="13839" width="38.33203125" style="651" customWidth="1"/>
    <col min="13840" max="13841" width="49.83203125" style="651" customWidth="1"/>
    <col min="13842" max="13842" width="38.1640625" style="651" customWidth="1"/>
    <col min="13843" max="13844" width="50" style="651" customWidth="1"/>
    <col min="13845" max="13845" width="38.33203125" style="651" customWidth="1"/>
    <col min="13846" max="13846" width="50" style="651" customWidth="1"/>
    <col min="13847" max="13847" width="186.33203125" style="651" customWidth="1"/>
    <col min="13848" max="13848" width="50" style="651" customWidth="1"/>
    <col min="13849" max="13849" width="38.33203125" style="651" customWidth="1"/>
    <col min="13850" max="13850" width="49.83203125" style="651" customWidth="1"/>
    <col min="13851" max="13851" width="50" style="651" customWidth="1"/>
    <col min="13852" max="13852" width="45" style="651" customWidth="1"/>
    <col min="13853" max="13854" width="50" style="651" customWidth="1"/>
    <col min="13855" max="13855" width="45" style="651" customWidth="1"/>
    <col min="13856" max="13857" width="50" style="651" customWidth="1"/>
    <col min="13858" max="13858" width="45" style="651" customWidth="1"/>
    <col min="13859" max="13859" width="50.33203125" style="651" customWidth="1"/>
    <col min="13860" max="13860" width="50" style="651" customWidth="1"/>
    <col min="13861" max="13861" width="45" style="651" customWidth="1"/>
    <col min="13862" max="13862" width="50" style="651" customWidth="1"/>
    <col min="13863" max="13864" width="51" style="651" customWidth="1"/>
    <col min="13865" max="14070" width="9.33203125" style="651"/>
    <col min="14071" max="14071" width="186.33203125" style="651" customWidth="1"/>
    <col min="14072" max="14072" width="49.83203125" style="651" customWidth="1"/>
    <col min="14073" max="14073" width="38.33203125" style="651" customWidth="1"/>
    <col min="14074" max="14075" width="50" style="651" customWidth="1"/>
    <col min="14076" max="14076" width="37.6640625" style="651" customWidth="1"/>
    <col min="14077" max="14077" width="50" style="651" customWidth="1"/>
    <col min="14078" max="14078" width="51.33203125" style="651" customWidth="1"/>
    <col min="14079" max="14079" width="38.1640625" style="651" customWidth="1"/>
    <col min="14080" max="14081" width="50" style="651" customWidth="1"/>
    <col min="14082" max="14082" width="38.33203125" style="651" customWidth="1"/>
    <col min="14083" max="14084" width="50" style="651" customWidth="1"/>
    <col min="14085" max="14085" width="38.33203125" style="651" customWidth="1"/>
    <col min="14086" max="14086" width="50" style="651" customWidth="1"/>
    <col min="14087" max="14087" width="186.33203125" style="651" customWidth="1"/>
    <col min="14088" max="14088" width="50" style="651" customWidth="1"/>
    <col min="14089" max="14089" width="38.33203125" style="651" customWidth="1"/>
    <col min="14090" max="14091" width="49.83203125" style="651" customWidth="1"/>
    <col min="14092" max="14092" width="38.1640625" style="651" customWidth="1"/>
    <col min="14093" max="14093" width="49.83203125" style="651" customWidth="1"/>
    <col min="14094" max="14094" width="50" style="651" customWidth="1"/>
    <col min="14095" max="14095" width="38.33203125" style="651" customWidth="1"/>
    <col min="14096" max="14097" width="49.83203125" style="651" customWidth="1"/>
    <col min="14098" max="14098" width="38.1640625" style="651" customWidth="1"/>
    <col min="14099" max="14100" width="50" style="651" customWidth="1"/>
    <col min="14101" max="14101" width="38.33203125" style="651" customWidth="1"/>
    <col min="14102" max="14102" width="50" style="651" customWidth="1"/>
    <col min="14103" max="14103" width="186.33203125" style="651" customWidth="1"/>
    <col min="14104" max="14104" width="50" style="651" customWidth="1"/>
    <col min="14105" max="14105" width="38.33203125" style="651" customWidth="1"/>
    <col min="14106" max="14106" width="49.83203125" style="651" customWidth="1"/>
    <col min="14107" max="14107" width="50" style="651" customWidth="1"/>
    <col min="14108" max="14108" width="45" style="651" customWidth="1"/>
    <col min="14109" max="14110" width="50" style="651" customWidth="1"/>
    <col min="14111" max="14111" width="45" style="651" customWidth="1"/>
    <col min="14112" max="14113" width="50" style="651" customWidth="1"/>
    <col min="14114" max="14114" width="45" style="651" customWidth="1"/>
    <col min="14115" max="14115" width="50.33203125" style="651" customWidth="1"/>
    <col min="14116" max="14116" width="50" style="651" customWidth="1"/>
    <col min="14117" max="14117" width="45" style="651" customWidth="1"/>
    <col min="14118" max="14118" width="50" style="651" customWidth="1"/>
    <col min="14119" max="14120" width="51" style="651" customWidth="1"/>
    <col min="14121" max="14326" width="9.33203125" style="651"/>
    <col min="14327" max="14327" width="186.33203125" style="651" customWidth="1"/>
    <col min="14328" max="14328" width="49.83203125" style="651" customWidth="1"/>
    <col min="14329" max="14329" width="38.33203125" style="651" customWidth="1"/>
    <col min="14330" max="14331" width="50" style="651" customWidth="1"/>
    <col min="14332" max="14332" width="37.6640625" style="651" customWidth="1"/>
    <col min="14333" max="14333" width="50" style="651" customWidth="1"/>
    <col min="14334" max="14334" width="51.33203125" style="651" customWidth="1"/>
    <col min="14335" max="14335" width="38.1640625" style="651" customWidth="1"/>
    <col min="14336" max="14337" width="50" style="651" customWidth="1"/>
    <col min="14338" max="14338" width="38.33203125" style="651" customWidth="1"/>
    <col min="14339" max="14340" width="50" style="651" customWidth="1"/>
    <col min="14341" max="14341" width="38.33203125" style="651" customWidth="1"/>
    <col min="14342" max="14342" width="50" style="651" customWidth="1"/>
    <col min="14343" max="14343" width="186.33203125" style="651" customWidth="1"/>
    <col min="14344" max="14344" width="50" style="651" customWidth="1"/>
    <col min="14345" max="14345" width="38.33203125" style="651" customWidth="1"/>
    <col min="14346" max="14347" width="49.83203125" style="651" customWidth="1"/>
    <col min="14348" max="14348" width="38.1640625" style="651" customWidth="1"/>
    <col min="14349" max="14349" width="49.83203125" style="651" customWidth="1"/>
    <col min="14350" max="14350" width="50" style="651" customWidth="1"/>
    <col min="14351" max="14351" width="38.33203125" style="651" customWidth="1"/>
    <col min="14352" max="14353" width="49.83203125" style="651" customWidth="1"/>
    <col min="14354" max="14354" width="38.1640625" style="651" customWidth="1"/>
    <col min="14355" max="14356" width="50" style="651" customWidth="1"/>
    <col min="14357" max="14357" width="38.33203125" style="651" customWidth="1"/>
    <col min="14358" max="14358" width="50" style="651" customWidth="1"/>
    <col min="14359" max="14359" width="186.33203125" style="651" customWidth="1"/>
    <col min="14360" max="14360" width="50" style="651" customWidth="1"/>
    <col min="14361" max="14361" width="38.33203125" style="651" customWidth="1"/>
    <col min="14362" max="14362" width="49.83203125" style="651" customWidth="1"/>
    <col min="14363" max="14363" width="50" style="651" customWidth="1"/>
    <col min="14364" max="14364" width="45" style="651" customWidth="1"/>
    <col min="14365" max="14366" width="50" style="651" customWidth="1"/>
    <col min="14367" max="14367" width="45" style="651" customWidth="1"/>
    <col min="14368" max="14369" width="50" style="651" customWidth="1"/>
    <col min="14370" max="14370" width="45" style="651" customWidth="1"/>
    <col min="14371" max="14371" width="50.33203125" style="651" customWidth="1"/>
    <col min="14372" max="14372" width="50" style="651" customWidth="1"/>
    <col min="14373" max="14373" width="45" style="651" customWidth="1"/>
    <col min="14374" max="14374" width="50" style="651" customWidth="1"/>
    <col min="14375" max="14376" width="51" style="651" customWidth="1"/>
    <col min="14377" max="14582" width="9.33203125" style="651"/>
    <col min="14583" max="14583" width="186.33203125" style="651" customWidth="1"/>
    <col min="14584" max="14584" width="49.83203125" style="651" customWidth="1"/>
    <col min="14585" max="14585" width="38.33203125" style="651" customWidth="1"/>
    <col min="14586" max="14587" width="50" style="651" customWidth="1"/>
    <col min="14588" max="14588" width="37.6640625" style="651" customWidth="1"/>
    <col min="14589" max="14589" width="50" style="651" customWidth="1"/>
    <col min="14590" max="14590" width="51.33203125" style="651" customWidth="1"/>
    <col min="14591" max="14591" width="38.1640625" style="651" customWidth="1"/>
    <col min="14592" max="14593" width="50" style="651" customWidth="1"/>
    <col min="14594" max="14594" width="38.33203125" style="651" customWidth="1"/>
    <col min="14595" max="14596" width="50" style="651" customWidth="1"/>
    <col min="14597" max="14597" width="38.33203125" style="651" customWidth="1"/>
    <col min="14598" max="14598" width="50" style="651" customWidth="1"/>
    <col min="14599" max="14599" width="186.33203125" style="651" customWidth="1"/>
    <col min="14600" max="14600" width="50" style="651" customWidth="1"/>
    <col min="14601" max="14601" width="38.33203125" style="651" customWidth="1"/>
    <col min="14602" max="14603" width="49.83203125" style="651" customWidth="1"/>
    <col min="14604" max="14604" width="38.1640625" style="651" customWidth="1"/>
    <col min="14605" max="14605" width="49.83203125" style="651" customWidth="1"/>
    <col min="14606" max="14606" width="50" style="651" customWidth="1"/>
    <col min="14607" max="14607" width="38.33203125" style="651" customWidth="1"/>
    <col min="14608" max="14609" width="49.83203125" style="651" customWidth="1"/>
    <col min="14610" max="14610" width="38.1640625" style="651" customWidth="1"/>
    <col min="14611" max="14612" width="50" style="651" customWidth="1"/>
    <col min="14613" max="14613" width="38.33203125" style="651" customWidth="1"/>
    <col min="14614" max="14614" width="50" style="651" customWidth="1"/>
    <col min="14615" max="14615" width="186.33203125" style="651" customWidth="1"/>
    <col min="14616" max="14616" width="50" style="651" customWidth="1"/>
    <col min="14617" max="14617" width="38.33203125" style="651" customWidth="1"/>
    <col min="14618" max="14618" width="49.83203125" style="651" customWidth="1"/>
    <col min="14619" max="14619" width="50" style="651" customWidth="1"/>
    <col min="14620" max="14620" width="45" style="651" customWidth="1"/>
    <col min="14621" max="14622" width="50" style="651" customWidth="1"/>
    <col min="14623" max="14623" width="45" style="651" customWidth="1"/>
    <col min="14624" max="14625" width="50" style="651" customWidth="1"/>
    <col min="14626" max="14626" width="45" style="651" customWidth="1"/>
    <col min="14627" max="14627" width="50.33203125" style="651" customWidth="1"/>
    <col min="14628" max="14628" width="50" style="651" customWidth="1"/>
    <col min="14629" max="14629" width="45" style="651" customWidth="1"/>
    <col min="14630" max="14630" width="50" style="651" customWidth="1"/>
    <col min="14631" max="14632" width="51" style="651" customWidth="1"/>
    <col min="14633" max="14838" width="9.33203125" style="651"/>
    <col min="14839" max="14839" width="186.33203125" style="651" customWidth="1"/>
    <col min="14840" max="14840" width="49.83203125" style="651" customWidth="1"/>
    <col min="14841" max="14841" width="38.33203125" style="651" customWidth="1"/>
    <col min="14842" max="14843" width="50" style="651" customWidth="1"/>
    <col min="14844" max="14844" width="37.6640625" style="651" customWidth="1"/>
    <col min="14845" max="14845" width="50" style="651" customWidth="1"/>
    <col min="14846" max="14846" width="51.33203125" style="651" customWidth="1"/>
    <col min="14847" max="14847" width="38.1640625" style="651" customWidth="1"/>
    <col min="14848" max="14849" width="50" style="651" customWidth="1"/>
    <col min="14850" max="14850" width="38.33203125" style="651" customWidth="1"/>
    <col min="14851" max="14852" width="50" style="651" customWidth="1"/>
    <col min="14853" max="14853" width="38.33203125" style="651" customWidth="1"/>
    <col min="14854" max="14854" width="50" style="651" customWidth="1"/>
    <col min="14855" max="14855" width="186.33203125" style="651" customWidth="1"/>
    <col min="14856" max="14856" width="50" style="651" customWidth="1"/>
    <col min="14857" max="14857" width="38.33203125" style="651" customWidth="1"/>
    <col min="14858" max="14859" width="49.83203125" style="651" customWidth="1"/>
    <col min="14860" max="14860" width="38.1640625" style="651" customWidth="1"/>
    <col min="14861" max="14861" width="49.83203125" style="651" customWidth="1"/>
    <col min="14862" max="14862" width="50" style="651" customWidth="1"/>
    <col min="14863" max="14863" width="38.33203125" style="651" customWidth="1"/>
    <col min="14864" max="14865" width="49.83203125" style="651" customWidth="1"/>
    <col min="14866" max="14866" width="38.1640625" style="651" customWidth="1"/>
    <col min="14867" max="14868" width="50" style="651" customWidth="1"/>
    <col min="14869" max="14869" width="38.33203125" style="651" customWidth="1"/>
    <col min="14870" max="14870" width="50" style="651" customWidth="1"/>
    <col min="14871" max="14871" width="186.33203125" style="651" customWidth="1"/>
    <col min="14872" max="14872" width="50" style="651" customWidth="1"/>
    <col min="14873" max="14873" width="38.33203125" style="651" customWidth="1"/>
    <col min="14874" max="14874" width="49.83203125" style="651" customWidth="1"/>
    <col min="14875" max="14875" width="50" style="651" customWidth="1"/>
    <col min="14876" max="14876" width="45" style="651" customWidth="1"/>
    <col min="14877" max="14878" width="50" style="651" customWidth="1"/>
    <col min="14879" max="14879" width="45" style="651" customWidth="1"/>
    <col min="14880" max="14881" width="50" style="651" customWidth="1"/>
    <col min="14882" max="14882" width="45" style="651" customWidth="1"/>
    <col min="14883" max="14883" width="50.33203125" style="651" customWidth="1"/>
    <col min="14884" max="14884" width="50" style="651" customWidth="1"/>
    <col min="14885" max="14885" width="45" style="651" customWidth="1"/>
    <col min="14886" max="14886" width="50" style="651" customWidth="1"/>
    <col min="14887" max="14888" width="51" style="651" customWidth="1"/>
    <col min="14889" max="15094" width="9.33203125" style="651"/>
    <col min="15095" max="15095" width="186.33203125" style="651" customWidth="1"/>
    <col min="15096" max="15096" width="49.83203125" style="651" customWidth="1"/>
    <col min="15097" max="15097" width="38.33203125" style="651" customWidth="1"/>
    <col min="15098" max="15099" width="50" style="651" customWidth="1"/>
    <col min="15100" max="15100" width="37.6640625" style="651" customWidth="1"/>
    <col min="15101" max="15101" width="50" style="651" customWidth="1"/>
    <col min="15102" max="15102" width="51.33203125" style="651" customWidth="1"/>
    <col min="15103" max="15103" width="38.1640625" style="651" customWidth="1"/>
    <col min="15104" max="15105" width="50" style="651" customWidth="1"/>
    <col min="15106" max="15106" width="38.33203125" style="651" customWidth="1"/>
    <col min="15107" max="15108" width="50" style="651" customWidth="1"/>
    <col min="15109" max="15109" width="38.33203125" style="651" customWidth="1"/>
    <col min="15110" max="15110" width="50" style="651" customWidth="1"/>
    <col min="15111" max="15111" width="186.33203125" style="651" customWidth="1"/>
    <col min="15112" max="15112" width="50" style="651" customWidth="1"/>
    <col min="15113" max="15113" width="38.33203125" style="651" customWidth="1"/>
    <col min="15114" max="15115" width="49.83203125" style="651" customWidth="1"/>
    <col min="15116" max="15116" width="38.1640625" style="651" customWidth="1"/>
    <col min="15117" max="15117" width="49.83203125" style="651" customWidth="1"/>
    <col min="15118" max="15118" width="50" style="651" customWidth="1"/>
    <col min="15119" max="15119" width="38.33203125" style="651" customWidth="1"/>
    <col min="15120" max="15121" width="49.83203125" style="651" customWidth="1"/>
    <col min="15122" max="15122" width="38.1640625" style="651" customWidth="1"/>
    <col min="15123" max="15124" width="50" style="651" customWidth="1"/>
    <col min="15125" max="15125" width="38.33203125" style="651" customWidth="1"/>
    <col min="15126" max="15126" width="50" style="651" customWidth="1"/>
    <col min="15127" max="15127" width="186.33203125" style="651" customWidth="1"/>
    <col min="15128" max="15128" width="50" style="651" customWidth="1"/>
    <col min="15129" max="15129" width="38.33203125" style="651" customWidth="1"/>
    <col min="15130" max="15130" width="49.83203125" style="651" customWidth="1"/>
    <col min="15131" max="15131" width="50" style="651" customWidth="1"/>
    <col min="15132" max="15132" width="45" style="651" customWidth="1"/>
    <col min="15133" max="15134" width="50" style="651" customWidth="1"/>
    <col min="15135" max="15135" width="45" style="651" customWidth="1"/>
    <col min="15136" max="15137" width="50" style="651" customWidth="1"/>
    <col min="15138" max="15138" width="45" style="651" customWidth="1"/>
    <col min="15139" max="15139" width="50.33203125" style="651" customWidth="1"/>
    <col min="15140" max="15140" width="50" style="651" customWidth="1"/>
    <col min="15141" max="15141" width="45" style="651" customWidth="1"/>
    <col min="15142" max="15142" width="50" style="651" customWidth="1"/>
    <col min="15143" max="15144" width="51" style="651" customWidth="1"/>
    <col min="15145" max="15350" width="9.33203125" style="651"/>
    <col min="15351" max="15351" width="186.33203125" style="651" customWidth="1"/>
    <col min="15352" max="15352" width="49.83203125" style="651" customWidth="1"/>
    <col min="15353" max="15353" width="38.33203125" style="651" customWidth="1"/>
    <col min="15354" max="15355" width="50" style="651" customWidth="1"/>
    <col min="15356" max="15356" width="37.6640625" style="651" customWidth="1"/>
    <col min="15357" max="15357" width="50" style="651" customWidth="1"/>
    <col min="15358" max="15358" width="51.33203125" style="651" customWidth="1"/>
    <col min="15359" max="15359" width="38.1640625" style="651" customWidth="1"/>
    <col min="15360" max="15361" width="50" style="651" customWidth="1"/>
    <col min="15362" max="15362" width="38.33203125" style="651" customWidth="1"/>
    <col min="15363" max="15364" width="50" style="651" customWidth="1"/>
    <col min="15365" max="15365" width="38.33203125" style="651" customWidth="1"/>
    <col min="15366" max="15366" width="50" style="651" customWidth="1"/>
    <col min="15367" max="15367" width="186.33203125" style="651" customWidth="1"/>
    <col min="15368" max="15368" width="50" style="651" customWidth="1"/>
    <col min="15369" max="15369" width="38.33203125" style="651" customWidth="1"/>
    <col min="15370" max="15371" width="49.83203125" style="651" customWidth="1"/>
    <col min="15372" max="15372" width="38.1640625" style="651" customWidth="1"/>
    <col min="15373" max="15373" width="49.83203125" style="651" customWidth="1"/>
    <col min="15374" max="15374" width="50" style="651" customWidth="1"/>
    <col min="15375" max="15375" width="38.33203125" style="651" customWidth="1"/>
    <col min="15376" max="15377" width="49.83203125" style="651" customWidth="1"/>
    <col min="15378" max="15378" width="38.1640625" style="651" customWidth="1"/>
    <col min="15379" max="15380" width="50" style="651" customWidth="1"/>
    <col min="15381" max="15381" width="38.33203125" style="651" customWidth="1"/>
    <col min="15382" max="15382" width="50" style="651" customWidth="1"/>
    <col min="15383" max="15383" width="186.33203125" style="651" customWidth="1"/>
    <col min="15384" max="15384" width="50" style="651" customWidth="1"/>
    <col min="15385" max="15385" width="38.33203125" style="651" customWidth="1"/>
    <col min="15386" max="15386" width="49.83203125" style="651" customWidth="1"/>
    <col min="15387" max="15387" width="50" style="651" customWidth="1"/>
    <col min="15388" max="15388" width="45" style="651" customWidth="1"/>
    <col min="15389" max="15390" width="50" style="651" customWidth="1"/>
    <col min="15391" max="15391" width="45" style="651" customWidth="1"/>
    <col min="15392" max="15393" width="50" style="651" customWidth="1"/>
    <col min="15394" max="15394" width="45" style="651" customWidth="1"/>
    <col min="15395" max="15395" width="50.33203125" style="651" customWidth="1"/>
    <col min="15396" max="15396" width="50" style="651" customWidth="1"/>
    <col min="15397" max="15397" width="45" style="651" customWidth="1"/>
    <col min="15398" max="15398" width="50" style="651" customWidth="1"/>
    <col min="15399" max="15400" width="51" style="651" customWidth="1"/>
    <col min="15401" max="15606" width="9.33203125" style="651"/>
    <col min="15607" max="15607" width="186.33203125" style="651" customWidth="1"/>
    <col min="15608" max="15608" width="49.83203125" style="651" customWidth="1"/>
    <col min="15609" max="15609" width="38.33203125" style="651" customWidth="1"/>
    <col min="15610" max="15611" width="50" style="651" customWidth="1"/>
    <col min="15612" max="15612" width="37.6640625" style="651" customWidth="1"/>
    <col min="15613" max="15613" width="50" style="651" customWidth="1"/>
    <col min="15614" max="15614" width="51.33203125" style="651" customWidth="1"/>
    <col min="15615" max="15615" width="38.1640625" style="651" customWidth="1"/>
    <col min="15616" max="15617" width="50" style="651" customWidth="1"/>
    <col min="15618" max="15618" width="38.33203125" style="651" customWidth="1"/>
    <col min="15619" max="15620" width="50" style="651" customWidth="1"/>
    <col min="15621" max="15621" width="38.33203125" style="651" customWidth="1"/>
    <col min="15622" max="15622" width="50" style="651" customWidth="1"/>
    <col min="15623" max="15623" width="186.33203125" style="651" customWidth="1"/>
    <col min="15624" max="15624" width="50" style="651" customWidth="1"/>
    <col min="15625" max="15625" width="38.33203125" style="651" customWidth="1"/>
    <col min="15626" max="15627" width="49.83203125" style="651" customWidth="1"/>
    <col min="15628" max="15628" width="38.1640625" style="651" customWidth="1"/>
    <col min="15629" max="15629" width="49.83203125" style="651" customWidth="1"/>
    <col min="15630" max="15630" width="50" style="651" customWidth="1"/>
    <col min="15631" max="15631" width="38.33203125" style="651" customWidth="1"/>
    <col min="15632" max="15633" width="49.83203125" style="651" customWidth="1"/>
    <col min="15634" max="15634" width="38.1640625" style="651" customWidth="1"/>
    <col min="15635" max="15636" width="50" style="651" customWidth="1"/>
    <col min="15637" max="15637" width="38.33203125" style="651" customWidth="1"/>
    <col min="15638" max="15638" width="50" style="651" customWidth="1"/>
    <col min="15639" max="15639" width="186.33203125" style="651" customWidth="1"/>
    <col min="15640" max="15640" width="50" style="651" customWidth="1"/>
    <col min="15641" max="15641" width="38.33203125" style="651" customWidth="1"/>
    <col min="15642" max="15642" width="49.83203125" style="651" customWidth="1"/>
    <col min="15643" max="15643" width="50" style="651" customWidth="1"/>
    <col min="15644" max="15644" width="45" style="651" customWidth="1"/>
    <col min="15645" max="15646" width="50" style="651" customWidth="1"/>
    <col min="15647" max="15647" width="45" style="651" customWidth="1"/>
    <col min="15648" max="15649" width="50" style="651" customWidth="1"/>
    <col min="15650" max="15650" width="45" style="651" customWidth="1"/>
    <col min="15651" max="15651" width="50.33203125" style="651" customWidth="1"/>
    <col min="15652" max="15652" width="50" style="651" customWidth="1"/>
    <col min="15653" max="15653" width="45" style="651" customWidth="1"/>
    <col min="15654" max="15654" width="50" style="651" customWidth="1"/>
    <col min="15655" max="15656" width="51" style="651" customWidth="1"/>
    <col min="15657" max="15862" width="9.33203125" style="651"/>
    <col min="15863" max="15863" width="186.33203125" style="651" customWidth="1"/>
    <col min="15864" max="15864" width="49.83203125" style="651" customWidth="1"/>
    <col min="15865" max="15865" width="38.33203125" style="651" customWidth="1"/>
    <col min="15866" max="15867" width="50" style="651" customWidth="1"/>
    <col min="15868" max="15868" width="37.6640625" style="651" customWidth="1"/>
    <col min="15869" max="15869" width="50" style="651" customWidth="1"/>
    <col min="15870" max="15870" width="51.33203125" style="651" customWidth="1"/>
    <col min="15871" max="15871" width="38.1640625" style="651" customWidth="1"/>
    <col min="15872" max="15873" width="50" style="651" customWidth="1"/>
    <col min="15874" max="15874" width="38.33203125" style="651" customWidth="1"/>
    <col min="15875" max="15876" width="50" style="651" customWidth="1"/>
    <col min="15877" max="15877" width="38.33203125" style="651" customWidth="1"/>
    <col min="15878" max="15878" width="50" style="651" customWidth="1"/>
    <col min="15879" max="15879" width="186.33203125" style="651" customWidth="1"/>
    <col min="15880" max="15880" width="50" style="651" customWidth="1"/>
    <col min="15881" max="15881" width="38.33203125" style="651" customWidth="1"/>
    <col min="15882" max="15883" width="49.83203125" style="651" customWidth="1"/>
    <col min="15884" max="15884" width="38.1640625" style="651" customWidth="1"/>
    <col min="15885" max="15885" width="49.83203125" style="651" customWidth="1"/>
    <col min="15886" max="15886" width="50" style="651" customWidth="1"/>
    <col min="15887" max="15887" width="38.33203125" style="651" customWidth="1"/>
    <col min="15888" max="15889" width="49.83203125" style="651" customWidth="1"/>
    <col min="15890" max="15890" width="38.1640625" style="651" customWidth="1"/>
    <col min="15891" max="15892" width="50" style="651" customWidth="1"/>
    <col min="15893" max="15893" width="38.33203125" style="651" customWidth="1"/>
    <col min="15894" max="15894" width="50" style="651" customWidth="1"/>
    <col min="15895" max="15895" width="186.33203125" style="651" customWidth="1"/>
    <col min="15896" max="15896" width="50" style="651" customWidth="1"/>
    <col min="15897" max="15897" width="38.33203125" style="651" customWidth="1"/>
    <col min="15898" max="15898" width="49.83203125" style="651" customWidth="1"/>
    <col min="15899" max="15899" width="50" style="651" customWidth="1"/>
    <col min="15900" max="15900" width="45" style="651" customWidth="1"/>
    <col min="15901" max="15902" width="50" style="651" customWidth="1"/>
    <col min="15903" max="15903" width="45" style="651" customWidth="1"/>
    <col min="15904" max="15905" width="50" style="651" customWidth="1"/>
    <col min="15906" max="15906" width="45" style="651" customWidth="1"/>
    <col min="15907" max="15907" width="50.33203125" style="651" customWidth="1"/>
    <col min="15908" max="15908" width="50" style="651" customWidth="1"/>
    <col min="15909" max="15909" width="45" style="651" customWidth="1"/>
    <col min="15910" max="15910" width="50" style="651" customWidth="1"/>
    <col min="15911" max="15912" width="51" style="651" customWidth="1"/>
    <col min="15913" max="16118" width="9.33203125" style="651"/>
    <col min="16119" max="16119" width="186.33203125" style="651" customWidth="1"/>
    <col min="16120" max="16120" width="49.83203125" style="651" customWidth="1"/>
    <col min="16121" max="16121" width="38.33203125" style="651" customWidth="1"/>
    <col min="16122" max="16123" width="50" style="651" customWidth="1"/>
    <col min="16124" max="16124" width="37.6640625" style="651" customWidth="1"/>
    <col min="16125" max="16125" width="50" style="651" customWidth="1"/>
    <col min="16126" max="16126" width="51.33203125" style="651" customWidth="1"/>
    <col min="16127" max="16127" width="38.1640625" style="651" customWidth="1"/>
    <col min="16128" max="16129" width="50" style="651" customWidth="1"/>
    <col min="16130" max="16130" width="38.33203125" style="651" customWidth="1"/>
    <col min="16131" max="16132" width="50" style="651" customWidth="1"/>
    <col min="16133" max="16133" width="38.33203125" style="651" customWidth="1"/>
    <col min="16134" max="16134" width="50" style="651" customWidth="1"/>
    <col min="16135" max="16135" width="186.33203125" style="651" customWidth="1"/>
    <col min="16136" max="16136" width="50" style="651" customWidth="1"/>
    <col min="16137" max="16137" width="38.33203125" style="651" customWidth="1"/>
    <col min="16138" max="16139" width="49.83203125" style="651" customWidth="1"/>
    <col min="16140" max="16140" width="38.1640625" style="651" customWidth="1"/>
    <col min="16141" max="16141" width="49.83203125" style="651" customWidth="1"/>
    <col min="16142" max="16142" width="50" style="651" customWidth="1"/>
    <col min="16143" max="16143" width="38.33203125" style="651" customWidth="1"/>
    <col min="16144" max="16145" width="49.83203125" style="651" customWidth="1"/>
    <col min="16146" max="16146" width="38.1640625" style="651" customWidth="1"/>
    <col min="16147" max="16148" width="50" style="651" customWidth="1"/>
    <col min="16149" max="16149" width="38.33203125" style="651" customWidth="1"/>
    <col min="16150" max="16150" width="50" style="651" customWidth="1"/>
    <col min="16151" max="16151" width="186.33203125" style="651" customWidth="1"/>
    <col min="16152" max="16152" width="50" style="651" customWidth="1"/>
    <col min="16153" max="16153" width="38.33203125" style="651" customWidth="1"/>
    <col min="16154" max="16154" width="49.83203125" style="651" customWidth="1"/>
    <col min="16155" max="16155" width="50" style="651" customWidth="1"/>
    <col min="16156" max="16156" width="45" style="651" customWidth="1"/>
    <col min="16157" max="16158" width="50" style="651" customWidth="1"/>
    <col min="16159" max="16159" width="45" style="651" customWidth="1"/>
    <col min="16160" max="16161" width="50" style="651" customWidth="1"/>
    <col min="16162" max="16162" width="45" style="651" customWidth="1"/>
    <col min="16163" max="16163" width="50.33203125" style="651" customWidth="1"/>
    <col min="16164" max="16164" width="50" style="651" customWidth="1"/>
    <col min="16165" max="16165" width="45" style="651" customWidth="1"/>
    <col min="16166" max="16166" width="50" style="651" customWidth="1"/>
    <col min="16167" max="16168" width="51" style="651" customWidth="1"/>
    <col min="16169" max="16384" width="9.33203125" style="651"/>
  </cols>
  <sheetData>
    <row r="1" spans="1:48" ht="26.45" customHeight="1" x14ac:dyDescent="0.7">
      <c r="A1" s="648"/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  <c r="Q1" s="648"/>
      <c r="R1" s="649"/>
      <c r="S1" s="649"/>
      <c r="T1" s="649"/>
      <c r="U1" s="649"/>
      <c r="V1" s="649"/>
      <c r="W1" s="649"/>
      <c r="X1" s="649"/>
      <c r="Y1" s="649"/>
      <c r="Z1" s="649"/>
      <c r="AA1" s="649"/>
      <c r="AB1" s="649"/>
      <c r="AC1" s="649"/>
      <c r="AD1" s="649"/>
      <c r="AE1" s="649"/>
      <c r="AF1" s="649"/>
      <c r="AG1" s="648"/>
      <c r="AH1" s="648"/>
      <c r="AI1" s="648"/>
      <c r="AJ1" s="648"/>
      <c r="AK1" s="648"/>
      <c r="AL1" s="648"/>
      <c r="AM1" s="648"/>
      <c r="AN1" s="648"/>
      <c r="AO1" s="648"/>
      <c r="AP1" s="648"/>
      <c r="AQ1" s="648"/>
      <c r="AR1" s="648"/>
      <c r="AS1" s="650"/>
      <c r="AT1" s="650"/>
      <c r="AU1" s="650"/>
      <c r="AV1" s="649"/>
    </row>
    <row r="2" spans="1:48" ht="26.45" customHeight="1" x14ac:dyDescent="0.7">
      <c r="A2" s="648"/>
      <c r="B2" s="649"/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8"/>
      <c r="R2" s="649"/>
      <c r="S2" s="649"/>
      <c r="T2" s="649"/>
      <c r="U2" s="649"/>
      <c r="V2" s="649"/>
      <c r="W2" s="649"/>
      <c r="X2" s="649"/>
      <c r="Y2" s="649"/>
      <c r="Z2" s="649"/>
      <c r="AA2" s="649"/>
      <c r="AB2" s="649"/>
      <c r="AC2" s="649"/>
      <c r="AD2" s="649"/>
      <c r="AE2" s="649"/>
      <c r="AF2" s="649"/>
      <c r="AG2" s="648"/>
      <c r="AH2" s="648"/>
      <c r="AI2" s="648"/>
      <c r="AJ2" s="648"/>
      <c r="AK2" s="648"/>
      <c r="AL2" s="648"/>
      <c r="AM2" s="648"/>
      <c r="AN2" s="648"/>
      <c r="AO2" s="648"/>
      <c r="AP2" s="648"/>
      <c r="AQ2" s="648"/>
      <c r="AR2" s="648"/>
      <c r="AS2" s="650"/>
      <c r="AT2" s="650"/>
      <c r="AU2" s="650"/>
      <c r="AV2" s="649"/>
    </row>
    <row r="3" spans="1:48" ht="54" customHeight="1" x14ac:dyDescent="0.7">
      <c r="A3" s="652"/>
      <c r="B3" s="927" t="s">
        <v>231</v>
      </c>
      <c r="C3" s="927"/>
      <c r="D3" s="927"/>
      <c r="E3" s="927"/>
      <c r="F3" s="927"/>
      <c r="G3" s="927"/>
      <c r="H3" s="927"/>
      <c r="I3" s="927"/>
      <c r="J3" s="927"/>
      <c r="K3" s="927"/>
      <c r="L3" s="927"/>
      <c r="M3" s="927"/>
      <c r="N3" s="927"/>
      <c r="O3" s="927"/>
      <c r="P3" s="927"/>
      <c r="Q3" s="648"/>
      <c r="R3" s="928" t="s">
        <v>231</v>
      </c>
      <c r="S3" s="928"/>
      <c r="T3" s="928"/>
      <c r="U3" s="928"/>
      <c r="V3" s="928"/>
      <c r="W3" s="928"/>
      <c r="X3" s="928"/>
      <c r="Y3" s="928"/>
      <c r="Z3" s="928"/>
      <c r="AA3" s="928"/>
      <c r="AB3" s="928"/>
      <c r="AC3" s="928"/>
      <c r="AD3" s="928"/>
      <c r="AE3" s="928"/>
      <c r="AF3" s="928"/>
      <c r="AG3" s="648"/>
      <c r="AH3" s="928" t="s">
        <v>231</v>
      </c>
      <c r="AI3" s="928"/>
      <c r="AJ3" s="928"/>
      <c r="AK3" s="928"/>
      <c r="AL3" s="928"/>
      <c r="AM3" s="928"/>
      <c r="AN3" s="928"/>
      <c r="AO3" s="928"/>
      <c r="AP3" s="928"/>
      <c r="AQ3" s="928"/>
      <c r="AR3" s="928"/>
      <c r="AS3" s="928"/>
      <c r="AT3" s="928"/>
      <c r="AU3" s="928"/>
      <c r="AV3" s="928"/>
    </row>
    <row r="4" spans="1:48" ht="54" customHeight="1" x14ac:dyDescent="0.7">
      <c r="A4" s="652"/>
      <c r="B4" s="927" t="s">
        <v>680</v>
      </c>
      <c r="C4" s="927"/>
      <c r="D4" s="927"/>
      <c r="E4" s="927"/>
      <c r="F4" s="927"/>
      <c r="G4" s="927"/>
      <c r="H4" s="927"/>
      <c r="I4" s="927"/>
      <c r="J4" s="927"/>
      <c r="K4" s="927"/>
      <c r="L4" s="927"/>
      <c r="M4" s="927"/>
      <c r="N4" s="927"/>
      <c r="O4" s="927"/>
      <c r="P4" s="927"/>
      <c r="Q4" s="648"/>
      <c r="R4" s="928" t="s">
        <v>680</v>
      </c>
      <c r="S4" s="928"/>
      <c r="T4" s="928"/>
      <c r="U4" s="928"/>
      <c r="V4" s="928"/>
      <c r="W4" s="928"/>
      <c r="X4" s="928"/>
      <c r="Y4" s="928"/>
      <c r="Z4" s="928"/>
      <c r="AA4" s="928"/>
      <c r="AB4" s="928"/>
      <c r="AC4" s="928"/>
      <c r="AD4" s="928"/>
      <c r="AE4" s="928"/>
      <c r="AF4" s="928"/>
      <c r="AG4" s="648"/>
      <c r="AH4" s="928" t="s">
        <v>680</v>
      </c>
      <c r="AI4" s="928"/>
      <c r="AJ4" s="928"/>
      <c r="AK4" s="928"/>
      <c r="AL4" s="928"/>
      <c r="AM4" s="928"/>
      <c r="AN4" s="928"/>
      <c r="AO4" s="928"/>
      <c r="AP4" s="928"/>
      <c r="AQ4" s="928"/>
      <c r="AR4" s="928"/>
      <c r="AS4" s="928"/>
      <c r="AT4" s="928"/>
      <c r="AU4" s="928"/>
      <c r="AV4" s="928"/>
    </row>
    <row r="5" spans="1:48" ht="42.75" customHeight="1" thickBot="1" x14ac:dyDescent="0.75">
      <c r="A5" s="648"/>
      <c r="B5" s="649"/>
      <c r="C5" s="649"/>
      <c r="D5" s="649"/>
      <c r="E5" s="649"/>
      <c r="F5" s="649"/>
      <c r="G5" s="649"/>
      <c r="H5" s="649"/>
      <c r="I5" s="649"/>
      <c r="J5" s="649"/>
      <c r="K5" s="649"/>
      <c r="L5" s="649"/>
      <c r="M5" s="649"/>
      <c r="N5" s="649"/>
      <c r="O5" s="649"/>
      <c r="P5" s="649"/>
      <c r="Q5" s="648"/>
      <c r="R5" s="649"/>
      <c r="S5" s="649"/>
      <c r="T5" s="649"/>
      <c r="U5" s="649"/>
      <c r="V5" s="649"/>
      <c r="W5" s="649"/>
      <c r="X5" s="649"/>
      <c r="Y5" s="649"/>
      <c r="Z5" s="649"/>
      <c r="AA5" s="649"/>
      <c r="AB5" s="649"/>
      <c r="AC5" s="649"/>
      <c r="AD5" s="649"/>
      <c r="AE5" s="649"/>
      <c r="AF5" s="649"/>
      <c r="AG5" s="648"/>
      <c r="AH5" s="648"/>
      <c r="AI5" s="648"/>
      <c r="AJ5" s="648"/>
      <c r="AK5" s="648"/>
      <c r="AL5" s="648"/>
      <c r="AM5" s="648"/>
      <c r="AN5" s="648"/>
      <c r="AO5" s="648"/>
      <c r="AP5" s="648"/>
      <c r="AQ5" s="648"/>
      <c r="AR5" s="648"/>
      <c r="AS5" s="650"/>
      <c r="AT5" s="650"/>
      <c r="AU5" s="650"/>
      <c r="AV5" s="649"/>
    </row>
    <row r="6" spans="1:48" s="655" customFormat="1" ht="140.25" customHeight="1" thickBot="1" x14ac:dyDescent="0.75">
      <c r="A6" s="654" t="s">
        <v>681</v>
      </c>
      <c r="B6" s="924" t="s">
        <v>57</v>
      </c>
      <c r="C6" s="925"/>
      <c r="D6" s="926"/>
      <c r="E6" s="929" t="s">
        <v>263</v>
      </c>
      <c r="F6" s="930"/>
      <c r="G6" s="931"/>
      <c r="H6" s="929" t="s">
        <v>682</v>
      </c>
      <c r="I6" s="930"/>
      <c r="J6" s="931"/>
      <c r="K6" s="924" t="s">
        <v>196</v>
      </c>
      <c r="L6" s="925"/>
      <c r="M6" s="926"/>
      <c r="N6" s="929" t="s">
        <v>241</v>
      </c>
      <c r="O6" s="930"/>
      <c r="P6" s="931"/>
      <c r="Q6" s="654" t="s">
        <v>681</v>
      </c>
      <c r="R6" s="924" t="s">
        <v>73</v>
      </c>
      <c r="S6" s="925"/>
      <c r="T6" s="926"/>
      <c r="U6" s="929" t="s">
        <v>74</v>
      </c>
      <c r="V6" s="930"/>
      <c r="W6" s="931"/>
      <c r="X6" s="929" t="s">
        <v>269</v>
      </c>
      <c r="Y6" s="930"/>
      <c r="Z6" s="931"/>
      <c r="AA6" s="929" t="s">
        <v>242</v>
      </c>
      <c r="AB6" s="930"/>
      <c r="AC6" s="931"/>
      <c r="AD6" s="929" t="s">
        <v>683</v>
      </c>
      <c r="AE6" s="930"/>
      <c r="AF6" s="931"/>
      <c r="AG6" s="654" t="s">
        <v>681</v>
      </c>
      <c r="AH6" s="929" t="s">
        <v>684</v>
      </c>
      <c r="AI6" s="930"/>
      <c r="AJ6" s="931"/>
      <c r="AK6" s="935" t="s">
        <v>685</v>
      </c>
      <c r="AL6" s="936"/>
      <c r="AM6" s="936"/>
      <c r="AN6" s="936"/>
      <c r="AO6" s="936"/>
      <c r="AP6" s="937"/>
      <c r="AQ6" s="929" t="s">
        <v>686</v>
      </c>
      <c r="AR6" s="930"/>
      <c r="AS6" s="931"/>
      <c r="AT6" s="929" t="s">
        <v>687</v>
      </c>
      <c r="AU6" s="930"/>
      <c r="AV6" s="931"/>
    </row>
    <row r="7" spans="1:48" s="655" customFormat="1" ht="78.75" customHeight="1" thickBot="1" x14ac:dyDescent="0.75">
      <c r="A7" s="656" t="s">
        <v>688</v>
      </c>
      <c r="B7" s="932"/>
      <c r="C7" s="933"/>
      <c r="D7" s="934"/>
      <c r="E7" s="658"/>
      <c r="F7" s="659"/>
      <c r="G7" s="660"/>
      <c r="H7" s="658"/>
      <c r="I7" s="659"/>
      <c r="J7" s="660"/>
      <c r="K7" s="658"/>
      <c r="L7" s="659"/>
      <c r="M7" s="660"/>
      <c r="N7" s="932"/>
      <c r="O7" s="933"/>
      <c r="P7" s="934"/>
      <c r="Q7" s="656" t="s">
        <v>688</v>
      </c>
      <c r="R7" s="932"/>
      <c r="S7" s="933"/>
      <c r="T7" s="934"/>
      <c r="U7" s="657"/>
      <c r="V7" s="657"/>
      <c r="W7" s="657"/>
      <c r="X7" s="932"/>
      <c r="Y7" s="933"/>
      <c r="Z7" s="934"/>
      <c r="AA7" s="932"/>
      <c r="AB7" s="933"/>
      <c r="AC7" s="934"/>
      <c r="AD7" s="932"/>
      <c r="AE7" s="933"/>
      <c r="AF7" s="934"/>
      <c r="AG7" s="656" t="s">
        <v>688</v>
      </c>
      <c r="AH7" s="661"/>
      <c r="AI7" s="662"/>
      <c r="AJ7" s="663"/>
      <c r="AK7" s="935" t="s">
        <v>689</v>
      </c>
      <c r="AL7" s="936"/>
      <c r="AM7" s="937"/>
      <c r="AN7" s="935" t="s">
        <v>690</v>
      </c>
      <c r="AO7" s="936"/>
      <c r="AP7" s="937"/>
      <c r="AQ7" s="932"/>
      <c r="AR7" s="933"/>
      <c r="AS7" s="934"/>
      <c r="AT7" s="932"/>
      <c r="AU7" s="933"/>
      <c r="AV7" s="934"/>
    </row>
    <row r="8" spans="1:48" s="666" customFormat="1" ht="147.75" customHeight="1" thickBot="1" x14ac:dyDescent="0.65">
      <c r="A8" s="664"/>
      <c r="B8" s="665" t="s">
        <v>691</v>
      </c>
      <c r="C8" s="665" t="s">
        <v>692</v>
      </c>
      <c r="D8" s="665" t="s">
        <v>693</v>
      </c>
      <c r="E8" s="665" t="s">
        <v>691</v>
      </c>
      <c r="F8" s="665" t="s">
        <v>692</v>
      </c>
      <c r="G8" s="665" t="s">
        <v>693</v>
      </c>
      <c r="H8" s="665" t="s">
        <v>691</v>
      </c>
      <c r="I8" s="665" t="s">
        <v>692</v>
      </c>
      <c r="J8" s="665" t="s">
        <v>693</v>
      </c>
      <c r="K8" s="665" t="s">
        <v>691</v>
      </c>
      <c r="L8" s="665" t="s">
        <v>692</v>
      </c>
      <c r="M8" s="665" t="s">
        <v>693</v>
      </c>
      <c r="N8" s="665" t="s">
        <v>691</v>
      </c>
      <c r="O8" s="665" t="s">
        <v>692</v>
      </c>
      <c r="P8" s="665" t="s">
        <v>693</v>
      </c>
      <c r="Q8" s="664"/>
      <c r="R8" s="665" t="s">
        <v>691</v>
      </c>
      <c r="S8" s="665" t="s">
        <v>692</v>
      </c>
      <c r="T8" s="665" t="s">
        <v>693</v>
      </c>
      <c r="U8" s="665" t="s">
        <v>691</v>
      </c>
      <c r="V8" s="665" t="s">
        <v>692</v>
      </c>
      <c r="W8" s="665" t="s">
        <v>693</v>
      </c>
      <c r="X8" s="665" t="s">
        <v>691</v>
      </c>
      <c r="Y8" s="665" t="s">
        <v>692</v>
      </c>
      <c r="Z8" s="665" t="s">
        <v>693</v>
      </c>
      <c r="AA8" s="665" t="s">
        <v>691</v>
      </c>
      <c r="AB8" s="665" t="s">
        <v>692</v>
      </c>
      <c r="AC8" s="665" t="s">
        <v>693</v>
      </c>
      <c r="AD8" s="665" t="s">
        <v>691</v>
      </c>
      <c r="AE8" s="665" t="s">
        <v>692</v>
      </c>
      <c r="AF8" s="665" t="s">
        <v>693</v>
      </c>
      <c r="AG8" s="664"/>
      <c r="AH8" s="665" t="s">
        <v>691</v>
      </c>
      <c r="AI8" s="665" t="s">
        <v>692</v>
      </c>
      <c r="AJ8" s="665" t="s">
        <v>693</v>
      </c>
      <c r="AK8" s="665" t="s">
        <v>691</v>
      </c>
      <c r="AL8" s="665" t="s">
        <v>692</v>
      </c>
      <c r="AM8" s="665" t="s">
        <v>693</v>
      </c>
      <c r="AN8" s="665" t="s">
        <v>691</v>
      </c>
      <c r="AO8" s="665" t="s">
        <v>692</v>
      </c>
      <c r="AP8" s="665" t="s">
        <v>693</v>
      </c>
      <c r="AQ8" s="665" t="s">
        <v>691</v>
      </c>
      <c r="AR8" s="665" t="s">
        <v>692</v>
      </c>
      <c r="AS8" s="665" t="s">
        <v>693</v>
      </c>
      <c r="AT8" s="665" t="s">
        <v>691</v>
      </c>
      <c r="AU8" s="665" t="s">
        <v>692</v>
      </c>
      <c r="AV8" s="665" t="s">
        <v>693</v>
      </c>
    </row>
    <row r="9" spans="1:48" ht="45.75" customHeight="1" x14ac:dyDescent="0.7">
      <c r="A9" s="667" t="s">
        <v>694</v>
      </c>
      <c r="B9" s="668"/>
      <c r="C9" s="668"/>
      <c r="D9" s="668"/>
      <c r="E9" s="668"/>
      <c r="F9" s="668"/>
      <c r="G9" s="668"/>
      <c r="H9" s="668"/>
      <c r="I9" s="668"/>
      <c r="J9" s="668"/>
      <c r="K9" s="668"/>
      <c r="L9" s="668"/>
      <c r="M9" s="668"/>
      <c r="N9" s="668"/>
      <c r="O9" s="668"/>
      <c r="P9" s="668"/>
      <c r="Q9" s="667" t="s">
        <v>694</v>
      </c>
      <c r="R9" s="668"/>
      <c r="S9" s="668"/>
      <c r="T9" s="668"/>
      <c r="U9" s="668"/>
      <c r="V9" s="668"/>
      <c r="W9" s="668"/>
      <c r="X9" s="668"/>
      <c r="Y9" s="668"/>
      <c r="Z9" s="668"/>
      <c r="AA9" s="668"/>
      <c r="AB9" s="668"/>
      <c r="AC9" s="668"/>
      <c r="AD9" s="668"/>
      <c r="AE9" s="668"/>
      <c r="AF9" s="668"/>
      <c r="AG9" s="667" t="s">
        <v>694</v>
      </c>
      <c r="AH9" s="667"/>
      <c r="AI9" s="667"/>
      <c r="AJ9" s="667"/>
      <c r="AK9" s="667"/>
      <c r="AL9" s="667"/>
      <c r="AM9" s="667"/>
      <c r="AN9" s="667"/>
      <c r="AO9" s="667"/>
      <c r="AP9" s="667"/>
      <c r="AQ9" s="667"/>
      <c r="AR9" s="667"/>
      <c r="AS9" s="669"/>
      <c r="AT9" s="669"/>
      <c r="AU9" s="669"/>
      <c r="AV9" s="668"/>
    </row>
    <row r="10" spans="1:48" ht="48.75" customHeight="1" x14ac:dyDescent="0.7">
      <c r="A10" s="670" t="s">
        <v>695</v>
      </c>
      <c r="B10" s="671">
        <f>'[4]int.bevételek RM II'!D10</f>
        <v>2368</v>
      </c>
      <c r="C10" s="671">
        <v>1194</v>
      </c>
      <c r="D10" s="671">
        <f t="shared" ref="D10:D27" si="0">SUM(B10:C10)</f>
        <v>3562</v>
      </c>
      <c r="E10" s="671">
        <f>'[4]int.bevételek RM II'!G10</f>
        <v>23</v>
      </c>
      <c r="F10" s="671"/>
      <c r="G10" s="671">
        <f t="shared" ref="G10:G27" si="1">SUM(E10:F10)</f>
        <v>23</v>
      </c>
      <c r="H10" s="671">
        <f>'[4]int.bevételek RM II'!J10</f>
        <v>0</v>
      </c>
      <c r="I10" s="671"/>
      <c r="J10" s="671">
        <f t="shared" ref="J10:J27" si="2">SUM(H10:I10)</f>
        <v>0</v>
      </c>
      <c r="K10" s="671">
        <f>'[4]int.bevételek RM II'!M10</f>
        <v>0</v>
      </c>
      <c r="L10" s="671"/>
      <c r="M10" s="671">
        <f t="shared" ref="M10:M27" si="3">SUM(K10:L10)</f>
        <v>0</v>
      </c>
      <c r="N10" s="672">
        <f t="shared" ref="N10:P27" si="4">B10+E10+H10+K10</f>
        <v>2391</v>
      </c>
      <c r="O10" s="672">
        <f t="shared" si="4"/>
        <v>1194</v>
      </c>
      <c r="P10" s="672">
        <f t="shared" si="4"/>
        <v>3585</v>
      </c>
      <c r="Q10" s="670" t="s">
        <v>695</v>
      </c>
      <c r="R10" s="671">
        <f>'[4]int.bevételek RM II'!T10</f>
        <v>0</v>
      </c>
      <c r="S10" s="671"/>
      <c r="T10" s="671">
        <f t="shared" ref="T10:T27" si="5">SUM(R10:S10)</f>
        <v>0</v>
      </c>
      <c r="U10" s="671">
        <f>'[4]int.bevételek RM II'!W10</f>
        <v>0</v>
      </c>
      <c r="V10" s="671"/>
      <c r="W10" s="671">
        <f>SUM(U10:V10)</f>
        <v>0</v>
      </c>
      <c r="X10" s="671">
        <f>'[4]int.bevételek RM II'!Z10</f>
        <v>0</v>
      </c>
      <c r="Y10" s="671"/>
      <c r="Z10" s="671">
        <f t="shared" ref="Z10:Z27" si="6">SUM(X10:Y10)</f>
        <v>0</v>
      </c>
      <c r="AA10" s="672">
        <f t="shared" ref="AA10:AC27" si="7">R10+U10+X10</f>
        <v>0</v>
      </c>
      <c r="AB10" s="672">
        <f t="shared" si="7"/>
        <v>0</v>
      </c>
      <c r="AC10" s="672">
        <f t="shared" si="7"/>
        <v>0</v>
      </c>
      <c r="AD10" s="672">
        <f>N10+AA10</f>
        <v>2391</v>
      </c>
      <c r="AE10" s="672">
        <f>O10+AB10</f>
        <v>1194</v>
      </c>
      <c r="AF10" s="672">
        <f>P10+AC10</f>
        <v>3585</v>
      </c>
      <c r="AG10" s="670" t="s">
        <v>695</v>
      </c>
      <c r="AH10" s="671">
        <f>'[4]int.bevételek RM II'!AJ10</f>
        <v>2389</v>
      </c>
      <c r="AI10" s="671"/>
      <c r="AJ10" s="671">
        <f t="shared" ref="AJ10:AJ27" si="8">SUM(AH10:AI10)</f>
        <v>2389</v>
      </c>
      <c r="AK10" s="671">
        <f>'[4]int.bevételek RM II'!AM10</f>
        <v>242673</v>
      </c>
      <c r="AL10" s="671">
        <f>-188-977</f>
        <v>-1165</v>
      </c>
      <c r="AM10" s="671">
        <f t="shared" ref="AM10:AM27" si="9">SUM(AK10:AL10)</f>
        <v>241508</v>
      </c>
      <c r="AN10" s="671">
        <f>'[4]int.bevételek RM II'!AP10</f>
        <v>3285</v>
      </c>
      <c r="AO10" s="671">
        <v>188</v>
      </c>
      <c r="AP10" s="671">
        <f t="shared" ref="AP10:AP27" si="10">SUM(AN10:AO10)</f>
        <v>3473</v>
      </c>
      <c r="AQ10" s="672">
        <f t="shared" ref="AQ10:AS27" si="11">AK10+AN10</f>
        <v>245958</v>
      </c>
      <c r="AR10" s="672">
        <f t="shared" si="11"/>
        <v>-977</v>
      </c>
      <c r="AS10" s="672">
        <f t="shared" si="11"/>
        <v>244981</v>
      </c>
      <c r="AT10" s="672">
        <f>N10+AA10+AH10+AQ10</f>
        <v>250738</v>
      </c>
      <c r="AU10" s="672">
        <f>O10+AB10+AI10+AR10</f>
        <v>217</v>
      </c>
      <c r="AV10" s="672">
        <f>P10+AC10+AJ10+AS10</f>
        <v>250955</v>
      </c>
    </row>
    <row r="11" spans="1:48" ht="48.75" customHeight="1" x14ac:dyDescent="0.7">
      <c r="A11" s="673" t="s">
        <v>696</v>
      </c>
      <c r="B11" s="671">
        <f>'[4]int.bevételek RM II'!D11</f>
        <v>1000</v>
      </c>
      <c r="C11" s="671">
        <v>24</v>
      </c>
      <c r="D11" s="671">
        <f t="shared" si="0"/>
        <v>1024</v>
      </c>
      <c r="E11" s="671">
        <f>'[4]int.bevételek RM II'!G11</f>
        <v>0</v>
      </c>
      <c r="F11" s="671"/>
      <c r="G11" s="671">
        <f t="shared" si="1"/>
        <v>0</v>
      </c>
      <c r="H11" s="671">
        <f>'[4]int.bevételek RM II'!J11</f>
        <v>0</v>
      </c>
      <c r="I11" s="671"/>
      <c r="J11" s="671">
        <f t="shared" si="2"/>
        <v>0</v>
      </c>
      <c r="K11" s="671">
        <f>'[4]int.bevételek RM II'!M11</f>
        <v>0</v>
      </c>
      <c r="L11" s="671"/>
      <c r="M11" s="671">
        <f t="shared" si="3"/>
        <v>0</v>
      </c>
      <c r="N11" s="672">
        <f t="shared" si="4"/>
        <v>1000</v>
      </c>
      <c r="O11" s="672">
        <f t="shared" si="4"/>
        <v>24</v>
      </c>
      <c r="P11" s="672">
        <f t="shared" si="4"/>
        <v>1024</v>
      </c>
      <c r="Q11" s="673" t="s">
        <v>696</v>
      </c>
      <c r="R11" s="671">
        <f>'[4]int.bevételek RM II'!T11</f>
        <v>0</v>
      </c>
      <c r="S11" s="671"/>
      <c r="T11" s="671">
        <f t="shared" si="5"/>
        <v>0</v>
      </c>
      <c r="U11" s="671">
        <f>'[4]int.bevételek RM II'!W11</f>
        <v>0</v>
      </c>
      <c r="V11" s="671"/>
      <c r="W11" s="671">
        <f>SUM(U11:V11)</f>
        <v>0</v>
      </c>
      <c r="X11" s="671">
        <f>'[4]int.bevételek RM II'!Z11</f>
        <v>0</v>
      </c>
      <c r="Y11" s="671"/>
      <c r="Z11" s="671">
        <f t="shared" si="6"/>
        <v>0</v>
      </c>
      <c r="AA11" s="672">
        <f t="shared" si="7"/>
        <v>0</v>
      </c>
      <c r="AB11" s="672">
        <f t="shared" si="7"/>
        <v>0</v>
      </c>
      <c r="AC11" s="672">
        <f t="shared" si="7"/>
        <v>0</v>
      </c>
      <c r="AD11" s="672">
        <f t="shared" ref="AD11:AF37" si="12">N11+AA11</f>
        <v>1000</v>
      </c>
      <c r="AE11" s="672">
        <f t="shared" si="12"/>
        <v>24</v>
      </c>
      <c r="AF11" s="672">
        <f t="shared" si="12"/>
        <v>1024</v>
      </c>
      <c r="AG11" s="673" t="s">
        <v>696</v>
      </c>
      <c r="AH11" s="671">
        <f>'[4]int.bevételek RM II'!AJ11</f>
        <v>1653</v>
      </c>
      <c r="AI11" s="671"/>
      <c r="AJ11" s="671">
        <f t="shared" si="8"/>
        <v>1653</v>
      </c>
      <c r="AK11" s="671">
        <f>'[4]int.bevételek RM II'!AM11</f>
        <v>163148</v>
      </c>
      <c r="AL11" s="671">
        <f>-333+3070</f>
        <v>2737</v>
      </c>
      <c r="AM11" s="671">
        <f t="shared" si="9"/>
        <v>165885</v>
      </c>
      <c r="AN11" s="671">
        <f>'[4]int.bevételek RM II'!AP11</f>
        <v>512</v>
      </c>
      <c r="AO11" s="671">
        <v>333</v>
      </c>
      <c r="AP11" s="671">
        <f t="shared" si="10"/>
        <v>845</v>
      </c>
      <c r="AQ11" s="672">
        <f t="shared" si="11"/>
        <v>163660</v>
      </c>
      <c r="AR11" s="672">
        <f t="shared" si="11"/>
        <v>3070</v>
      </c>
      <c r="AS11" s="672">
        <f t="shared" si="11"/>
        <v>166730</v>
      </c>
      <c r="AT11" s="672">
        <f t="shared" ref="AT11:AV27" si="13">N11+AA11+AH11+AQ11</f>
        <v>166313</v>
      </c>
      <c r="AU11" s="672">
        <f t="shared" si="13"/>
        <v>3094</v>
      </c>
      <c r="AV11" s="672">
        <f t="shared" si="13"/>
        <v>169407</v>
      </c>
    </row>
    <row r="12" spans="1:48" ht="48.75" customHeight="1" x14ac:dyDescent="0.7">
      <c r="A12" s="673" t="s">
        <v>697</v>
      </c>
      <c r="B12" s="671">
        <f>'[4]int.bevételek RM II'!D12</f>
        <v>1248</v>
      </c>
      <c r="C12" s="671">
        <v>225</v>
      </c>
      <c r="D12" s="671">
        <f t="shared" si="0"/>
        <v>1473</v>
      </c>
      <c r="E12" s="671">
        <f>'[4]int.bevételek RM II'!G12</f>
        <v>40</v>
      </c>
      <c r="F12" s="671">
        <v>200</v>
      </c>
      <c r="G12" s="671">
        <f t="shared" si="1"/>
        <v>240</v>
      </c>
      <c r="H12" s="671">
        <f>'[4]int.bevételek RM II'!J12</f>
        <v>0</v>
      </c>
      <c r="I12" s="671"/>
      <c r="J12" s="671">
        <f t="shared" si="2"/>
        <v>0</v>
      </c>
      <c r="K12" s="671">
        <f>'[4]int.bevételek RM II'!M12</f>
        <v>0</v>
      </c>
      <c r="L12" s="671"/>
      <c r="M12" s="671">
        <f t="shared" si="3"/>
        <v>0</v>
      </c>
      <c r="N12" s="672">
        <f t="shared" si="4"/>
        <v>1288</v>
      </c>
      <c r="O12" s="672">
        <f t="shared" si="4"/>
        <v>425</v>
      </c>
      <c r="P12" s="672">
        <f t="shared" si="4"/>
        <v>1713</v>
      </c>
      <c r="Q12" s="673" t="s">
        <v>697</v>
      </c>
      <c r="R12" s="671">
        <f>'[4]int.bevételek RM II'!T12</f>
        <v>0</v>
      </c>
      <c r="S12" s="671"/>
      <c r="T12" s="671">
        <f t="shared" si="5"/>
        <v>0</v>
      </c>
      <c r="U12" s="671">
        <f>'[4]int.bevételek RM II'!W12</f>
        <v>0</v>
      </c>
      <c r="V12" s="671"/>
      <c r="W12" s="671">
        <f t="shared" ref="W12:W23" si="14">SUM(U12:V12)</f>
        <v>0</v>
      </c>
      <c r="X12" s="671">
        <f>'[4]int.bevételek RM II'!Z12</f>
        <v>0</v>
      </c>
      <c r="Y12" s="671"/>
      <c r="Z12" s="671">
        <f t="shared" si="6"/>
        <v>0</v>
      </c>
      <c r="AA12" s="672">
        <f t="shared" si="7"/>
        <v>0</v>
      </c>
      <c r="AB12" s="672">
        <f t="shared" si="7"/>
        <v>0</v>
      </c>
      <c r="AC12" s="672">
        <f t="shared" si="7"/>
        <v>0</v>
      </c>
      <c r="AD12" s="672">
        <f t="shared" si="12"/>
        <v>1288</v>
      </c>
      <c r="AE12" s="672">
        <f t="shared" si="12"/>
        <v>425</v>
      </c>
      <c r="AF12" s="672">
        <f t="shared" si="12"/>
        <v>1713</v>
      </c>
      <c r="AG12" s="673" t="s">
        <v>697</v>
      </c>
      <c r="AH12" s="671">
        <f>'[4]int.bevételek RM II'!AJ12</f>
        <v>511</v>
      </c>
      <c r="AI12" s="671"/>
      <c r="AJ12" s="671">
        <f t="shared" si="8"/>
        <v>511</v>
      </c>
      <c r="AK12" s="671">
        <f>'[4]int.bevételek RM II'!AM12</f>
        <v>179550</v>
      </c>
      <c r="AL12" s="671">
        <f>-336+724</f>
        <v>388</v>
      </c>
      <c r="AM12" s="671">
        <f t="shared" si="9"/>
        <v>179938</v>
      </c>
      <c r="AN12" s="671">
        <f>'[4]int.bevételek RM II'!AP12</f>
        <v>218</v>
      </c>
      <c r="AO12" s="671">
        <v>336</v>
      </c>
      <c r="AP12" s="671">
        <f t="shared" si="10"/>
        <v>554</v>
      </c>
      <c r="AQ12" s="672">
        <f t="shared" si="11"/>
        <v>179768</v>
      </c>
      <c r="AR12" s="672">
        <f t="shared" si="11"/>
        <v>724</v>
      </c>
      <c r="AS12" s="672">
        <f t="shared" si="11"/>
        <v>180492</v>
      </c>
      <c r="AT12" s="672">
        <f t="shared" si="13"/>
        <v>181567</v>
      </c>
      <c r="AU12" s="672">
        <f t="shared" si="13"/>
        <v>1149</v>
      </c>
      <c r="AV12" s="672">
        <f t="shared" si="13"/>
        <v>182716</v>
      </c>
    </row>
    <row r="13" spans="1:48" ht="48.75" customHeight="1" x14ac:dyDescent="0.7">
      <c r="A13" s="673" t="s">
        <v>698</v>
      </c>
      <c r="B13" s="671">
        <f>'[4]int.bevételek RM II'!D13</f>
        <v>1040</v>
      </c>
      <c r="C13" s="671">
        <v>202</v>
      </c>
      <c r="D13" s="671">
        <f t="shared" si="0"/>
        <v>1242</v>
      </c>
      <c r="E13" s="671">
        <f>'[4]int.bevételek RM II'!G13</f>
        <v>31</v>
      </c>
      <c r="F13" s="671"/>
      <c r="G13" s="671">
        <f t="shared" si="1"/>
        <v>31</v>
      </c>
      <c r="H13" s="671">
        <f>'[4]int.bevételek RM II'!J13</f>
        <v>0</v>
      </c>
      <c r="I13" s="671"/>
      <c r="J13" s="671">
        <f t="shared" si="2"/>
        <v>0</v>
      </c>
      <c r="K13" s="671">
        <f>'[4]int.bevételek RM II'!M13</f>
        <v>0</v>
      </c>
      <c r="L13" s="671"/>
      <c r="M13" s="671">
        <f t="shared" si="3"/>
        <v>0</v>
      </c>
      <c r="N13" s="672">
        <f t="shared" si="4"/>
        <v>1071</v>
      </c>
      <c r="O13" s="672">
        <f t="shared" si="4"/>
        <v>202</v>
      </c>
      <c r="P13" s="672">
        <f t="shared" si="4"/>
        <v>1273</v>
      </c>
      <c r="Q13" s="673" t="s">
        <v>698</v>
      </c>
      <c r="R13" s="671">
        <f>'[4]int.bevételek RM II'!T13</f>
        <v>0</v>
      </c>
      <c r="S13" s="671"/>
      <c r="T13" s="671">
        <f t="shared" si="5"/>
        <v>0</v>
      </c>
      <c r="U13" s="671">
        <f>'[4]int.bevételek RM II'!W13</f>
        <v>0</v>
      </c>
      <c r="V13" s="671"/>
      <c r="W13" s="671">
        <f t="shared" si="14"/>
        <v>0</v>
      </c>
      <c r="X13" s="671">
        <f>'[4]int.bevételek RM II'!Z13</f>
        <v>0</v>
      </c>
      <c r="Y13" s="671"/>
      <c r="Z13" s="671">
        <f t="shared" si="6"/>
        <v>0</v>
      </c>
      <c r="AA13" s="672">
        <f t="shared" si="7"/>
        <v>0</v>
      </c>
      <c r="AB13" s="672">
        <f t="shared" si="7"/>
        <v>0</v>
      </c>
      <c r="AC13" s="672">
        <f t="shared" si="7"/>
        <v>0</v>
      </c>
      <c r="AD13" s="672">
        <f t="shared" si="12"/>
        <v>1071</v>
      </c>
      <c r="AE13" s="672">
        <f t="shared" si="12"/>
        <v>202</v>
      </c>
      <c r="AF13" s="672">
        <f t="shared" si="12"/>
        <v>1273</v>
      </c>
      <c r="AG13" s="673" t="s">
        <v>698</v>
      </c>
      <c r="AH13" s="671">
        <f>'[4]int.bevételek RM II'!AJ13</f>
        <v>1065</v>
      </c>
      <c r="AI13" s="671"/>
      <c r="AJ13" s="671">
        <f t="shared" si="8"/>
        <v>1065</v>
      </c>
      <c r="AK13" s="671">
        <f>'[4]int.bevételek RM II'!AM13</f>
        <v>197578</v>
      </c>
      <c r="AL13" s="671">
        <v>3427</v>
      </c>
      <c r="AM13" s="671">
        <f t="shared" si="9"/>
        <v>201005</v>
      </c>
      <c r="AN13" s="671">
        <f>'[4]int.bevételek RM II'!AP13</f>
        <v>0</v>
      </c>
      <c r="AO13" s="671"/>
      <c r="AP13" s="671">
        <f t="shared" si="10"/>
        <v>0</v>
      </c>
      <c r="AQ13" s="672">
        <f t="shared" si="11"/>
        <v>197578</v>
      </c>
      <c r="AR13" s="672">
        <f t="shared" si="11"/>
        <v>3427</v>
      </c>
      <c r="AS13" s="672">
        <f t="shared" si="11"/>
        <v>201005</v>
      </c>
      <c r="AT13" s="672">
        <f t="shared" si="13"/>
        <v>199714</v>
      </c>
      <c r="AU13" s="672">
        <f t="shared" si="13"/>
        <v>3629</v>
      </c>
      <c r="AV13" s="672">
        <f t="shared" si="13"/>
        <v>203343</v>
      </c>
    </row>
    <row r="14" spans="1:48" ht="48.75" customHeight="1" x14ac:dyDescent="0.7">
      <c r="A14" s="673" t="s">
        <v>699</v>
      </c>
      <c r="B14" s="671">
        <f>'[4]int.bevételek RM II'!D14</f>
        <v>1043</v>
      </c>
      <c r="C14" s="671">
        <v>668</v>
      </c>
      <c r="D14" s="671">
        <f t="shared" si="0"/>
        <v>1711</v>
      </c>
      <c r="E14" s="671">
        <f>'[4]int.bevételek RM II'!G14</f>
        <v>120</v>
      </c>
      <c r="F14" s="671"/>
      <c r="G14" s="671">
        <f t="shared" si="1"/>
        <v>120</v>
      </c>
      <c r="H14" s="671">
        <f>'[4]int.bevételek RM II'!J14</f>
        <v>0</v>
      </c>
      <c r="I14" s="671"/>
      <c r="J14" s="671">
        <f t="shared" si="2"/>
        <v>0</v>
      </c>
      <c r="K14" s="671">
        <f>'[4]int.bevételek RM II'!M14</f>
        <v>0</v>
      </c>
      <c r="L14" s="671"/>
      <c r="M14" s="671">
        <f t="shared" si="3"/>
        <v>0</v>
      </c>
      <c r="N14" s="672">
        <f t="shared" si="4"/>
        <v>1163</v>
      </c>
      <c r="O14" s="672">
        <f t="shared" si="4"/>
        <v>668</v>
      </c>
      <c r="P14" s="672">
        <f t="shared" si="4"/>
        <v>1831</v>
      </c>
      <c r="Q14" s="673" t="s">
        <v>699</v>
      </c>
      <c r="R14" s="671">
        <f>'[4]int.bevételek RM II'!T14</f>
        <v>0</v>
      </c>
      <c r="S14" s="671"/>
      <c r="T14" s="671">
        <f t="shared" si="5"/>
        <v>0</v>
      </c>
      <c r="U14" s="671">
        <f>'[4]int.bevételek RM II'!W14</f>
        <v>0</v>
      </c>
      <c r="V14" s="671"/>
      <c r="W14" s="671">
        <f t="shared" si="14"/>
        <v>0</v>
      </c>
      <c r="X14" s="671">
        <f>'[4]int.bevételek RM II'!Z14</f>
        <v>0</v>
      </c>
      <c r="Y14" s="671"/>
      <c r="Z14" s="671">
        <f t="shared" si="6"/>
        <v>0</v>
      </c>
      <c r="AA14" s="672">
        <f t="shared" si="7"/>
        <v>0</v>
      </c>
      <c r="AB14" s="672">
        <f t="shared" si="7"/>
        <v>0</v>
      </c>
      <c r="AC14" s="672">
        <f t="shared" si="7"/>
        <v>0</v>
      </c>
      <c r="AD14" s="672">
        <f t="shared" si="12"/>
        <v>1163</v>
      </c>
      <c r="AE14" s="672">
        <f t="shared" si="12"/>
        <v>668</v>
      </c>
      <c r="AF14" s="672">
        <f t="shared" si="12"/>
        <v>1831</v>
      </c>
      <c r="AG14" s="673" t="s">
        <v>699</v>
      </c>
      <c r="AH14" s="671">
        <f>'[4]int.bevételek RM II'!AJ14</f>
        <v>3052</v>
      </c>
      <c r="AI14" s="671"/>
      <c r="AJ14" s="671">
        <f t="shared" si="8"/>
        <v>3052</v>
      </c>
      <c r="AK14" s="671">
        <f>'[4]int.bevételek RM II'!AM14</f>
        <v>194835</v>
      </c>
      <c r="AL14" s="671">
        <f>-686+267</f>
        <v>-419</v>
      </c>
      <c r="AM14" s="671">
        <f t="shared" si="9"/>
        <v>194416</v>
      </c>
      <c r="AN14" s="671">
        <f>'[4]int.bevételek RM II'!AP14</f>
        <v>460</v>
      </c>
      <c r="AO14" s="671">
        <v>686</v>
      </c>
      <c r="AP14" s="671">
        <f t="shared" si="10"/>
        <v>1146</v>
      </c>
      <c r="AQ14" s="672">
        <f t="shared" si="11"/>
        <v>195295</v>
      </c>
      <c r="AR14" s="672">
        <f t="shared" si="11"/>
        <v>267</v>
      </c>
      <c r="AS14" s="672">
        <f t="shared" si="11"/>
        <v>195562</v>
      </c>
      <c r="AT14" s="672">
        <f t="shared" si="13"/>
        <v>199510</v>
      </c>
      <c r="AU14" s="672">
        <f t="shared" si="13"/>
        <v>935</v>
      </c>
      <c r="AV14" s="672">
        <f t="shared" si="13"/>
        <v>200445</v>
      </c>
    </row>
    <row r="15" spans="1:48" ht="48.75" customHeight="1" x14ac:dyDescent="0.7">
      <c r="A15" s="673" t="s">
        <v>700</v>
      </c>
      <c r="B15" s="671">
        <f>'[4]int.bevételek RM II'!D15</f>
        <v>1392</v>
      </c>
      <c r="C15" s="671">
        <v>484</v>
      </c>
      <c r="D15" s="671">
        <f t="shared" si="0"/>
        <v>1876</v>
      </c>
      <c r="E15" s="671">
        <f>'[4]int.bevételek RM II'!G15</f>
        <v>38</v>
      </c>
      <c r="F15" s="671"/>
      <c r="G15" s="671">
        <f t="shared" si="1"/>
        <v>38</v>
      </c>
      <c r="H15" s="671">
        <f>'[4]int.bevételek RM II'!J15</f>
        <v>500</v>
      </c>
      <c r="I15" s="671">
        <v>554</v>
      </c>
      <c r="J15" s="671">
        <f t="shared" si="2"/>
        <v>1054</v>
      </c>
      <c r="K15" s="671">
        <f>'[4]int.bevételek RM II'!M15</f>
        <v>0</v>
      </c>
      <c r="L15" s="671"/>
      <c r="M15" s="671">
        <f t="shared" si="3"/>
        <v>0</v>
      </c>
      <c r="N15" s="672">
        <f t="shared" si="4"/>
        <v>1930</v>
      </c>
      <c r="O15" s="672">
        <f t="shared" si="4"/>
        <v>1038</v>
      </c>
      <c r="P15" s="672">
        <f t="shared" si="4"/>
        <v>2968</v>
      </c>
      <c r="Q15" s="673" t="s">
        <v>700</v>
      </c>
      <c r="R15" s="671">
        <f>'[4]int.bevételek RM II'!T15</f>
        <v>0</v>
      </c>
      <c r="S15" s="671"/>
      <c r="T15" s="671">
        <f t="shared" si="5"/>
        <v>0</v>
      </c>
      <c r="U15" s="671">
        <f>'[4]int.bevételek RM II'!W15</f>
        <v>0</v>
      </c>
      <c r="V15" s="671"/>
      <c r="W15" s="671">
        <f t="shared" si="14"/>
        <v>0</v>
      </c>
      <c r="X15" s="671">
        <f>'[4]int.bevételek RM II'!Z15</f>
        <v>0</v>
      </c>
      <c r="Y15" s="671"/>
      <c r="Z15" s="671">
        <f t="shared" si="6"/>
        <v>0</v>
      </c>
      <c r="AA15" s="672">
        <f t="shared" si="7"/>
        <v>0</v>
      </c>
      <c r="AB15" s="672">
        <f t="shared" si="7"/>
        <v>0</v>
      </c>
      <c r="AC15" s="672">
        <f t="shared" si="7"/>
        <v>0</v>
      </c>
      <c r="AD15" s="672">
        <f t="shared" si="12"/>
        <v>1930</v>
      </c>
      <c r="AE15" s="672">
        <f t="shared" si="12"/>
        <v>1038</v>
      </c>
      <c r="AF15" s="672">
        <f t="shared" si="12"/>
        <v>2968</v>
      </c>
      <c r="AG15" s="673" t="s">
        <v>700</v>
      </c>
      <c r="AH15" s="671">
        <f>'[4]int.bevételek RM II'!AJ15</f>
        <v>938</v>
      </c>
      <c r="AI15" s="671"/>
      <c r="AJ15" s="671">
        <f t="shared" si="8"/>
        <v>938</v>
      </c>
      <c r="AK15" s="671">
        <f>'[4]int.bevételek RM II'!AM15</f>
        <v>172220</v>
      </c>
      <c r="AL15" s="671">
        <f>-732+325</f>
        <v>-407</v>
      </c>
      <c r="AM15" s="671">
        <f t="shared" si="9"/>
        <v>171813</v>
      </c>
      <c r="AN15" s="671">
        <f>'[4]int.bevételek RM II'!AP15</f>
        <v>2594</v>
      </c>
      <c r="AO15" s="671">
        <v>732</v>
      </c>
      <c r="AP15" s="671">
        <f t="shared" si="10"/>
        <v>3326</v>
      </c>
      <c r="AQ15" s="672">
        <f t="shared" si="11"/>
        <v>174814</v>
      </c>
      <c r="AR15" s="672">
        <f t="shared" si="11"/>
        <v>325</v>
      </c>
      <c r="AS15" s="672">
        <f t="shared" si="11"/>
        <v>175139</v>
      </c>
      <c r="AT15" s="672">
        <f t="shared" si="13"/>
        <v>177682</v>
      </c>
      <c r="AU15" s="672">
        <f t="shared" si="13"/>
        <v>1363</v>
      </c>
      <c r="AV15" s="672">
        <f t="shared" si="13"/>
        <v>179045</v>
      </c>
    </row>
    <row r="16" spans="1:48" ht="48.75" customHeight="1" x14ac:dyDescent="0.7">
      <c r="A16" s="673" t="s">
        <v>701</v>
      </c>
      <c r="B16" s="671">
        <f>'[4]int.bevételek RM II'!D16</f>
        <v>1506</v>
      </c>
      <c r="C16" s="671">
        <v>937</v>
      </c>
      <c r="D16" s="671">
        <f t="shared" si="0"/>
        <v>2443</v>
      </c>
      <c r="E16" s="671">
        <f>'[4]int.bevételek RM II'!G16</f>
        <v>0</v>
      </c>
      <c r="F16" s="671"/>
      <c r="G16" s="671">
        <f t="shared" si="1"/>
        <v>0</v>
      </c>
      <c r="H16" s="671">
        <f>'[4]int.bevételek RM II'!J16</f>
        <v>0</v>
      </c>
      <c r="I16" s="671"/>
      <c r="J16" s="671">
        <f t="shared" si="2"/>
        <v>0</v>
      </c>
      <c r="K16" s="671">
        <f>'[4]int.bevételek RM II'!M16</f>
        <v>0</v>
      </c>
      <c r="L16" s="671"/>
      <c r="M16" s="671">
        <f t="shared" si="3"/>
        <v>0</v>
      </c>
      <c r="N16" s="672">
        <f t="shared" si="4"/>
        <v>1506</v>
      </c>
      <c r="O16" s="672">
        <f t="shared" si="4"/>
        <v>937</v>
      </c>
      <c r="P16" s="672">
        <f t="shared" si="4"/>
        <v>2443</v>
      </c>
      <c r="Q16" s="673" t="s">
        <v>702</v>
      </c>
      <c r="R16" s="671">
        <f>'[4]int.bevételek RM II'!T16</f>
        <v>0</v>
      </c>
      <c r="S16" s="671"/>
      <c r="T16" s="671">
        <f t="shared" si="5"/>
        <v>0</v>
      </c>
      <c r="U16" s="671">
        <f>'[4]int.bevételek RM II'!W16</f>
        <v>0</v>
      </c>
      <c r="V16" s="671"/>
      <c r="W16" s="671">
        <f t="shared" si="14"/>
        <v>0</v>
      </c>
      <c r="X16" s="671">
        <f>'[4]int.bevételek RM II'!Z16</f>
        <v>0</v>
      </c>
      <c r="Y16" s="671"/>
      <c r="Z16" s="671">
        <f t="shared" si="6"/>
        <v>0</v>
      </c>
      <c r="AA16" s="672">
        <f t="shared" si="7"/>
        <v>0</v>
      </c>
      <c r="AB16" s="672">
        <f t="shared" si="7"/>
        <v>0</v>
      </c>
      <c r="AC16" s="672">
        <f t="shared" si="7"/>
        <v>0</v>
      </c>
      <c r="AD16" s="672">
        <f t="shared" si="12"/>
        <v>1506</v>
      </c>
      <c r="AE16" s="672">
        <f t="shared" si="12"/>
        <v>937</v>
      </c>
      <c r="AF16" s="672">
        <f t="shared" si="12"/>
        <v>2443</v>
      </c>
      <c r="AG16" s="673" t="s">
        <v>702</v>
      </c>
      <c r="AH16" s="671">
        <f>'[4]int.bevételek RM II'!AJ16</f>
        <v>644</v>
      </c>
      <c r="AI16" s="671"/>
      <c r="AJ16" s="671">
        <f t="shared" si="8"/>
        <v>644</v>
      </c>
      <c r="AK16" s="671">
        <f>'[4]int.bevételek RM II'!AM16</f>
        <v>135451</v>
      </c>
      <c r="AL16" s="671">
        <f>-122+1836</f>
        <v>1714</v>
      </c>
      <c r="AM16" s="671">
        <f t="shared" si="9"/>
        <v>137165</v>
      </c>
      <c r="AN16" s="671">
        <f>'[4]int.bevételek RM II'!AP16</f>
        <v>82</v>
      </c>
      <c r="AO16" s="671">
        <v>122</v>
      </c>
      <c r="AP16" s="671">
        <f t="shared" si="10"/>
        <v>204</v>
      </c>
      <c r="AQ16" s="672">
        <f t="shared" si="11"/>
        <v>135533</v>
      </c>
      <c r="AR16" s="672">
        <f t="shared" si="11"/>
        <v>1836</v>
      </c>
      <c r="AS16" s="672">
        <f t="shared" si="11"/>
        <v>137369</v>
      </c>
      <c r="AT16" s="672">
        <f t="shared" si="13"/>
        <v>137683</v>
      </c>
      <c r="AU16" s="672">
        <f t="shared" si="13"/>
        <v>2773</v>
      </c>
      <c r="AV16" s="672">
        <f t="shared" si="13"/>
        <v>140456</v>
      </c>
    </row>
    <row r="17" spans="1:48" ht="48.75" customHeight="1" x14ac:dyDescent="0.7">
      <c r="A17" s="673" t="s">
        <v>703</v>
      </c>
      <c r="B17" s="671">
        <f>'[4]int.bevételek RM II'!D17</f>
        <v>1041</v>
      </c>
      <c r="C17" s="671">
        <v>1199</v>
      </c>
      <c r="D17" s="671">
        <f t="shared" si="0"/>
        <v>2240</v>
      </c>
      <c r="E17" s="671">
        <f>'[4]int.bevételek RM II'!G17</f>
        <v>0</v>
      </c>
      <c r="F17" s="671"/>
      <c r="G17" s="671">
        <f t="shared" si="1"/>
        <v>0</v>
      </c>
      <c r="H17" s="671">
        <f>'[4]int.bevételek RM II'!J17</f>
        <v>0</v>
      </c>
      <c r="I17" s="671"/>
      <c r="J17" s="671">
        <f t="shared" si="2"/>
        <v>0</v>
      </c>
      <c r="K17" s="671">
        <f>'[4]int.bevételek RM II'!M17</f>
        <v>0</v>
      </c>
      <c r="L17" s="671"/>
      <c r="M17" s="671">
        <f t="shared" si="3"/>
        <v>0</v>
      </c>
      <c r="N17" s="672">
        <f t="shared" si="4"/>
        <v>1041</v>
      </c>
      <c r="O17" s="672">
        <f t="shared" si="4"/>
        <v>1199</v>
      </c>
      <c r="P17" s="672">
        <f t="shared" si="4"/>
        <v>2240</v>
      </c>
      <c r="Q17" s="673" t="s">
        <v>703</v>
      </c>
      <c r="R17" s="671">
        <f>'[4]int.bevételek RM II'!T17</f>
        <v>0</v>
      </c>
      <c r="S17" s="671"/>
      <c r="T17" s="671">
        <f t="shared" si="5"/>
        <v>0</v>
      </c>
      <c r="U17" s="671">
        <f>'[4]int.bevételek RM II'!W17</f>
        <v>0</v>
      </c>
      <c r="V17" s="671"/>
      <c r="W17" s="671">
        <f t="shared" si="14"/>
        <v>0</v>
      </c>
      <c r="X17" s="671">
        <f>'[4]int.bevételek RM II'!Z17</f>
        <v>0</v>
      </c>
      <c r="Y17" s="671"/>
      <c r="Z17" s="671">
        <f t="shared" si="6"/>
        <v>0</v>
      </c>
      <c r="AA17" s="672">
        <f t="shared" si="7"/>
        <v>0</v>
      </c>
      <c r="AB17" s="672">
        <f t="shared" si="7"/>
        <v>0</v>
      </c>
      <c r="AC17" s="672">
        <f t="shared" si="7"/>
        <v>0</v>
      </c>
      <c r="AD17" s="672">
        <f t="shared" si="12"/>
        <v>1041</v>
      </c>
      <c r="AE17" s="672">
        <f t="shared" si="12"/>
        <v>1199</v>
      </c>
      <c r="AF17" s="672">
        <f t="shared" si="12"/>
        <v>2240</v>
      </c>
      <c r="AG17" s="673" t="s">
        <v>703</v>
      </c>
      <c r="AH17" s="671">
        <f>'[4]int.bevételek RM II'!AJ17</f>
        <v>573</v>
      </c>
      <c r="AI17" s="671"/>
      <c r="AJ17" s="671">
        <f t="shared" si="8"/>
        <v>573</v>
      </c>
      <c r="AK17" s="671">
        <f>'[4]int.bevételek RM II'!AM17</f>
        <v>146305</v>
      </c>
      <c r="AL17" s="671">
        <f>-2078+1942</f>
        <v>-136</v>
      </c>
      <c r="AM17" s="671">
        <f t="shared" si="9"/>
        <v>146169</v>
      </c>
      <c r="AN17" s="671">
        <f>'[4]int.bevételek RM II'!AP17</f>
        <v>1181</v>
      </c>
      <c r="AO17" s="671">
        <v>2078</v>
      </c>
      <c r="AP17" s="671">
        <f t="shared" si="10"/>
        <v>3259</v>
      </c>
      <c r="AQ17" s="672">
        <f t="shared" si="11"/>
        <v>147486</v>
      </c>
      <c r="AR17" s="672">
        <f t="shared" si="11"/>
        <v>1942</v>
      </c>
      <c r="AS17" s="672">
        <f t="shared" si="11"/>
        <v>149428</v>
      </c>
      <c r="AT17" s="672">
        <f t="shared" si="13"/>
        <v>149100</v>
      </c>
      <c r="AU17" s="672">
        <f t="shared" si="13"/>
        <v>3141</v>
      </c>
      <c r="AV17" s="672">
        <f t="shared" si="13"/>
        <v>152241</v>
      </c>
    </row>
    <row r="18" spans="1:48" ht="48.75" customHeight="1" x14ac:dyDescent="0.7">
      <c r="A18" s="673" t="s">
        <v>704</v>
      </c>
      <c r="B18" s="671">
        <f>'[4]int.bevételek RM II'!D18</f>
        <v>1180</v>
      </c>
      <c r="C18" s="671">
        <v>-408</v>
      </c>
      <c r="D18" s="671">
        <f t="shared" si="0"/>
        <v>772</v>
      </c>
      <c r="E18" s="671">
        <f>'[4]int.bevételek RM II'!G18</f>
        <v>21</v>
      </c>
      <c r="F18" s="671"/>
      <c r="G18" s="671">
        <f t="shared" si="1"/>
        <v>21</v>
      </c>
      <c r="H18" s="671">
        <f>'[4]int.bevételek RM II'!J18</f>
        <v>0</v>
      </c>
      <c r="I18" s="671"/>
      <c r="J18" s="671">
        <f t="shared" si="2"/>
        <v>0</v>
      </c>
      <c r="K18" s="671">
        <f>'[4]int.bevételek RM II'!M18</f>
        <v>0</v>
      </c>
      <c r="L18" s="671"/>
      <c r="M18" s="671">
        <f t="shared" si="3"/>
        <v>0</v>
      </c>
      <c r="N18" s="672">
        <f t="shared" si="4"/>
        <v>1201</v>
      </c>
      <c r="O18" s="672">
        <f t="shared" si="4"/>
        <v>-408</v>
      </c>
      <c r="P18" s="672">
        <f t="shared" si="4"/>
        <v>793</v>
      </c>
      <c r="Q18" s="673" t="s">
        <v>704</v>
      </c>
      <c r="R18" s="671">
        <f>'[4]int.bevételek RM II'!T18</f>
        <v>0</v>
      </c>
      <c r="S18" s="671"/>
      <c r="T18" s="671">
        <f t="shared" si="5"/>
        <v>0</v>
      </c>
      <c r="U18" s="671">
        <f>'[4]int.bevételek RM II'!W18</f>
        <v>0</v>
      </c>
      <c r="V18" s="671"/>
      <c r="W18" s="671">
        <f t="shared" si="14"/>
        <v>0</v>
      </c>
      <c r="X18" s="671">
        <f>'[4]int.bevételek RM II'!Z18</f>
        <v>0</v>
      </c>
      <c r="Y18" s="671"/>
      <c r="Z18" s="671">
        <f t="shared" si="6"/>
        <v>0</v>
      </c>
      <c r="AA18" s="672">
        <f t="shared" si="7"/>
        <v>0</v>
      </c>
      <c r="AB18" s="672">
        <f t="shared" si="7"/>
        <v>0</v>
      </c>
      <c r="AC18" s="672">
        <f t="shared" si="7"/>
        <v>0</v>
      </c>
      <c r="AD18" s="672">
        <f t="shared" si="12"/>
        <v>1201</v>
      </c>
      <c r="AE18" s="672">
        <f t="shared" si="12"/>
        <v>-408</v>
      </c>
      <c r="AF18" s="672">
        <f t="shared" si="12"/>
        <v>793</v>
      </c>
      <c r="AG18" s="673" t="s">
        <v>704</v>
      </c>
      <c r="AH18" s="671">
        <f>'[4]int.bevételek RM II'!AJ18</f>
        <v>781</v>
      </c>
      <c r="AI18" s="671"/>
      <c r="AJ18" s="671">
        <f t="shared" si="8"/>
        <v>781</v>
      </c>
      <c r="AK18" s="671">
        <f>'[4]int.bevételek RM II'!AM18</f>
        <v>189149</v>
      </c>
      <c r="AL18" s="671">
        <f>-10+4167</f>
        <v>4157</v>
      </c>
      <c r="AM18" s="671">
        <f t="shared" si="9"/>
        <v>193306</v>
      </c>
      <c r="AN18" s="671">
        <f>'[4]int.bevételek RM II'!AP18</f>
        <v>3452</v>
      </c>
      <c r="AO18" s="671">
        <v>10</v>
      </c>
      <c r="AP18" s="671">
        <f t="shared" si="10"/>
        <v>3462</v>
      </c>
      <c r="AQ18" s="672">
        <f t="shared" si="11"/>
        <v>192601</v>
      </c>
      <c r="AR18" s="672">
        <f t="shared" si="11"/>
        <v>4167</v>
      </c>
      <c r="AS18" s="672">
        <f t="shared" si="11"/>
        <v>196768</v>
      </c>
      <c r="AT18" s="672">
        <f t="shared" si="13"/>
        <v>194583</v>
      </c>
      <c r="AU18" s="672">
        <f t="shared" si="13"/>
        <v>3759</v>
      </c>
      <c r="AV18" s="672">
        <f t="shared" si="13"/>
        <v>198342</v>
      </c>
    </row>
    <row r="19" spans="1:48" ht="48.75" customHeight="1" x14ac:dyDescent="0.7">
      <c r="A19" s="673" t="s">
        <v>705</v>
      </c>
      <c r="B19" s="671">
        <f>'[4]int.bevételek RM II'!D19</f>
        <v>2835</v>
      </c>
      <c r="C19" s="671">
        <v>1742</v>
      </c>
      <c r="D19" s="671">
        <f t="shared" si="0"/>
        <v>4577</v>
      </c>
      <c r="E19" s="671">
        <f>'[4]int.bevételek RM II'!G19</f>
        <v>27</v>
      </c>
      <c r="F19" s="671"/>
      <c r="G19" s="671">
        <f t="shared" si="1"/>
        <v>27</v>
      </c>
      <c r="H19" s="671">
        <f>'[4]int.bevételek RM II'!J19</f>
        <v>0</v>
      </c>
      <c r="I19" s="671"/>
      <c r="J19" s="671">
        <f t="shared" si="2"/>
        <v>0</v>
      </c>
      <c r="K19" s="671">
        <f>'[4]int.bevételek RM II'!M19</f>
        <v>0</v>
      </c>
      <c r="L19" s="671"/>
      <c r="M19" s="671">
        <f t="shared" si="3"/>
        <v>0</v>
      </c>
      <c r="N19" s="672">
        <f t="shared" si="4"/>
        <v>2862</v>
      </c>
      <c r="O19" s="672">
        <f t="shared" si="4"/>
        <v>1742</v>
      </c>
      <c r="P19" s="672">
        <f t="shared" si="4"/>
        <v>4604</v>
      </c>
      <c r="Q19" s="673" t="s">
        <v>705</v>
      </c>
      <c r="R19" s="671">
        <f>'[4]int.bevételek RM II'!T19</f>
        <v>0</v>
      </c>
      <c r="S19" s="671"/>
      <c r="T19" s="671">
        <f t="shared" si="5"/>
        <v>0</v>
      </c>
      <c r="U19" s="671">
        <f>'[4]int.bevételek RM II'!W19</f>
        <v>0</v>
      </c>
      <c r="V19" s="671"/>
      <c r="W19" s="671">
        <f t="shared" si="14"/>
        <v>0</v>
      </c>
      <c r="X19" s="671">
        <f>'[4]int.bevételek RM II'!Z19</f>
        <v>0</v>
      </c>
      <c r="Y19" s="671"/>
      <c r="Z19" s="671">
        <f t="shared" si="6"/>
        <v>0</v>
      </c>
      <c r="AA19" s="672">
        <f t="shared" si="7"/>
        <v>0</v>
      </c>
      <c r="AB19" s="672">
        <f t="shared" si="7"/>
        <v>0</v>
      </c>
      <c r="AC19" s="672">
        <f t="shared" si="7"/>
        <v>0</v>
      </c>
      <c r="AD19" s="672">
        <f t="shared" si="12"/>
        <v>2862</v>
      </c>
      <c r="AE19" s="672">
        <f t="shared" si="12"/>
        <v>1742</v>
      </c>
      <c r="AF19" s="672">
        <f t="shared" si="12"/>
        <v>4604</v>
      </c>
      <c r="AG19" s="673" t="s">
        <v>705</v>
      </c>
      <c r="AH19" s="671">
        <f>'[4]int.bevételek RM II'!AJ19</f>
        <v>3197</v>
      </c>
      <c r="AI19" s="671"/>
      <c r="AJ19" s="671">
        <f t="shared" si="8"/>
        <v>3197</v>
      </c>
      <c r="AK19" s="671">
        <f>'[4]int.bevételek RM II'!AM19</f>
        <v>234705</v>
      </c>
      <c r="AL19" s="671">
        <f>-1283+9635</f>
        <v>8352</v>
      </c>
      <c r="AM19" s="671">
        <f t="shared" si="9"/>
        <v>243057</v>
      </c>
      <c r="AN19" s="671">
        <f>'[4]int.bevételek RM II'!AP19</f>
        <v>0</v>
      </c>
      <c r="AO19" s="671">
        <v>1283</v>
      </c>
      <c r="AP19" s="671">
        <f t="shared" si="10"/>
        <v>1283</v>
      </c>
      <c r="AQ19" s="672">
        <f t="shared" si="11"/>
        <v>234705</v>
      </c>
      <c r="AR19" s="672">
        <f t="shared" si="11"/>
        <v>9635</v>
      </c>
      <c r="AS19" s="672">
        <f t="shared" si="11"/>
        <v>244340</v>
      </c>
      <c r="AT19" s="672">
        <f t="shared" si="13"/>
        <v>240764</v>
      </c>
      <c r="AU19" s="672">
        <f t="shared" si="13"/>
        <v>11377</v>
      </c>
      <c r="AV19" s="672">
        <f t="shared" si="13"/>
        <v>252141</v>
      </c>
    </row>
    <row r="20" spans="1:48" ht="48.75" customHeight="1" x14ac:dyDescent="0.7">
      <c r="A20" s="673" t="s">
        <v>706</v>
      </c>
      <c r="B20" s="671">
        <f>'[4]int.bevételek RM II'!D20</f>
        <v>480</v>
      </c>
      <c r="C20" s="671">
        <v>407</v>
      </c>
      <c r="D20" s="671">
        <f t="shared" si="0"/>
        <v>887</v>
      </c>
      <c r="E20" s="671">
        <f>'[4]int.bevételek RM II'!G20</f>
        <v>0</v>
      </c>
      <c r="F20" s="671"/>
      <c r="G20" s="671">
        <f t="shared" si="1"/>
        <v>0</v>
      </c>
      <c r="H20" s="671">
        <f>'[4]int.bevételek RM II'!J20</f>
        <v>0</v>
      </c>
      <c r="I20" s="671"/>
      <c r="J20" s="671">
        <f t="shared" si="2"/>
        <v>0</v>
      </c>
      <c r="K20" s="671">
        <f>'[4]int.bevételek RM II'!M20</f>
        <v>0</v>
      </c>
      <c r="L20" s="671"/>
      <c r="M20" s="671">
        <f t="shared" si="3"/>
        <v>0</v>
      </c>
      <c r="N20" s="672">
        <f t="shared" si="4"/>
        <v>480</v>
      </c>
      <c r="O20" s="672">
        <f t="shared" si="4"/>
        <v>407</v>
      </c>
      <c r="P20" s="672">
        <f t="shared" si="4"/>
        <v>887</v>
      </c>
      <c r="Q20" s="673" t="s">
        <v>706</v>
      </c>
      <c r="R20" s="671">
        <f>'[4]int.bevételek RM II'!T20</f>
        <v>0</v>
      </c>
      <c r="S20" s="671"/>
      <c r="T20" s="671">
        <f t="shared" si="5"/>
        <v>0</v>
      </c>
      <c r="U20" s="671">
        <f>'[4]int.bevételek RM II'!W20</f>
        <v>0</v>
      </c>
      <c r="V20" s="671"/>
      <c r="W20" s="671">
        <f t="shared" si="14"/>
        <v>0</v>
      </c>
      <c r="X20" s="671">
        <f>'[4]int.bevételek RM II'!Z20</f>
        <v>0</v>
      </c>
      <c r="Y20" s="671"/>
      <c r="Z20" s="671">
        <f t="shared" si="6"/>
        <v>0</v>
      </c>
      <c r="AA20" s="672">
        <f t="shared" si="7"/>
        <v>0</v>
      </c>
      <c r="AB20" s="672">
        <f t="shared" si="7"/>
        <v>0</v>
      </c>
      <c r="AC20" s="672">
        <f t="shared" si="7"/>
        <v>0</v>
      </c>
      <c r="AD20" s="672">
        <f t="shared" si="12"/>
        <v>480</v>
      </c>
      <c r="AE20" s="672">
        <f t="shared" si="12"/>
        <v>407</v>
      </c>
      <c r="AF20" s="672">
        <f t="shared" si="12"/>
        <v>887</v>
      </c>
      <c r="AG20" s="673" t="s">
        <v>706</v>
      </c>
      <c r="AH20" s="671">
        <f>'[4]int.bevételek RM II'!AJ20</f>
        <v>455</v>
      </c>
      <c r="AI20" s="671"/>
      <c r="AJ20" s="671">
        <f t="shared" si="8"/>
        <v>455</v>
      </c>
      <c r="AK20" s="671">
        <f>'[4]int.bevételek RM II'!AM20</f>
        <v>120459</v>
      </c>
      <c r="AL20" s="671">
        <f>-2966+691</f>
        <v>-2275</v>
      </c>
      <c r="AM20" s="671">
        <f t="shared" si="9"/>
        <v>118184</v>
      </c>
      <c r="AN20" s="671">
        <f>'[4]int.bevételek RM II'!AP20</f>
        <v>334</v>
      </c>
      <c r="AO20" s="671">
        <v>2966</v>
      </c>
      <c r="AP20" s="671">
        <f t="shared" si="10"/>
        <v>3300</v>
      </c>
      <c r="AQ20" s="672">
        <f t="shared" si="11"/>
        <v>120793</v>
      </c>
      <c r="AR20" s="672">
        <f t="shared" si="11"/>
        <v>691</v>
      </c>
      <c r="AS20" s="672">
        <f t="shared" si="11"/>
        <v>121484</v>
      </c>
      <c r="AT20" s="672">
        <f t="shared" si="13"/>
        <v>121728</v>
      </c>
      <c r="AU20" s="672">
        <f t="shared" si="13"/>
        <v>1098</v>
      </c>
      <c r="AV20" s="672">
        <f t="shared" si="13"/>
        <v>122826</v>
      </c>
    </row>
    <row r="21" spans="1:48" ht="48.75" customHeight="1" x14ac:dyDescent="0.7">
      <c r="A21" s="673" t="s">
        <v>707</v>
      </c>
      <c r="B21" s="671">
        <f>'[4]int.bevételek RM II'!D21</f>
        <v>1070</v>
      </c>
      <c r="C21" s="671">
        <v>200</v>
      </c>
      <c r="D21" s="671">
        <f t="shared" si="0"/>
        <v>1270</v>
      </c>
      <c r="E21" s="671">
        <f>'[4]int.bevételek RM II'!G21</f>
        <v>0</v>
      </c>
      <c r="F21" s="671"/>
      <c r="G21" s="671">
        <f t="shared" si="1"/>
        <v>0</v>
      </c>
      <c r="H21" s="671">
        <f>'[4]int.bevételek RM II'!J21</f>
        <v>0</v>
      </c>
      <c r="I21" s="671"/>
      <c r="J21" s="671">
        <f t="shared" si="2"/>
        <v>0</v>
      </c>
      <c r="K21" s="671">
        <f>'[4]int.bevételek RM II'!M21</f>
        <v>0</v>
      </c>
      <c r="L21" s="671"/>
      <c r="M21" s="671">
        <f t="shared" si="3"/>
        <v>0</v>
      </c>
      <c r="N21" s="672">
        <f t="shared" si="4"/>
        <v>1070</v>
      </c>
      <c r="O21" s="672">
        <f t="shared" si="4"/>
        <v>200</v>
      </c>
      <c r="P21" s="672">
        <f t="shared" si="4"/>
        <v>1270</v>
      </c>
      <c r="Q21" s="673" t="s">
        <v>707</v>
      </c>
      <c r="R21" s="671">
        <f>'[4]int.bevételek RM II'!T21</f>
        <v>0</v>
      </c>
      <c r="S21" s="671"/>
      <c r="T21" s="671">
        <f t="shared" si="5"/>
        <v>0</v>
      </c>
      <c r="U21" s="671">
        <f>'[4]int.bevételek RM II'!W21</f>
        <v>0</v>
      </c>
      <c r="V21" s="671"/>
      <c r="W21" s="671">
        <f t="shared" si="14"/>
        <v>0</v>
      </c>
      <c r="X21" s="671">
        <f>'[4]int.bevételek RM II'!Z21</f>
        <v>0</v>
      </c>
      <c r="Y21" s="671"/>
      <c r="Z21" s="671">
        <f t="shared" si="6"/>
        <v>0</v>
      </c>
      <c r="AA21" s="672">
        <f t="shared" si="7"/>
        <v>0</v>
      </c>
      <c r="AB21" s="672">
        <f t="shared" si="7"/>
        <v>0</v>
      </c>
      <c r="AC21" s="672">
        <f t="shared" si="7"/>
        <v>0</v>
      </c>
      <c r="AD21" s="672">
        <f t="shared" si="12"/>
        <v>1070</v>
      </c>
      <c r="AE21" s="672">
        <f t="shared" si="12"/>
        <v>200</v>
      </c>
      <c r="AF21" s="672">
        <f t="shared" si="12"/>
        <v>1270</v>
      </c>
      <c r="AG21" s="673" t="s">
        <v>707</v>
      </c>
      <c r="AH21" s="671">
        <f>'[4]int.bevételek RM II'!AJ21</f>
        <v>1145</v>
      </c>
      <c r="AI21" s="671"/>
      <c r="AJ21" s="671">
        <f t="shared" si="8"/>
        <v>1145</v>
      </c>
      <c r="AK21" s="671">
        <f>'[4]int.bevételek RM II'!AM21</f>
        <v>115096</v>
      </c>
      <c r="AL21" s="671">
        <f>-192-1754</f>
        <v>-1946</v>
      </c>
      <c r="AM21" s="671">
        <f t="shared" si="9"/>
        <v>113150</v>
      </c>
      <c r="AN21" s="671">
        <f>'[4]int.bevételek RM II'!AP21</f>
        <v>250</v>
      </c>
      <c r="AO21" s="671">
        <v>192</v>
      </c>
      <c r="AP21" s="671">
        <f t="shared" si="10"/>
        <v>442</v>
      </c>
      <c r="AQ21" s="672">
        <f t="shared" si="11"/>
        <v>115346</v>
      </c>
      <c r="AR21" s="672">
        <f t="shared" si="11"/>
        <v>-1754</v>
      </c>
      <c r="AS21" s="672">
        <f t="shared" si="11"/>
        <v>113592</v>
      </c>
      <c r="AT21" s="672">
        <f t="shared" si="13"/>
        <v>117561</v>
      </c>
      <c r="AU21" s="672">
        <f t="shared" si="13"/>
        <v>-1554</v>
      </c>
      <c r="AV21" s="672">
        <f t="shared" si="13"/>
        <v>116007</v>
      </c>
    </row>
    <row r="22" spans="1:48" ht="48.75" customHeight="1" x14ac:dyDescent="0.7">
      <c r="A22" s="673" t="s">
        <v>708</v>
      </c>
      <c r="B22" s="671">
        <f>'[4]int.bevételek RM II'!D22</f>
        <v>1385</v>
      </c>
      <c r="C22" s="671">
        <v>360</v>
      </c>
      <c r="D22" s="671">
        <f t="shared" si="0"/>
        <v>1745</v>
      </c>
      <c r="E22" s="671">
        <f>'[4]int.bevételek RM II'!G22</f>
        <v>21</v>
      </c>
      <c r="F22" s="671"/>
      <c r="G22" s="671">
        <f t="shared" si="1"/>
        <v>21</v>
      </c>
      <c r="H22" s="671">
        <f>'[4]int.bevételek RM II'!J22</f>
        <v>0</v>
      </c>
      <c r="I22" s="671"/>
      <c r="J22" s="671">
        <f t="shared" si="2"/>
        <v>0</v>
      </c>
      <c r="K22" s="671">
        <f>'[4]int.bevételek RM II'!M22</f>
        <v>0</v>
      </c>
      <c r="L22" s="671"/>
      <c r="M22" s="671">
        <f t="shared" si="3"/>
        <v>0</v>
      </c>
      <c r="N22" s="672">
        <f t="shared" si="4"/>
        <v>1406</v>
      </c>
      <c r="O22" s="672">
        <f t="shared" si="4"/>
        <v>360</v>
      </c>
      <c r="P22" s="672">
        <f t="shared" si="4"/>
        <v>1766</v>
      </c>
      <c r="Q22" s="673" t="s">
        <v>708</v>
      </c>
      <c r="R22" s="671">
        <f>'[4]int.bevételek RM II'!T22</f>
        <v>0</v>
      </c>
      <c r="S22" s="671"/>
      <c r="T22" s="671">
        <f t="shared" si="5"/>
        <v>0</v>
      </c>
      <c r="U22" s="671">
        <f>'[4]int.bevételek RM II'!W22</f>
        <v>0</v>
      </c>
      <c r="V22" s="671"/>
      <c r="W22" s="671">
        <f t="shared" si="14"/>
        <v>0</v>
      </c>
      <c r="X22" s="671">
        <f>'[4]int.bevételek RM II'!Z22</f>
        <v>0</v>
      </c>
      <c r="Y22" s="671"/>
      <c r="Z22" s="671">
        <f t="shared" si="6"/>
        <v>0</v>
      </c>
      <c r="AA22" s="672">
        <f t="shared" si="7"/>
        <v>0</v>
      </c>
      <c r="AB22" s="672">
        <f t="shared" si="7"/>
        <v>0</v>
      </c>
      <c r="AC22" s="672">
        <f t="shared" si="7"/>
        <v>0</v>
      </c>
      <c r="AD22" s="672">
        <f t="shared" si="12"/>
        <v>1406</v>
      </c>
      <c r="AE22" s="672">
        <f t="shared" si="12"/>
        <v>360</v>
      </c>
      <c r="AF22" s="672">
        <f t="shared" si="12"/>
        <v>1766</v>
      </c>
      <c r="AG22" s="673" t="s">
        <v>708</v>
      </c>
      <c r="AH22" s="671">
        <f>'[4]int.bevételek RM II'!AJ22</f>
        <v>804</v>
      </c>
      <c r="AI22" s="671"/>
      <c r="AJ22" s="671">
        <f t="shared" si="8"/>
        <v>804</v>
      </c>
      <c r="AK22" s="671">
        <f>'[4]int.bevételek RM II'!AM22</f>
        <v>143933</v>
      </c>
      <c r="AL22" s="671">
        <f>-1205+2355</f>
        <v>1150</v>
      </c>
      <c r="AM22" s="671">
        <f t="shared" si="9"/>
        <v>145083</v>
      </c>
      <c r="AN22" s="671">
        <f>'[4]int.bevételek RM II'!AP22</f>
        <v>3116</v>
      </c>
      <c r="AO22" s="671">
        <v>1205</v>
      </c>
      <c r="AP22" s="671">
        <f t="shared" si="10"/>
        <v>4321</v>
      </c>
      <c r="AQ22" s="672">
        <f t="shared" si="11"/>
        <v>147049</v>
      </c>
      <c r="AR22" s="672">
        <f t="shared" si="11"/>
        <v>2355</v>
      </c>
      <c r="AS22" s="672">
        <f t="shared" si="11"/>
        <v>149404</v>
      </c>
      <c r="AT22" s="672">
        <f t="shared" si="13"/>
        <v>149259</v>
      </c>
      <c r="AU22" s="672">
        <f t="shared" si="13"/>
        <v>2715</v>
      </c>
      <c r="AV22" s="672">
        <f t="shared" si="13"/>
        <v>151974</v>
      </c>
    </row>
    <row r="23" spans="1:48" ht="48.75" customHeight="1" x14ac:dyDescent="0.7">
      <c r="A23" s="673" t="s">
        <v>709</v>
      </c>
      <c r="B23" s="671">
        <f>'[4]int.bevételek RM II'!D23</f>
        <v>720</v>
      </c>
      <c r="C23" s="671">
        <v>628</v>
      </c>
      <c r="D23" s="671">
        <f t="shared" si="0"/>
        <v>1348</v>
      </c>
      <c r="E23" s="671">
        <f>'[4]int.bevételek RM II'!G23</f>
        <v>24</v>
      </c>
      <c r="F23" s="671">
        <v>200</v>
      </c>
      <c r="G23" s="671">
        <f t="shared" si="1"/>
        <v>224</v>
      </c>
      <c r="H23" s="671">
        <f>'[4]int.bevételek RM II'!J23</f>
        <v>0</v>
      </c>
      <c r="I23" s="671"/>
      <c r="J23" s="671">
        <f t="shared" si="2"/>
        <v>0</v>
      </c>
      <c r="K23" s="671">
        <f>'[4]int.bevételek RM II'!M23</f>
        <v>0</v>
      </c>
      <c r="L23" s="671"/>
      <c r="M23" s="671">
        <f t="shared" si="3"/>
        <v>0</v>
      </c>
      <c r="N23" s="672">
        <f t="shared" si="4"/>
        <v>744</v>
      </c>
      <c r="O23" s="672">
        <f t="shared" si="4"/>
        <v>828</v>
      </c>
      <c r="P23" s="672">
        <f t="shared" si="4"/>
        <v>1572</v>
      </c>
      <c r="Q23" s="673" t="s">
        <v>709</v>
      </c>
      <c r="R23" s="671">
        <f>'[4]int.bevételek RM II'!T23</f>
        <v>0</v>
      </c>
      <c r="S23" s="671"/>
      <c r="T23" s="671">
        <f t="shared" si="5"/>
        <v>0</v>
      </c>
      <c r="U23" s="671">
        <f>'[4]int.bevételek RM II'!W23</f>
        <v>0</v>
      </c>
      <c r="V23" s="671"/>
      <c r="W23" s="671">
        <f t="shared" si="14"/>
        <v>0</v>
      </c>
      <c r="X23" s="671">
        <f>'[4]int.bevételek RM II'!Z23</f>
        <v>0</v>
      </c>
      <c r="Y23" s="671"/>
      <c r="Z23" s="671">
        <f t="shared" si="6"/>
        <v>0</v>
      </c>
      <c r="AA23" s="672">
        <f t="shared" si="7"/>
        <v>0</v>
      </c>
      <c r="AB23" s="672">
        <f t="shared" si="7"/>
        <v>0</v>
      </c>
      <c r="AC23" s="672">
        <f t="shared" si="7"/>
        <v>0</v>
      </c>
      <c r="AD23" s="672">
        <f t="shared" si="12"/>
        <v>744</v>
      </c>
      <c r="AE23" s="672">
        <f t="shared" si="12"/>
        <v>828</v>
      </c>
      <c r="AF23" s="672">
        <f t="shared" si="12"/>
        <v>1572</v>
      </c>
      <c r="AG23" s="673" t="s">
        <v>709</v>
      </c>
      <c r="AH23" s="671">
        <f>'[4]int.bevételek RM II'!AJ23</f>
        <v>1533</v>
      </c>
      <c r="AI23" s="671"/>
      <c r="AJ23" s="671">
        <f t="shared" si="8"/>
        <v>1533</v>
      </c>
      <c r="AK23" s="671">
        <f>'[4]int.bevételek RM II'!AM23</f>
        <v>156132</v>
      </c>
      <c r="AL23" s="671">
        <f>594+3002</f>
        <v>3596</v>
      </c>
      <c r="AM23" s="671">
        <f t="shared" si="9"/>
        <v>159728</v>
      </c>
      <c r="AN23" s="671">
        <f>'[4]int.bevételek RM II'!AP23</f>
        <v>6726</v>
      </c>
      <c r="AO23" s="671">
        <v>-594</v>
      </c>
      <c r="AP23" s="671">
        <f t="shared" si="10"/>
        <v>6132</v>
      </c>
      <c r="AQ23" s="672">
        <f t="shared" si="11"/>
        <v>162858</v>
      </c>
      <c r="AR23" s="672">
        <f t="shared" si="11"/>
        <v>3002</v>
      </c>
      <c r="AS23" s="672">
        <f t="shared" si="11"/>
        <v>165860</v>
      </c>
      <c r="AT23" s="672">
        <f t="shared" si="13"/>
        <v>165135</v>
      </c>
      <c r="AU23" s="672">
        <f t="shared" si="13"/>
        <v>3830</v>
      </c>
      <c r="AV23" s="672">
        <f t="shared" si="13"/>
        <v>168965</v>
      </c>
    </row>
    <row r="24" spans="1:48" ht="48.75" customHeight="1" x14ac:dyDescent="0.7">
      <c r="A24" s="673" t="s">
        <v>710</v>
      </c>
      <c r="B24" s="671">
        <f>'[4]int.bevételek RM II'!D24</f>
        <v>1290</v>
      </c>
      <c r="C24" s="671">
        <v>667</v>
      </c>
      <c r="D24" s="671">
        <f t="shared" si="0"/>
        <v>1957</v>
      </c>
      <c r="E24" s="671">
        <f>'[4]int.bevételek RM II'!G24</f>
        <v>0</v>
      </c>
      <c r="F24" s="671"/>
      <c r="G24" s="671">
        <f t="shared" si="1"/>
        <v>0</v>
      </c>
      <c r="H24" s="671">
        <f>'[4]int.bevételek RM II'!J24</f>
        <v>0</v>
      </c>
      <c r="I24" s="671"/>
      <c r="J24" s="671">
        <f t="shared" si="2"/>
        <v>0</v>
      </c>
      <c r="K24" s="671">
        <f>'[4]int.bevételek RM II'!M24</f>
        <v>0</v>
      </c>
      <c r="L24" s="671"/>
      <c r="M24" s="671">
        <f t="shared" si="3"/>
        <v>0</v>
      </c>
      <c r="N24" s="672">
        <f t="shared" si="4"/>
        <v>1290</v>
      </c>
      <c r="O24" s="672">
        <f t="shared" si="4"/>
        <v>667</v>
      </c>
      <c r="P24" s="672">
        <f t="shared" si="4"/>
        <v>1957</v>
      </c>
      <c r="Q24" s="673" t="s">
        <v>710</v>
      </c>
      <c r="R24" s="671">
        <f>'[4]int.bevételek RM II'!T24</f>
        <v>0</v>
      </c>
      <c r="S24" s="671"/>
      <c r="T24" s="671">
        <f t="shared" si="5"/>
        <v>0</v>
      </c>
      <c r="U24" s="671">
        <f>'[4]int.bevételek RM II'!W24</f>
        <v>0</v>
      </c>
      <c r="V24" s="671"/>
      <c r="W24" s="671">
        <f>SUM(U24:V24)</f>
        <v>0</v>
      </c>
      <c r="X24" s="671">
        <f>'[4]int.bevételek RM II'!Z24</f>
        <v>0</v>
      </c>
      <c r="Y24" s="671"/>
      <c r="Z24" s="671">
        <f t="shared" si="6"/>
        <v>0</v>
      </c>
      <c r="AA24" s="672">
        <f t="shared" si="7"/>
        <v>0</v>
      </c>
      <c r="AB24" s="672">
        <f t="shared" si="7"/>
        <v>0</v>
      </c>
      <c r="AC24" s="672">
        <f t="shared" si="7"/>
        <v>0</v>
      </c>
      <c r="AD24" s="672">
        <f t="shared" si="12"/>
        <v>1290</v>
      </c>
      <c r="AE24" s="672">
        <f t="shared" si="12"/>
        <v>667</v>
      </c>
      <c r="AF24" s="672">
        <f t="shared" si="12"/>
        <v>1957</v>
      </c>
      <c r="AG24" s="673" t="s">
        <v>710</v>
      </c>
      <c r="AH24" s="671">
        <f>'[4]int.bevételek RM II'!AJ24</f>
        <v>1207</v>
      </c>
      <c r="AI24" s="671"/>
      <c r="AJ24" s="671">
        <f t="shared" si="8"/>
        <v>1207</v>
      </c>
      <c r="AK24" s="671">
        <f>'[4]int.bevételek RM II'!AM24</f>
        <v>224424</v>
      </c>
      <c r="AL24" s="671">
        <f>8-1895</f>
        <v>-1887</v>
      </c>
      <c r="AM24" s="671">
        <f t="shared" si="9"/>
        <v>222537</v>
      </c>
      <c r="AN24" s="671">
        <f>'[4]int.bevételek RM II'!AP24</f>
        <v>3127</v>
      </c>
      <c r="AO24" s="671">
        <v>-8</v>
      </c>
      <c r="AP24" s="671">
        <f t="shared" si="10"/>
        <v>3119</v>
      </c>
      <c r="AQ24" s="672">
        <f t="shared" si="11"/>
        <v>227551</v>
      </c>
      <c r="AR24" s="672">
        <f t="shared" si="11"/>
        <v>-1895</v>
      </c>
      <c r="AS24" s="672">
        <f t="shared" si="11"/>
        <v>225656</v>
      </c>
      <c r="AT24" s="672">
        <f t="shared" si="13"/>
        <v>230048</v>
      </c>
      <c r="AU24" s="672">
        <f t="shared" si="13"/>
        <v>-1228</v>
      </c>
      <c r="AV24" s="672">
        <f t="shared" si="13"/>
        <v>228820</v>
      </c>
    </row>
    <row r="25" spans="1:48" ht="48.75" customHeight="1" x14ac:dyDescent="0.7">
      <c r="A25" s="673" t="s">
        <v>711</v>
      </c>
      <c r="B25" s="671">
        <f>'[4]int.bevételek RM II'!D25</f>
        <v>700</v>
      </c>
      <c r="C25" s="671">
        <v>-75</v>
      </c>
      <c r="D25" s="671">
        <f t="shared" si="0"/>
        <v>625</v>
      </c>
      <c r="E25" s="671">
        <f>'[4]int.bevételek RM II'!G25</f>
        <v>0</v>
      </c>
      <c r="F25" s="671"/>
      <c r="G25" s="671">
        <f t="shared" si="1"/>
        <v>0</v>
      </c>
      <c r="H25" s="671">
        <f>'[4]int.bevételek RM II'!J25</f>
        <v>0</v>
      </c>
      <c r="I25" s="671"/>
      <c r="J25" s="671">
        <f t="shared" si="2"/>
        <v>0</v>
      </c>
      <c r="K25" s="671">
        <f>'[4]int.bevételek RM II'!M25</f>
        <v>0</v>
      </c>
      <c r="L25" s="671"/>
      <c r="M25" s="671">
        <f t="shared" si="3"/>
        <v>0</v>
      </c>
      <c r="N25" s="672">
        <f t="shared" si="4"/>
        <v>700</v>
      </c>
      <c r="O25" s="672">
        <f t="shared" si="4"/>
        <v>-75</v>
      </c>
      <c r="P25" s="672">
        <f t="shared" si="4"/>
        <v>625</v>
      </c>
      <c r="Q25" s="673" t="s">
        <v>711</v>
      </c>
      <c r="R25" s="671">
        <f>'[4]int.bevételek RM II'!T25</f>
        <v>0</v>
      </c>
      <c r="S25" s="671"/>
      <c r="T25" s="671">
        <f t="shared" si="5"/>
        <v>0</v>
      </c>
      <c r="U25" s="671">
        <f>'[4]int.bevételek RM II'!W25</f>
        <v>0</v>
      </c>
      <c r="V25" s="671"/>
      <c r="W25" s="671">
        <f>SUM(U25:V25)</f>
        <v>0</v>
      </c>
      <c r="X25" s="671">
        <f>'[4]int.bevételek RM II'!Z25</f>
        <v>0</v>
      </c>
      <c r="Y25" s="671"/>
      <c r="Z25" s="671">
        <f t="shared" si="6"/>
        <v>0</v>
      </c>
      <c r="AA25" s="672">
        <f t="shared" si="7"/>
        <v>0</v>
      </c>
      <c r="AB25" s="672">
        <f t="shared" si="7"/>
        <v>0</v>
      </c>
      <c r="AC25" s="672">
        <f t="shared" si="7"/>
        <v>0</v>
      </c>
      <c r="AD25" s="672">
        <f t="shared" si="12"/>
        <v>700</v>
      </c>
      <c r="AE25" s="672">
        <f t="shared" si="12"/>
        <v>-75</v>
      </c>
      <c r="AF25" s="672">
        <f t="shared" si="12"/>
        <v>625</v>
      </c>
      <c r="AG25" s="673" t="s">
        <v>711</v>
      </c>
      <c r="AH25" s="671">
        <f>'[4]int.bevételek RM II'!AJ25</f>
        <v>1509</v>
      </c>
      <c r="AI25" s="671"/>
      <c r="AJ25" s="671">
        <f t="shared" si="8"/>
        <v>1509</v>
      </c>
      <c r="AK25" s="671">
        <f>'[4]int.bevételek RM II'!AM25</f>
        <v>179138</v>
      </c>
      <c r="AL25" s="671">
        <f>-608+718</f>
        <v>110</v>
      </c>
      <c r="AM25" s="671">
        <f t="shared" si="9"/>
        <v>179248</v>
      </c>
      <c r="AN25" s="671">
        <f>'[4]int.bevételek RM II'!AP25</f>
        <v>6078</v>
      </c>
      <c r="AO25" s="671">
        <v>608</v>
      </c>
      <c r="AP25" s="671">
        <f t="shared" si="10"/>
        <v>6686</v>
      </c>
      <c r="AQ25" s="672">
        <f t="shared" si="11"/>
        <v>185216</v>
      </c>
      <c r="AR25" s="672">
        <f t="shared" si="11"/>
        <v>718</v>
      </c>
      <c r="AS25" s="672">
        <f t="shared" si="11"/>
        <v>185934</v>
      </c>
      <c r="AT25" s="672">
        <f t="shared" si="13"/>
        <v>187425</v>
      </c>
      <c r="AU25" s="672">
        <f t="shared" si="13"/>
        <v>643</v>
      </c>
      <c r="AV25" s="672">
        <f t="shared" si="13"/>
        <v>188068</v>
      </c>
    </row>
    <row r="26" spans="1:48" ht="48.75" customHeight="1" x14ac:dyDescent="0.7">
      <c r="A26" s="670" t="s">
        <v>712</v>
      </c>
      <c r="B26" s="671">
        <f>'[4]int.bevételek RM II'!D26</f>
        <v>1421</v>
      </c>
      <c r="C26" s="671">
        <v>516</v>
      </c>
      <c r="D26" s="671">
        <f t="shared" si="0"/>
        <v>1937</v>
      </c>
      <c r="E26" s="671">
        <f>'[4]int.bevételek RM II'!G26</f>
        <v>0</v>
      </c>
      <c r="F26" s="671"/>
      <c r="G26" s="671">
        <f t="shared" si="1"/>
        <v>0</v>
      </c>
      <c r="H26" s="671">
        <f>'[4]int.bevételek RM II'!J26</f>
        <v>0</v>
      </c>
      <c r="I26" s="671"/>
      <c r="J26" s="671">
        <f t="shared" si="2"/>
        <v>0</v>
      </c>
      <c r="K26" s="671">
        <f>'[4]int.bevételek RM II'!M26</f>
        <v>0</v>
      </c>
      <c r="L26" s="671"/>
      <c r="M26" s="671">
        <f t="shared" si="3"/>
        <v>0</v>
      </c>
      <c r="N26" s="672">
        <f t="shared" si="4"/>
        <v>1421</v>
      </c>
      <c r="O26" s="672">
        <f t="shared" si="4"/>
        <v>516</v>
      </c>
      <c r="P26" s="672">
        <f t="shared" si="4"/>
        <v>1937</v>
      </c>
      <c r="Q26" s="670" t="s">
        <v>712</v>
      </c>
      <c r="R26" s="671">
        <f>'[4]int.bevételek RM II'!T26</f>
        <v>0</v>
      </c>
      <c r="S26" s="671"/>
      <c r="T26" s="671">
        <f t="shared" si="5"/>
        <v>0</v>
      </c>
      <c r="U26" s="671">
        <f>'[4]int.bevételek RM II'!W26</f>
        <v>0</v>
      </c>
      <c r="V26" s="671"/>
      <c r="W26" s="671">
        <f>SUM(U26:V26)</f>
        <v>0</v>
      </c>
      <c r="X26" s="671">
        <f>'[4]int.bevételek RM II'!Z26</f>
        <v>0</v>
      </c>
      <c r="Y26" s="671"/>
      <c r="Z26" s="671">
        <f t="shared" si="6"/>
        <v>0</v>
      </c>
      <c r="AA26" s="672">
        <f t="shared" si="7"/>
        <v>0</v>
      </c>
      <c r="AB26" s="672">
        <f t="shared" si="7"/>
        <v>0</v>
      </c>
      <c r="AC26" s="672">
        <f t="shared" si="7"/>
        <v>0</v>
      </c>
      <c r="AD26" s="672">
        <f t="shared" si="12"/>
        <v>1421</v>
      </c>
      <c r="AE26" s="672">
        <f t="shared" si="12"/>
        <v>516</v>
      </c>
      <c r="AF26" s="672">
        <f t="shared" si="12"/>
        <v>1937</v>
      </c>
      <c r="AG26" s="670" t="s">
        <v>712</v>
      </c>
      <c r="AH26" s="671">
        <f>'[4]int.bevételek RM II'!AJ26</f>
        <v>2048</v>
      </c>
      <c r="AI26" s="671"/>
      <c r="AJ26" s="671">
        <f t="shared" si="8"/>
        <v>2048</v>
      </c>
      <c r="AK26" s="671">
        <f>'[4]int.bevételek RM II'!AM26</f>
        <v>128509</v>
      </c>
      <c r="AL26" s="671">
        <f>-772+4642</f>
        <v>3870</v>
      </c>
      <c r="AM26" s="671">
        <f t="shared" si="9"/>
        <v>132379</v>
      </c>
      <c r="AN26" s="671">
        <f>'[4]int.bevételek RM II'!AP26</f>
        <v>2509</v>
      </c>
      <c r="AO26" s="671">
        <v>772</v>
      </c>
      <c r="AP26" s="671">
        <f t="shared" si="10"/>
        <v>3281</v>
      </c>
      <c r="AQ26" s="672">
        <f t="shared" si="11"/>
        <v>131018</v>
      </c>
      <c r="AR26" s="672">
        <f t="shared" si="11"/>
        <v>4642</v>
      </c>
      <c r="AS26" s="672">
        <f t="shared" si="11"/>
        <v>135660</v>
      </c>
      <c r="AT26" s="672">
        <f t="shared" si="13"/>
        <v>134487</v>
      </c>
      <c r="AU26" s="672">
        <f t="shared" si="13"/>
        <v>5158</v>
      </c>
      <c r="AV26" s="672">
        <f t="shared" si="13"/>
        <v>139645</v>
      </c>
    </row>
    <row r="27" spans="1:48" ht="48.75" customHeight="1" thickBot="1" x14ac:dyDescent="0.75">
      <c r="A27" s="674" t="s">
        <v>713</v>
      </c>
      <c r="B27" s="671">
        <f>'[4]int.bevételek RM II'!D27</f>
        <v>1120</v>
      </c>
      <c r="C27" s="675">
        <v>-102</v>
      </c>
      <c r="D27" s="675">
        <f t="shared" si="0"/>
        <v>1018</v>
      </c>
      <c r="E27" s="671">
        <f>'[4]int.bevételek RM II'!G27</f>
        <v>0</v>
      </c>
      <c r="F27" s="675"/>
      <c r="G27" s="675">
        <f t="shared" si="1"/>
        <v>0</v>
      </c>
      <c r="H27" s="675">
        <f>'[4]int.bevételek RM II'!J27</f>
        <v>0</v>
      </c>
      <c r="I27" s="675"/>
      <c r="J27" s="675">
        <f t="shared" si="2"/>
        <v>0</v>
      </c>
      <c r="K27" s="675">
        <f>'[4]int.bevételek RM II'!M27</f>
        <v>0</v>
      </c>
      <c r="L27" s="675"/>
      <c r="M27" s="671">
        <f t="shared" si="3"/>
        <v>0</v>
      </c>
      <c r="N27" s="672">
        <f t="shared" si="4"/>
        <v>1120</v>
      </c>
      <c r="O27" s="672">
        <f t="shared" si="4"/>
        <v>-102</v>
      </c>
      <c r="P27" s="672">
        <f t="shared" si="4"/>
        <v>1018</v>
      </c>
      <c r="Q27" s="674" t="s">
        <v>713</v>
      </c>
      <c r="R27" s="675">
        <f>'[4]int.bevételek RM II'!T27</f>
        <v>0</v>
      </c>
      <c r="S27" s="675"/>
      <c r="T27" s="675">
        <f t="shared" si="5"/>
        <v>0</v>
      </c>
      <c r="U27" s="675">
        <f>'[4]int.bevételek RM II'!W27</f>
        <v>0</v>
      </c>
      <c r="V27" s="675"/>
      <c r="W27" s="671">
        <f>SUM(U27:V27)</f>
        <v>0</v>
      </c>
      <c r="X27" s="675">
        <f>'[4]int.bevételek RM II'!Z27</f>
        <v>0</v>
      </c>
      <c r="Y27" s="675"/>
      <c r="Z27" s="675">
        <f t="shared" si="6"/>
        <v>0</v>
      </c>
      <c r="AA27" s="672">
        <f t="shared" si="7"/>
        <v>0</v>
      </c>
      <c r="AB27" s="672">
        <f t="shared" si="7"/>
        <v>0</v>
      </c>
      <c r="AC27" s="672">
        <f t="shared" si="7"/>
        <v>0</v>
      </c>
      <c r="AD27" s="676">
        <f t="shared" si="12"/>
        <v>1120</v>
      </c>
      <c r="AE27" s="676">
        <f t="shared" si="12"/>
        <v>-102</v>
      </c>
      <c r="AF27" s="676">
        <f t="shared" si="12"/>
        <v>1018</v>
      </c>
      <c r="AG27" s="674" t="s">
        <v>713</v>
      </c>
      <c r="AH27" s="675">
        <f>'[4]int.bevételek RM II'!AJ27</f>
        <v>785</v>
      </c>
      <c r="AI27" s="675"/>
      <c r="AJ27" s="675">
        <f t="shared" si="8"/>
        <v>785</v>
      </c>
      <c r="AK27" s="671">
        <f>'[4]int.bevételek RM II'!AM27</f>
        <v>95493</v>
      </c>
      <c r="AL27" s="675">
        <f>-854-1478</f>
        <v>-2332</v>
      </c>
      <c r="AM27" s="675">
        <f t="shared" si="9"/>
        <v>93161</v>
      </c>
      <c r="AN27" s="671">
        <f>'[4]int.bevételek RM II'!AP27</f>
        <v>19</v>
      </c>
      <c r="AO27" s="675">
        <v>854</v>
      </c>
      <c r="AP27" s="675">
        <f t="shared" si="10"/>
        <v>873</v>
      </c>
      <c r="AQ27" s="672">
        <f t="shared" si="11"/>
        <v>95512</v>
      </c>
      <c r="AR27" s="672">
        <f t="shared" si="11"/>
        <v>-1478</v>
      </c>
      <c r="AS27" s="672">
        <f t="shared" si="11"/>
        <v>94034</v>
      </c>
      <c r="AT27" s="672">
        <f t="shared" si="13"/>
        <v>97417</v>
      </c>
      <c r="AU27" s="672">
        <f t="shared" si="13"/>
        <v>-1580</v>
      </c>
      <c r="AV27" s="672">
        <f t="shared" si="13"/>
        <v>95837</v>
      </c>
    </row>
    <row r="28" spans="1:48" ht="57.75" customHeight="1" thickBot="1" x14ac:dyDescent="0.75">
      <c r="A28" s="677" t="s">
        <v>714</v>
      </c>
      <c r="B28" s="678">
        <f t="shared" ref="B28:P28" si="15">SUM(B10:B27)</f>
        <v>22839</v>
      </c>
      <c r="C28" s="678">
        <f t="shared" si="15"/>
        <v>8868</v>
      </c>
      <c r="D28" s="678">
        <f t="shared" si="15"/>
        <v>31707</v>
      </c>
      <c r="E28" s="678">
        <f t="shared" si="15"/>
        <v>345</v>
      </c>
      <c r="F28" s="678">
        <f t="shared" si="15"/>
        <v>400</v>
      </c>
      <c r="G28" s="678">
        <f t="shared" si="15"/>
        <v>745</v>
      </c>
      <c r="H28" s="678">
        <f t="shared" si="15"/>
        <v>500</v>
      </c>
      <c r="I28" s="678">
        <f t="shared" si="15"/>
        <v>554</v>
      </c>
      <c r="J28" s="678">
        <f t="shared" si="15"/>
        <v>1054</v>
      </c>
      <c r="K28" s="678">
        <f t="shared" si="15"/>
        <v>0</v>
      </c>
      <c r="L28" s="678">
        <f t="shared" si="15"/>
        <v>0</v>
      </c>
      <c r="M28" s="678">
        <f t="shared" si="15"/>
        <v>0</v>
      </c>
      <c r="N28" s="678">
        <f t="shared" si="15"/>
        <v>23684</v>
      </c>
      <c r="O28" s="678">
        <f t="shared" si="15"/>
        <v>9822</v>
      </c>
      <c r="P28" s="678">
        <f t="shared" si="15"/>
        <v>33506</v>
      </c>
      <c r="Q28" s="677" t="s">
        <v>714</v>
      </c>
      <c r="R28" s="678">
        <f t="shared" ref="R28:AC28" si="16">SUM(R10:R27)</f>
        <v>0</v>
      </c>
      <c r="S28" s="678">
        <f t="shared" si="16"/>
        <v>0</v>
      </c>
      <c r="T28" s="678">
        <f t="shared" si="16"/>
        <v>0</v>
      </c>
      <c r="U28" s="678">
        <f t="shared" si="16"/>
        <v>0</v>
      </c>
      <c r="V28" s="678">
        <f t="shared" si="16"/>
        <v>0</v>
      </c>
      <c r="W28" s="678">
        <f t="shared" si="16"/>
        <v>0</v>
      </c>
      <c r="X28" s="678">
        <f t="shared" si="16"/>
        <v>0</v>
      </c>
      <c r="Y28" s="678">
        <f t="shared" si="16"/>
        <v>0</v>
      </c>
      <c r="Z28" s="678">
        <f t="shared" si="16"/>
        <v>0</v>
      </c>
      <c r="AA28" s="678">
        <f t="shared" si="16"/>
        <v>0</v>
      </c>
      <c r="AB28" s="678">
        <f t="shared" si="16"/>
        <v>0</v>
      </c>
      <c r="AC28" s="678">
        <f t="shared" si="16"/>
        <v>0</v>
      </c>
      <c r="AD28" s="679">
        <f t="shared" si="12"/>
        <v>23684</v>
      </c>
      <c r="AE28" s="679">
        <f t="shared" si="12"/>
        <v>9822</v>
      </c>
      <c r="AF28" s="678">
        <f t="shared" si="12"/>
        <v>33506</v>
      </c>
      <c r="AG28" s="677" t="s">
        <v>714</v>
      </c>
      <c r="AH28" s="678">
        <f>SUM(AH10:AH27)</f>
        <v>24289</v>
      </c>
      <c r="AI28" s="678">
        <f>SUM(AI10:AI27)</f>
        <v>0</v>
      </c>
      <c r="AJ28" s="678">
        <f>SUM(AJ10:AJ27)</f>
        <v>24289</v>
      </c>
      <c r="AK28" s="678">
        <f t="shared" ref="AK28:AV28" si="17">SUM(AK10:AK27)</f>
        <v>3018798</v>
      </c>
      <c r="AL28" s="678">
        <f t="shared" si="17"/>
        <v>18934</v>
      </c>
      <c r="AM28" s="678">
        <f t="shared" si="17"/>
        <v>3037732</v>
      </c>
      <c r="AN28" s="678">
        <f t="shared" si="17"/>
        <v>33943</v>
      </c>
      <c r="AO28" s="678">
        <f t="shared" si="17"/>
        <v>11763</v>
      </c>
      <c r="AP28" s="678">
        <f t="shared" si="17"/>
        <v>45706</v>
      </c>
      <c r="AQ28" s="678">
        <f t="shared" si="17"/>
        <v>3052741</v>
      </c>
      <c r="AR28" s="678">
        <f t="shared" si="17"/>
        <v>30697</v>
      </c>
      <c r="AS28" s="678">
        <f t="shared" si="17"/>
        <v>3083438</v>
      </c>
      <c r="AT28" s="678">
        <f t="shared" si="17"/>
        <v>3100714</v>
      </c>
      <c r="AU28" s="678">
        <f t="shared" si="17"/>
        <v>40519</v>
      </c>
      <c r="AV28" s="678">
        <f t="shared" si="17"/>
        <v>3141233</v>
      </c>
    </row>
    <row r="29" spans="1:48" ht="63.75" customHeight="1" thickBot="1" x14ac:dyDescent="0.75">
      <c r="A29" s="680" t="s">
        <v>715</v>
      </c>
      <c r="B29" s="671">
        <f>'[4]int.bevételek RM II'!D29</f>
        <v>608901</v>
      </c>
      <c r="C29" s="681">
        <v>-32425</v>
      </c>
      <c r="D29" s="681">
        <f>SUM(B29:C29)</f>
        <v>576476</v>
      </c>
      <c r="E29" s="671">
        <f>'[4]int.bevételek RM II'!G29</f>
        <v>2971</v>
      </c>
      <c r="F29" s="681">
        <v>27</v>
      </c>
      <c r="G29" s="681">
        <f>SUM(E29:F29)</f>
        <v>2998</v>
      </c>
      <c r="H29" s="681">
        <f>'[4]int.bevételek RM II'!J29</f>
        <v>0</v>
      </c>
      <c r="I29" s="681"/>
      <c r="J29" s="681">
        <f>SUM(H29:I29)</f>
        <v>0</v>
      </c>
      <c r="K29" s="681">
        <f>'[4]int.bevételek RM II'!M29</f>
        <v>0</v>
      </c>
      <c r="L29" s="681"/>
      <c r="M29" s="681">
        <f>SUM(K29:L29)</f>
        <v>0</v>
      </c>
      <c r="N29" s="672">
        <f>B29+E29+H29+K29</f>
        <v>611872</v>
      </c>
      <c r="O29" s="672">
        <f>C29+F29+I29+L29</f>
        <v>-32398</v>
      </c>
      <c r="P29" s="672">
        <f>D29+G29+J29+M29</f>
        <v>579474</v>
      </c>
      <c r="Q29" s="680" t="s">
        <v>715</v>
      </c>
      <c r="R29" s="681">
        <f>'[4]int.bevételek RM II'!T29</f>
        <v>90</v>
      </c>
      <c r="S29" s="681">
        <v>70</v>
      </c>
      <c r="T29" s="681">
        <f>SUM(R29:S29)</f>
        <v>160</v>
      </c>
      <c r="U29" s="681">
        <f>'[4]int.bevételek RM II'!W29</f>
        <v>0</v>
      </c>
      <c r="V29" s="681"/>
      <c r="W29" s="681">
        <f>SUM(U29:V29)</f>
        <v>0</v>
      </c>
      <c r="X29" s="681">
        <f>'[4]int.bevételek RM II'!Z29</f>
        <v>0</v>
      </c>
      <c r="Y29" s="681"/>
      <c r="Z29" s="681">
        <f>SUM(X29:Y29)</f>
        <v>0</v>
      </c>
      <c r="AA29" s="672">
        <f>R29+U29+X29</f>
        <v>90</v>
      </c>
      <c r="AB29" s="672">
        <f>S29+V29+Y29</f>
        <v>70</v>
      </c>
      <c r="AC29" s="672">
        <f>T29+W29+Z29</f>
        <v>160</v>
      </c>
      <c r="AD29" s="682">
        <f t="shared" si="12"/>
        <v>611962</v>
      </c>
      <c r="AE29" s="682">
        <f t="shared" si="12"/>
        <v>-32328</v>
      </c>
      <c r="AF29" s="678">
        <f t="shared" si="12"/>
        <v>579634</v>
      </c>
      <c r="AG29" s="680" t="s">
        <v>715</v>
      </c>
      <c r="AH29" s="681">
        <f>'[4]int.bevételek RM II'!AJ29</f>
        <v>44709</v>
      </c>
      <c r="AI29" s="681"/>
      <c r="AJ29" s="681">
        <f>SUM(AH29:AI29)</f>
        <v>44709</v>
      </c>
      <c r="AK29" s="671">
        <f>'[4]int.bevételek RM II'!AM29</f>
        <v>1712558</v>
      </c>
      <c r="AL29" s="681">
        <f>8220-26917</f>
        <v>-18697</v>
      </c>
      <c r="AM29" s="681">
        <f>SUM(AK29:AL29)</f>
        <v>1693861</v>
      </c>
      <c r="AN29" s="671">
        <f>'[4]int.bevételek RM II'!AP29</f>
        <v>74822</v>
      </c>
      <c r="AO29" s="681">
        <f>-8220+28106</f>
        <v>19886</v>
      </c>
      <c r="AP29" s="681">
        <f>SUM(AN29:AO29)</f>
        <v>94708</v>
      </c>
      <c r="AQ29" s="672">
        <f>AK29+AN29</f>
        <v>1787380</v>
      </c>
      <c r="AR29" s="672">
        <f>AL29+AO29</f>
        <v>1189</v>
      </c>
      <c r="AS29" s="672">
        <f>AM29+AP29</f>
        <v>1788569</v>
      </c>
      <c r="AT29" s="672">
        <f>N29+AA29+AH29+AQ29</f>
        <v>2444051</v>
      </c>
      <c r="AU29" s="672">
        <f>O29+AB29+AI29+AR29</f>
        <v>-31139</v>
      </c>
      <c r="AV29" s="672">
        <f>P29+AC29+AJ29+AS29</f>
        <v>2412912</v>
      </c>
    </row>
    <row r="30" spans="1:48" ht="67.5" customHeight="1" thickBot="1" x14ac:dyDescent="0.75">
      <c r="A30" s="683" t="s">
        <v>716</v>
      </c>
      <c r="B30" s="678">
        <f t="shared" ref="B30:P30" si="18">B28+B29</f>
        <v>631740</v>
      </c>
      <c r="C30" s="678">
        <f t="shared" si="18"/>
        <v>-23557</v>
      </c>
      <c r="D30" s="678">
        <f t="shared" si="18"/>
        <v>608183</v>
      </c>
      <c r="E30" s="678">
        <f t="shared" si="18"/>
        <v>3316</v>
      </c>
      <c r="F30" s="678">
        <f t="shared" si="18"/>
        <v>427</v>
      </c>
      <c r="G30" s="678">
        <f t="shared" si="18"/>
        <v>3743</v>
      </c>
      <c r="H30" s="678">
        <f t="shared" si="18"/>
        <v>500</v>
      </c>
      <c r="I30" s="678">
        <f t="shared" si="18"/>
        <v>554</v>
      </c>
      <c r="J30" s="678">
        <f t="shared" si="18"/>
        <v>1054</v>
      </c>
      <c r="K30" s="678">
        <f t="shared" si="18"/>
        <v>0</v>
      </c>
      <c r="L30" s="678">
        <f t="shared" si="18"/>
        <v>0</v>
      </c>
      <c r="M30" s="678">
        <f t="shared" si="18"/>
        <v>0</v>
      </c>
      <c r="N30" s="678">
        <f t="shared" si="18"/>
        <v>635556</v>
      </c>
      <c r="O30" s="678">
        <f t="shared" si="18"/>
        <v>-22576</v>
      </c>
      <c r="P30" s="678">
        <f t="shared" si="18"/>
        <v>612980</v>
      </c>
      <c r="Q30" s="683" t="s">
        <v>716</v>
      </c>
      <c r="R30" s="678">
        <f t="shared" ref="R30:AC30" si="19">R28+R29</f>
        <v>90</v>
      </c>
      <c r="S30" s="678">
        <f t="shared" si="19"/>
        <v>70</v>
      </c>
      <c r="T30" s="678">
        <f t="shared" si="19"/>
        <v>160</v>
      </c>
      <c r="U30" s="678">
        <f t="shared" si="19"/>
        <v>0</v>
      </c>
      <c r="V30" s="678">
        <f t="shared" si="19"/>
        <v>0</v>
      </c>
      <c r="W30" s="678">
        <f t="shared" si="19"/>
        <v>0</v>
      </c>
      <c r="X30" s="678">
        <f t="shared" si="19"/>
        <v>0</v>
      </c>
      <c r="Y30" s="678">
        <f t="shared" si="19"/>
        <v>0</v>
      </c>
      <c r="Z30" s="678">
        <f t="shared" si="19"/>
        <v>0</v>
      </c>
      <c r="AA30" s="678">
        <f t="shared" si="19"/>
        <v>90</v>
      </c>
      <c r="AB30" s="678">
        <f t="shared" si="19"/>
        <v>70</v>
      </c>
      <c r="AC30" s="678">
        <f t="shared" si="19"/>
        <v>160</v>
      </c>
      <c r="AD30" s="679">
        <f t="shared" si="12"/>
        <v>635646</v>
      </c>
      <c r="AE30" s="679">
        <f t="shared" si="12"/>
        <v>-22506</v>
      </c>
      <c r="AF30" s="678">
        <f t="shared" si="12"/>
        <v>613140</v>
      </c>
      <c r="AG30" s="683" t="s">
        <v>716</v>
      </c>
      <c r="AH30" s="678">
        <f>AH28+AH29</f>
        <v>68998</v>
      </c>
      <c r="AI30" s="678">
        <f>AI28+AI29</f>
        <v>0</v>
      </c>
      <c r="AJ30" s="678">
        <f>AJ28+AJ29</f>
        <v>68998</v>
      </c>
      <c r="AK30" s="678">
        <f t="shared" ref="AK30:AV30" si="20">AK28+AK29</f>
        <v>4731356</v>
      </c>
      <c r="AL30" s="678">
        <f t="shared" si="20"/>
        <v>237</v>
      </c>
      <c r="AM30" s="678">
        <f t="shared" si="20"/>
        <v>4731593</v>
      </c>
      <c r="AN30" s="678">
        <f t="shared" si="20"/>
        <v>108765</v>
      </c>
      <c r="AO30" s="678">
        <f t="shared" si="20"/>
        <v>31649</v>
      </c>
      <c r="AP30" s="678">
        <f t="shared" si="20"/>
        <v>140414</v>
      </c>
      <c r="AQ30" s="678">
        <f t="shared" si="20"/>
        <v>4840121</v>
      </c>
      <c r="AR30" s="678">
        <f t="shared" si="20"/>
        <v>31886</v>
      </c>
      <c r="AS30" s="678">
        <f t="shared" si="20"/>
        <v>4872007</v>
      </c>
      <c r="AT30" s="678">
        <f t="shared" si="20"/>
        <v>5544765</v>
      </c>
      <c r="AU30" s="678">
        <f t="shared" si="20"/>
        <v>9380</v>
      </c>
      <c r="AV30" s="678">
        <f t="shared" si="20"/>
        <v>5554145</v>
      </c>
    </row>
    <row r="31" spans="1:48" ht="48.75" customHeight="1" x14ac:dyDescent="0.7">
      <c r="A31" s="667" t="s">
        <v>717</v>
      </c>
      <c r="B31" s="684"/>
      <c r="C31" s="668"/>
      <c r="D31" s="668"/>
      <c r="E31" s="668"/>
      <c r="F31" s="668"/>
      <c r="G31" s="668"/>
      <c r="H31" s="684"/>
      <c r="I31" s="684"/>
      <c r="J31" s="668"/>
      <c r="K31" s="684"/>
      <c r="L31" s="684"/>
      <c r="M31" s="668"/>
      <c r="N31" s="668"/>
      <c r="O31" s="668"/>
      <c r="P31" s="684"/>
      <c r="Q31" s="667" t="s">
        <v>717</v>
      </c>
      <c r="R31" s="684"/>
      <c r="S31" s="668"/>
      <c r="T31" s="668"/>
      <c r="U31" s="668"/>
      <c r="V31" s="668"/>
      <c r="W31" s="684"/>
      <c r="X31" s="684"/>
      <c r="Y31" s="668"/>
      <c r="Z31" s="668"/>
      <c r="AA31" s="684"/>
      <c r="AB31" s="668"/>
      <c r="AC31" s="684"/>
      <c r="AD31" s="684"/>
      <c r="AE31" s="684"/>
      <c r="AF31" s="684"/>
      <c r="AG31" s="685" t="s">
        <v>717</v>
      </c>
      <c r="AH31" s="668"/>
      <c r="AI31" s="684"/>
      <c r="AJ31" s="668"/>
      <c r="AK31" s="668"/>
      <c r="AL31" s="668"/>
      <c r="AM31" s="684"/>
      <c r="AN31" s="668"/>
      <c r="AO31" s="668"/>
      <c r="AP31" s="668"/>
      <c r="AQ31" s="684"/>
      <c r="AR31" s="684"/>
      <c r="AS31" s="684"/>
      <c r="AT31" s="668"/>
      <c r="AU31" s="668"/>
      <c r="AV31" s="684"/>
    </row>
    <row r="32" spans="1:48" ht="48.75" customHeight="1" x14ac:dyDescent="0.7">
      <c r="A32" s="686" t="s">
        <v>718</v>
      </c>
      <c r="B32" s="684"/>
      <c r="C32" s="684"/>
      <c r="D32" s="687"/>
      <c r="E32" s="684"/>
      <c r="F32" s="684"/>
      <c r="G32" s="684"/>
      <c r="H32" s="684"/>
      <c r="I32" s="684"/>
      <c r="J32" s="684"/>
      <c r="K32" s="684"/>
      <c r="L32" s="684"/>
      <c r="M32" s="684"/>
      <c r="N32" s="684"/>
      <c r="O32" s="684"/>
      <c r="P32" s="684"/>
      <c r="Q32" s="688" t="s">
        <v>718</v>
      </c>
      <c r="R32" s="684"/>
      <c r="S32" s="684"/>
      <c r="T32" s="684"/>
      <c r="U32" s="684"/>
      <c r="V32" s="684"/>
      <c r="W32" s="684"/>
      <c r="X32" s="684"/>
      <c r="Y32" s="684"/>
      <c r="Z32" s="684"/>
      <c r="AA32" s="684"/>
      <c r="AB32" s="684"/>
      <c r="AC32" s="684"/>
      <c r="AD32" s="684"/>
      <c r="AE32" s="684"/>
      <c r="AF32" s="684"/>
      <c r="AG32" s="688" t="s">
        <v>718</v>
      </c>
      <c r="AH32" s="684"/>
      <c r="AI32" s="684"/>
      <c r="AJ32" s="684"/>
      <c r="AK32" s="684"/>
      <c r="AL32" s="684"/>
      <c r="AM32" s="684"/>
      <c r="AN32" s="684"/>
      <c r="AO32" s="684"/>
      <c r="AP32" s="684"/>
      <c r="AQ32" s="684"/>
      <c r="AR32" s="684"/>
      <c r="AS32" s="684"/>
      <c r="AT32" s="684"/>
      <c r="AU32" s="684"/>
      <c r="AV32" s="684"/>
    </row>
    <row r="33" spans="1:48" ht="48.75" customHeight="1" x14ac:dyDescent="0.7">
      <c r="A33" s="689" t="s">
        <v>105</v>
      </c>
      <c r="B33" s="671">
        <f>'[4]int.bevételek RM II'!D33</f>
        <v>28471</v>
      </c>
      <c r="C33" s="671">
        <v>28408</v>
      </c>
      <c r="D33" s="671">
        <f>SUM(B33:C33)</f>
        <v>56879</v>
      </c>
      <c r="E33" s="671">
        <f>'[4]int.bevételek RM II'!G33</f>
        <v>0</v>
      </c>
      <c r="F33" s="671">
        <v>26495</v>
      </c>
      <c r="G33" s="671">
        <f>SUM(E33:F33)</f>
        <v>26495</v>
      </c>
      <c r="H33" s="671">
        <f>'[4]int.bevételek RM II'!J33</f>
        <v>0</v>
      </c>
      <c r="I33" s="671">
        <v>30</v>
      </c>
      <c r="J33" s="671">
        <f>SUM(H33:I33)</f>
        <v>30</v>
      </c>
      <c r="K33" s="675">
        <f>'[4]int.bevételek RM II'!M33</f>
        <v>0</v>
      </c>
      <c r="L33" s="675"/>
      <c r="M33" s="671">
        <f>SUM(K33:L33)</f>
        <v>0</v>
      </c>
      <c r="N33" s="672">
        <f t="shared" ref="N33:O36" si="21">B33+E33+H33+K33</f>
        <v>28471</v>
      </c>
      <c r="O33" s="672">
        <f t="shared" si="21"/>
        <v>54933</v>
      </c>
      <c r="P33" s="672">
        <f>D33+G33+J33+M33</f>
        <v>83404</v>
      </c>
      <c r="Q33" s="689" t="s">
        <v>105</v>
      </c>
      <c r="R33" s="671">
        <f>'[4]int.bevételek RM II'!T33</f>
        <v>0</v>
      </c>
      <c r="S33" s="671"/>
      <c r="T33" s="671">
        <f>SUM(R33:S33)</f>
        <v>0</v>
      </c>
      <c r="U33" s="671">
        <f>'[4]int.bevételek RM II'!W33</f>
        <v>0</v>
      </c>
      <c r="V33" s="671"/>
      <c r="W33" s="671">
        <f>SUM(U33:V33)</f>
        <v>0</v>
      </c>
      <c r="X33" s="671">
        <f>'[4]int.bevételek RM II'!Z33</f>
        <v>0</v>
      </c>
      <c r="Y33" s="671"/>
      <c r="Z33" s="671">
        <f>SUM(X33:Y33)</f>
        <v>0</v>
      </c>
      <c r="AA33" s="672">
        <f t="shared" ref="AA33:AC36" si="22">R33+U33+X33</f>
        <v>0</v>
      </c>
      <c r="AB33" s="672">
        <f t="shared" si="22"/>
        <v>0</v>
      </c>
      <c r="AC33" s="672">
        <f t="shared" si="22"/>
        <v>0</v>
      </c>
      <c r="AD33" s="672">
        <f t="shared" si="12"/>
        <v>28471</v>
      </c>
      <c r="AE33" s="672">
        <f t="shared" si="12"/>
        <v>54933</v>
      </c>
      <c r="AF33" s="672">
        <f t="shared" si="12"/>
        <v>83404</v>
      </c>
      <c r="AG33" s="689" t="s">
        <v>105</v>
      </c>
      <c r="AH33" s="671">
        <f>'[4]int.bevételek RM II'!AJ33</f>
        <v>24080</v>
      </c>
      <c r="AI33" s="671"/>
      <c r="AJ33" s="671">
        <f>SUM(AH33:AI33)</f>
        <v>24080</v>
      </c>
      <c r="AK33" s="671">
        <f>'[4]int.bevételek RM II'!AM33</f>
        <v>163130</v>
      </c>
      <c r="AL33" s="671">
        <f>-151+300</f>
        <v>149</v>
      </c>
      <c r="AM33" s="671">
        <f>SUM(AK33:AL33)</f>
        <v>163279</v>
      </c>
      <c r="AN33" s="671">
        <f>'[4]int.bevételek RM II'!AP33</f>
        <v>501</v>
      </c>
      <c r="AO33" s="675">
        <v>151</v>
      </c>
      <c r="AP33" s="671">
        <f>SUM(AN33:AO33)</f>
        <v>652</v>
      </c>
      <c r="AQ33" s="672">
        <f t="shared" ref="AQ33:AS36" si="23">AK33+AN33</f>
        <v>163631</v>
      </c>
      <c r="AR33" s="672">
        <f t="shared" si="23"/>
        <v>300</v>
      </c>
      <c r="AS33" s="672">
        <f t="shared" si="23"/>
        <v>163931</v>
      </c>
      <c r="AT33" s="672">
        <f t="shared" ref="AT33:AV36" si="24">N33+AA33+AH33+AQ33</f>
        <v>216182</v>
      </c>
      <c r="AU33" s="672">
        <f t="shared" si="24"/>
        <v>55233</v>
      </c>
      <c r="AV33" s="672">
        <f t="shared" si="24"/>
        <v>271415</v>
      </c>
    </row>
    <row r="34" spans="1:48" ht="48.75" customHeight="1" x14ac:dyDescent="0.7">
      <c r="A34" s="673" t="s">
        <v>719</v>
      </c>
      <c r="B34" s="671">
        <f>'[4]int.bevételek RM II'!D34</f>
        <v>102344</v>
      </c>
      <c r="C34" s="691">
        <v>28457</v>
      </c>
      <c r="D34" s="691">
        <f>SUM(B34:C34)</f>
        <v>130801</v>
      </c>
      <c r="E34" s="671">
        <f>'[4]int.bevételek RM II'!G34</f>
        <v>168734</v>
      </c>
      <c r="F34" s="691"/>
      <c r="G34" s="691">
        <f>SUM(E34:F34)</f>
        <v>168734</v>
      </c>
      <c r="H34" s="691">
        <f>'[4]int.bevételek RM II'!J34</f>
        <v>16337</v>
      </c>
      <c r="I34" s="691">
        <v>3674</v>
      </c>
      <c r="J34" s="691">
        <f>SUM(H34:I34)</f>
        <v>20011</v>
      </c>
      <c r="K34" s="691">
        <f>'[4]int.bevételek RM II'!M34</f>
        <v>0</v>
      </c>
      <c r="L34" s="691"/>
      <c r="M34" s="671">
        <f>SUM(K34:L34)</f>
        <v>0</v>
      </c>
      <c r="N34" s="672">
        <f t="shared" si="21"/>
        <v>287415</v>
      </c>
      <c r="O34" s="672">
        <f t="shared" si="21"/>
        <v>32131</v>
      </c>
      <c r="P34" s="672">
        <f>D34+G34+J34+M34</f>
        <v>319546</v>
      </c>
      <c r="Q34" s="673" t="s">
        <v>719</v>
      </c>
      <c r="R34" s="691">
        <f>'[4]int.bevételek RM II'!T34</f>
        <v>0</v>
      </c>
      <c r="S34" s="691">
        <v>10280</v>
      </c>
      <c r="T34" s="691">
        <f>SUM(R34:S34)</f>
        <v>10280</v>
      </c>
      <c r="U34" s="691">
        <f>'[4]int.bevételek RM II'!W34</f>
        <v>33000</v>
      </c>
      <c r="V34" s="691"/>
      <c r="W34" s="691">
        <f>SUM(U34:V34)</f>
        <v>33000</v>
      </c>
      <c r="X34" s="691">
        <f>'[4]int.bevételek RM II'!Z34</f>
        <v>0</v>
      </c>
      <c r="Y34" s="691"/>
      <c r="Z34" s="691">
        <f>SUM(X34:Y34)</f>
        <v>0</v>
      </c>
      <c r="AA34" s="672">
        <f t="shared" si="22"/>
        <v>33000</v>
      </c>
      <c r="AB34" s="672">
        <f t="shared" si="22"/>
        <v>10280</v>
      </c>
      <c r="AC34" s="672">
        <f t="shared" si="22"/>
        <v>43280</v>
      </c>
      <c r="AD34" s="672">
        <f t="shared" si="12"/>
        <v>320415</v>
      </c>
      <c r="AE34" s="672">
        <f t="shared" si="12"/>
        <v>42411</v>
      </c>
      <c r="AF34" s="672">
        <f t="shared" si="12"/>
        <v>362826</v>
      </c>
      <c r="AG34" s="673" t="s">
        <v>719</v>
      </c>
      <c r="AH34" s="671">
        <f>'[4]int.bevételek RM II'!AJ34</f>
        <v>218853</v>
      </c>
      <c r="AI34" s="671"/>
      <c r="AJ34" s="671">
        <f>SUM(AH34:AI34)</f>
        <v>218853</v>
      </c>
      <c r="AK34" s="671">
        <f>'[4]int.bevételek RM II'!AM34</f>
        <v>508414</v>
      </c>
      <c r="AL34" s="671"/>
      <c r="AM34" s="671">
        <f>SUM(AK34:AL34)</f>
        <v>508414</v>
      </c>
      <c r="AN34" s="671">
        <f>'[4]int.bevételek RM II'!AP34</f>
        <v>31282</v>
      </c>
      <c r="AO34" s="691"/>
      <c r="AP34" s="671">
        <f>SUM(AN34:AO34)</f>
        <v>31282</v>
      </c>
      <c r="AQ34" s="672">
        <f t="shared" si="23"/>
        <v>539696</v>
      </c>
      <c r="AR34" s="672">
        <f t="shared" si="23"/>
        <v>0</v>
      </c>
      <c r="AS34" s="672">
        <f t="shared" si="23"/>
        <v>539696</v>
      </c>
      <c r="AT34" s="672">
        <f t="shared" si="24"/>
        <v>1078964</v>
      </c>
      <c r="AU34" s="672">
        <f t="shared" si="24"/>
        <v>42411</v>
      </c>
      <c r="AV34" s="672">
        <f t="shared" si="24"/>
        <v>1121375</v>
      </c>
    </row>
    <row r="35" spans="1:48" ht="48.75" customHeight="1" x14ac:dyDescent="0.7">
      <c r="A35" s="673" t="s">
        <v>720</v>
      </c>
      <c r="B35" s="671">
        <f>'[4]int.bevételek RM II'!D35</f>
        <v>26100</v>
      </c>
      <c r="C35" s="691">
        <v>11757</v>
      </c>
      <c r="D35" s="691">
        <f>SUM(B35:C35)</f>
        <v>37857</v>
      </c>
      <c r="E35" s="671">
        <f>'[4]int.bevételek RM II'!G35</f>
        <v>5000</v>
      </c>
      <c r="F35" s="691">
        <v>12644</v>
      </c>
      <c r="G35" s="691">
        <f>SUM(E35:F35)</f>
        <v>17644</v>
      </c>
      <c r="H35" s="691">
        <f>'[4]int.bevételek RM II'!J35</f>
        <v>0</v>
      </c>
      <c r="I35" s="691"/>
      <c r="J35" s="691">
        <f>SUM(H35:I35)</f>
        <v>0</v>
      </c>
      <c r="K35" s="691">
        <f>'[4]int.bevételek RM II'!M35</f>
        <v>0</v>
      </c>
      <c r="L35" s="691"/>
      <c r="M35" s="671">
        <f>SUM(K35:L35)</f>
        <v>0</v>
      </c>
      <c r="N35" s="672">
        <f t="shared" si="21"/>
        <v>31100</v>
      </c>
      <c r="O35" s="672">
        <f t="shared" si="21"/>
        <v>24401</v>
      </c>
      <c r="P35" s="672">
        <f>D35+G35+J35+M35</f>
        <v>55501</v>
      </c>
      <c r="Q35" s="673" t="s">
        <v>720</v>
      </c>
      <c r="R35" s="691">
        <f>'[4]int.bevételek RM II'!T35</f>
        <v>0</v>
      </c>
      <c r="S35" s="691"/>
      <c r="T35" s="691">
        <f>SUM(R35:S35)</f>
        <v>0</v>
      </c>
      <c r="U35" s="691">
        <f>'[4]int.bevételek RM II'!W35</f>
        <v>0</v>
      </c>
      <c r="V35" s="691"/>
      <c r="W35" s="691">
        <f>SUM(U35:V35)</f>
        <v>0</v>
      </c>
      <c r="X35" s="691">
        <f>'[4]int.bevételek RM II'!Z35</f>
        <v>0</v>
      </c>
      <c r="Y35" s="691"/>
      <c r="Z35" s="691">
        <f>SUM(X35:Y35)</f>
        <v>0</v>
      </c>
      <c r="AA35" s="672">
        <f t="shared" si="22"/>
        <v>0</v>
      </c>
      <c r="AB35" s="672">
        <f t="shared" si="22"/>
        <v>0</v>
      </c>
      <c r="AC35" s="672">
        <f t="shared" si="22"/>
        <v>0</v>
      </c>
      <c r="AD35" s="672">
        <f t="shared" si="12"/>
        <v>31100</v>
      </c>
      <c r="AE35" s="672">
        <f t="shared" si="12"/>
        <v>24401</v>
      </c>
      <c r="AF35" s="672">
        <f t="shared" si="12"/>
        <v>55501</v>
      </c>
      <c r="AG35" s="673" t="s">
        <v>720</v>
      </c>
      <c r="AH35" s="691">
        <f>'[4]int.bevételek RM II'!AJ35</f>
        <v>30277</v>
      </c>
      <c r="AI35" s="691"/>
      <c r="AJ35" s="691">
        <f>SUM(AH35:AI35)</f>
        <v>30277</v>
      </c>
      <c r="AK35" s="671">
        <f>'[4]int.bevételek RM II'!AM35</f>
        <v>478715</v>
      </c>
      <c r="AL35" s="691">
        <f>-131+5112</f>
        <v>4981</v>
      </c>
      <c r="AM35" s="691">
        <f>SUM(AK35:AL35)</f>
        <v>483696</v>
      </c>
      <c r="AN35" s="671">
        <f>'[4]int.bevételek RM II'!AP35</f>
        <v>16311</v>
      </c>
      <c r="AO35" s="691">
        <f>131+600</f>
        <v>731</v>
      </c>
      <c r="AP35" s="691">
        <f>SUM(AN35:AO35)</f>
        <v>17042</v>
      </c>
      <c r="AQ35" s="672">
        <f t="shared" si="23"/>
        <v>495026</v>
      </c>
      <c r="AR35" s="672">
        <f t="shared" si="23"/>
        <v>5712</v>
      </c>
      <c r="AS35" s="672">
        <f t="shared" si="23"/>
        <v>500738</v>
      </c>
      <c r="AT35" s="672">
        <f t="shared" si="24"/>
        <v>556403</v>
      </c>
      <c r="AU35" s="672">
        <f t="shared" si="24"/>
        <v>30113</v>
      </c>
      <c r="AV35" s="672">
        <f t="shared" si="24"/>
        <v>586516</v>
      </c>
    </row>
    <row r="36" spans="1:48" ht="48.75" customHeight="1" thickBot="1" x14ac:dyDescent="0.75">
      <c r="A36" s="692" t="s">
        <v>617</v>
      </c>
      <c r="B36" s="671">
        <f>'[4]int.bevételek RM II'!D36</f>
        <v>154078</v>
      </c>
      <c r="C36" s="691"/>
      <c r="D36" s="691">
        <f>SUM(B36:C36)</f>
        <v>154078</v>
      </c>
      <c r="E36" s="671">
        <f>'[4]int.bevételek RM II'!G36</f>
        <v>9630</v>
      </c>
      <c r="F36" s="691">
        <v>104064</v>
      </c>
      <c r="G36" s="691">
        <f>SUM(E36:F36)</f>
        <v>113694</v>
      </c>
      <c r="H36" s="691">
        <f>'[4]int.bevételek RM II'!J36</f>
        <v>300</v>
      </c>
      <c r="I36" s="691"/>
      <c r="J36" s="691">
        <f>SUM(H36:I36)</f>
        <v>300</v>
      </c>
      <c r="K36" s="693">
        <f>'[4]int.bevételek RM II'!M36</f>
        <v>0</v>
      </c>
      <c r="L36" s="693"/>
      <c r="M36" s="671">
        <f>SUM(K36:L36)</f>
        <v>0</v>
      </c>
      <c r="N36" s="672">
        <f t="shared" si="21"/>
        <v>164008</v>
      </c>
      <c r="O36" s="672">
        <f t="shared" si="21"/>
        <v>104064</v>
      </c>
      <c r="P36" s="672">
        <f>D36+G36+J36+M36</f>
        <v>268072</v>
      </c>
      <c r="Q36" s="692" t="s">
        <v>617</v>
      </c>
      <c r="R36" s="691">
        <f>'[4]int.bevételek RM II'!T36</f>
        <v>0</v>
      </c>
      <c r="S36" s="691"/>
      <c r="T36" s="691">
        <f>SUM(R36:S36)</f>
        <v>0</v>
      </c>
      <c r="U36" s="691">
        <f>'[4]int.bevételek RM II'!W36</f>
        <v>1650</v>
      </c>
      <c r="V36" s="691">
        <v>5176</v>
      </c>
      <c r="W36" s="691">
        <f>SUM(U36:V36)</f>
        <v>6826</v>
      </c>
      <c r="X36" s="691">
        <f>'[4]int.bevételek RM II'!Z36</f>
        <v>0</v>
      </c>
      <c r="Y36" s="691"/>
      <c r="Z36" s="691">
        <f>SUM(X36:Y36)</f>
        <v>0</v>
      </c>
      <c r="AA36" s="672">
        <f t="shared" si="22"/>
        <v>1650</v>
      </c>
      <c r="AB36" s="672">
        <f t="shared" si="22"/>
        <v>5176</v>
      </c>
      <c r="AC36" s="672">
        <f t="shared" si="22"/>
        <v>6826</v>
      </c>
      <c r="AD36" s="684">
        <f t="shared" si="12"/>
        <v>165658</v>
      </c>
      <c r="AE36" s="684">
        <f t="shared" si="12"/>
        <v>109240</v>
      </c>
      <c r="AF36" s="684">
        <f t="shared" si="12"/>
        <v>274898</v>
      </c>
      <c r="AG36" s="692" t="s">
        <v>617</v>
      </c>
      <c r="AH36" s="691">
        <f>'[4]int.bevételek RM II'!AJ36</f>
        <v>24500</v>
      </c>
      <c r="AI36" s="691"/>
      <c r="AJ36" s="691">
        <f>SUM(AH36:AI36)</f>
        <v>24500</v>
      </c>
      <c r="AK36" s="671">
        <f>'[4]int.bevételek RM II'!AM36</f>
        <v>722039</v>
      </c>
      <c r="AL36" s="691"/>
      <c r="AM36" s="691">
        <f>SUM(AK36:AL36)</f>
        <v>722039</v>
      </c>
      <c r="AN36" s="671">
        <f>'[4]int.bevételek RM II'!AP36</f>
        <v>10745</v>
      </c>
      <c r="AO36" s="691"/>
      <c r="AP36" s="691">
        <f>SUM(AN36:AO36)</f>
        <v>10745</v>
      </c>
      <c r="AQ36" s="672">
        <f t="shared" si="23"/>
        <v>732784</v>
      </c>
      <c r="AR36" s="672">
        <f t="shared" si="23"/>
        <v>0</v>
      </c>
      <c r="AS36" s="672">
        <f t="shared" si="23"/>
        <v>732784</v>
      </c>
      <c r="AT36" s="672">
        <f t="shared" si="24"/>
        <v>922942</v>
      </c>
      <c r="AU36" s="672">
        <f t="shared" si="24"/>
        <v>109240</v>
      </c>
      <c r="AV36" s="672">
        <f t="shared" si="24"/>
        <v>1032182</v>
      </c>
    </row>
    <row r="37" spans="1:48" ht="61.5" customHeight="1" thickBot="1" x14ac:dyDescent="0.75">
      <c r="A37" s="694" t="s">
        <v>721</v>
      </c>
      <c r="B37" s="678">
        <f t="shared" ref="B37:P37" si="25">SUM(B33:B36)</f>
        <v>310993</v>
      </c>
      <c r="C37" s="678">
        <f t="shared" si="25"/>
        <v>68622</v>
      </c>
      <c r="D37" s="678">
        <f t="shared" si="25"/>
        <v>379615</v>
      </c>
      <c r="E37" s="678">
        <f t="shared" si="25"/>
        <v>183364</v>
      </c>
      <c r="F37" s="678">
        <f t="shared" si="25"/>
        <v>143203</v>
      </c>
      <c r="G37" s="678">
        <f t="shared" si="25"/>
        <v>326567</v>
      </c>
      <c r="H37" s="678">
        <f t="shared" si="25"/>
        <v>16637</v>
      </c>
      <c r="I37" s="678">
        <f t="shared" si="25"/>
        <v>3704</v>
      </c>
      <c r="J37" s="678">
        <f t="shared" si="25"/>
        <v>20341</v>
      </c>
      <c r="K37" s="678">
        <f t="shared" si="25"/>
        <v>0</v>
      </c>
      <c r="L37" s="678">
        <f t="shared" si="25"/>
        <v>0</v>
      </c>
      <c r="M37" s="678">
        <f t="shared" si="25"/>
        <v>0</v>
      </c>
      <c r="N37" s="678">
        <f t="shared" si="25"/>
        <v>510994</v>
      </c>
      <c r="O37" s="678">
        <f t="shared" si="25"/>
        <v>215529</v>
      </c>
      <c r="P37" s="678">
        <f t="shared" si="25"/>
        <v>726523</v>
      </c>
      <c r="Q37" s="694" t="s">
        <v>721</v>
      </c>
      <c r="R37" s="678">
        <f t="shared" ref="R37:AC37" si="26">SUM(R33:R36)</f>
        <v>0</v>
      </c>
      <c r="S37" s="678">
        <f t="shared" si="26"/>
        <v>10280</v>
      </c>
      <c r="T37" s="678">
        <f t="shared" si="26"/>
        <v>10280</v>
      </c>
      <c r="U37" s="678">
        <f t="shared" si="26"/>
        <v>34650</v>
      </c>
      <c r="V37" s="678">
        <f t="shared" si="26"/>
        <v>5176</v>
      </c>
      <c r="W37" s="678">
        <f t="shared" si="26"/>
        <v>39826</v>
      </c>
      <c r="X37" s="678">
        <f t="shared" si="26"/>
        <v>0</v>
      </c>
      <c r="Y37" s="678">
        <f t="shared" si="26"/>
        <v>0</v>
      </c>
      <c r="Z37" s="678">
        <f t="shared" si="26"/>
        <v>0</v>
      </c>
      <c r="AA37" s="678">
        <f t="shared" si="26"/>
        <v>34650</v>
      </c>
      <c r="AB37" s="678">
        <f t="shared" si="26"/>
        <v>15456</v>
      </c>
      <c r="AC37" s="678">
        <f t="shared" si="26"/>
        <v>50106</v>
      </c>
      <c r="AD37" s="678">
        <f t="shared" si="12"/>
        <v>545644</v>
      </c>
      <c r="AE37" s="678">
        <f t="shared" si="12"/>
        <v>230985</v>
      </c>
      <c r="AF37" s="678">
        <f t="shared" si="12"/>
        <v>776629</v>
      </c>
      <c r="AG37" s="694" t="s">
        <v>721</v>
      </c>
      <c r="AH37" s="678">
        <f t="shared" ref="AH37:AV37" si="27">SUM(AH33:AH36)</f>
        <v>297710</v>
      </c>
      <c r="AI37" s="678">
        <f t="shared" si="27"/>
        <v>0</v>
      </c>
      <c r="AJ37" s="678">
        <f t="shared" si="27"/>
        <v>297710</v>
      </c>
      <c r="AK37" s="678">
        <f t="shared" si="27"/>
        <v>1872298</v>
      </c>
      <c r="AL37" s="678">
        <f t="shared" si="27"/>
        <v>5130</v>
      </c>
      <c r="AM37" s="678">
        <f t="shared" si="27"/>
        <v>1877428</v>
      </c>
      <c r="AN37" s="678">
        <f t="shared" si="27"/>
        <v>58839</v>
      </c>
      <c r="AO37" s="678">
        <f t="shared" si="27"/>
        <v>882</v>
      </c>
      <c r="AP37" s="678">
        <f t="shared" si="27"/>
        <v>59721</v>
      </c>
      <c r="AQ37" s="678">
        <f t="shared" si="27"/>
        <v>1931137</v>
      </c>
      <c r="AR37" s="678">
        <f t="shared" si="27"/>
        <v>6012</v>
      </c>
      <c r="AS37" s="678">
        <f t="shared" si="27"/>
        <v>1937149</v>
      </c>
      <c r="AT37" s="678">
        <f t="shared" si="27"/>
        <v>2774491</v>
      </c>
      <c r="AU37" s="678">
        <f t="shared" si="27"/>
        <v>236997</v>
      </c>
      <c r="AV37" s="678">
        <f t="shared" si="27"/>
        <v>3011488</v>
      </c>
    </row>
    <row r="38" spans="1:48" ht="48" customHeight="1" x14ac:dyDescent="0.7">
      <c r="A38" s="695" t="s">
        <v>722</v>
      </c>
      <c r="B38" s="668"/>
      <c r="C38" s="668"/>
      <c r="D38" s="668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95" t="s">
        <v>722</v>
      </c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95" t="s">
        <v>722</v>
      </c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668"/>
      <c r="AS38" s="668"/>
      <c r="AT38" s="668"/>
      <c r="AU38" s="668"/>
      <c r="AV38" s="668"/>
    </row>
    <row r="39" spans="1:48" ht="93.75" thickBot="1" x14ac:dyDescent="0.75">
      <c r="A39" s="689" t="s">
        <v>551</v>
      </c>
      <c r="B39" s="671">
        <f>'[4]int.bevételek RM II'!D39</f>
        <v>216204</v>
      </c>
      <c r="C39" s="671">
        <v>12890</v>
      </c>
      <c r="D39" s="671">
        <f>SUM(B39:C39)</f>
        <v>229094</v>
      </c>
      <c r="E39" s="671">
        <f>'[4]int.bevételek RM II'!G39</f>
        <v>5604</v>
      </c>
      <c r="F39" s="671">
        <v>127</v>
      </c>
      <c r="G39" s="671">
        <f>SUM(E39:F39)</f>
        <v>5731</v>
      </c>
      <c r="H39" s="671">
        <f>'[4]int.bevételek RM II'!J39</f>
        <v>60</v>
      </c>
      <c r="I39" s="671">
        <v>377</v>
      </c>
      <c r="J39" s="671">
        <f>SUM(H39:I39)</f>
        <v>437</v>
      </c>
      <c r="K39" s="675">
        <f>'[4]int.bevételek RM II'!M39</f>
        <v>0</v>
      </c>
      <c r="L39" s="675"/>
      <c r="M39" s="675">
        <f>SUM(K39:L39)</f>
        <v>0</v>
      </c>
      <c r="N39" s="672">
        <f>B39+E39+H39+K39</f>
        <v>221868</v>
      </c>
      <c r="O39" s="672">
        <f>C39+F39+I39+L39</f>
        <v>13394</v>
      </c>
      <c r="P39" s="672">
        <f>D39+G39+J39+M39</f>
        <v>235262</v>
      </c>
      <c r="Q39" s="689" t="s">
        <v>551</v>
      </c>
      <c r="R39" s="671">
        <f>'[4]int.bevételek RM II'!T39</f>
        <v>0</v>
      </c>
      <c r="S39" s="671"/>
      <c r="T39" s="671">
        <f>SUM(R39:S39)</f>
        <v>0</v>
      </c>
      <c r="U39" s="671">
        <f>'[4]int.bevételek RM II'!W39</f>
        <v>0</v>
      </c>
      <c r="V39" s="671"/>
      <c r="W39" s="671">
        <f>SUM(U39:V39)</f>
        <v>0</v>
      </c>
      <c r="X39" s="671">
        <f>'[4]int.bevételek RM II'!Z39</f>
        <v>0</v>
      </c>
      <c r="Y39" s="671"/>
      <c r="Z39" s="671">
        <f>SUM(X39:Y39)</f>
        <v>0</v>
      </c>
      <c r="AA39" s="672">
        <f>R39+U39+X39</f>
        <v>0</v>
      </c>
      <c r="AB39" s="672">
        <f>S39+V39+Y39</f>
        <v>0</v>
      </c>
      <c r="AC39" s="672">
        <f>T39+W39+Z39</f>
        <v>0</v>
      </c>
      <c r="AD39" s="684">
        <f>N39+AA39</f>
        <v>221868</v>
      </c>
      <c r="AE39" s="684">
        <f>O39+AB39</f>
        <v>13394</v>
      </c>
      <c r="AF39" s="684">
        <f>P39+AC39</f>
        <v>235262</v>
      </c>
      <c r="AG39" s="689" t="s">
        <v>551</v>
      </c>
      <c r="AH39" s="696">
        <f>'[4]int.bevételek RM II'!AJ39</f>
        <v>1233</v>
      </c>
      <c r="AI39" s="696"/>
      <c r="AJ39" s="696">
        <f>SUM(AH39:AI39)</f>
        <v>1233</v>
      </c>
      <c r="AK39" s="671">
        <f>'[4]int.bevételek RM II'!AM39</f>
        <v>1577541</v>
      </c>
      <c r="AL39" s="675">
        <f>-23890+53644</f>
        <v>29754</v>
      </c>
      <c r="AM39" s="696">
        <f>SUM(AK39:AL39)</f>
        <v>1607295</v>
      </c>
      <c r="AN39" s="671">
        <f>'[4]int.bevételek RM II'!AP39</f>
        <v>85390</v>
      </c>
      <c r="AO39" s="675">
        <f>23890+600</f>
        <v>24490</v>
      </c>
      <c r="AP39" s="696">
        <f>SUM(AN39:AO39)</f>
        <v>109880</v>
      </c>
      <c r="AQ39" s="672">
        <f>AK39+AN39</f>
        <v>1662931</v>
      </c>
      <c r="AR39" s="672">
        <f>AL39+AO39</f>
        <v>54244</v>
      </c>
      <c r="AS39" s="672">
        <f>AM39+AP39</f>
        <v>1717175</v>
      </c>
      <c r="AT39" s="672">
        <f>N39+AA39+AH39+AQ39</f>
        <v>1886032</v>
      </c>
      <c r="AU39" s="672">
        <f>O39+AB39+AI39+AR39</f>
        <v>67638</v>
      </c>
      <c r="AV39" s="672">
        <f>P39+AC39+AJ39+AS39</f>
        <v>1953670</v>
      </c>
    </row>
    <row r="40" spans="1:48" ht="61.5" customHeight="1" x14ac:dyDescent="0.7">
      <c r="A40" s="695" t="s">
        <v>723</v>
      </c>
      <c r="B40" s="668"/>
      <c r="C40" s="668"/>
      <c r="D40" s="697"/>
      <c r="E40" s="668"/>
      <c r="F40" s="69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95" t="s">
        <v>723</v>
      </c>
      <c r="R40" s="668"/>
      <c r="S40" s="668"/>
      <c r="T40" s="668"/>
      <c r="U40" s="668"/>
      <c r="V40" s="668"/>
      <c r="W40" s="668"/>
      <c r="X40" s="668"/>
      <c r="Y40" s="668"/>
      <c r="Z40" s="668"/>
      <c r="AA40" s="668"/>
      <c r="AB40" s="668"/>
      <c r="AC40" s="668"/>
      <c r="AD40" s="668"/>
      <c r="AE40" s="668"/>
      <c r="AF40" s="668"/>
      <c r="AG40" s="695" t="s">
        <v>723</v>
      </c>
      <c r="AH40" s="668"/>
      <c r="AI40" s="668"/>
      <c r="AJ40" s="668"/>
      <c r="AK40" s="668"/>
      <c r="AL40" s="668"/>
      <c r="AM40" s="668"/>
      <c r="AN40" s="668"/>
      <c r="AO40" s="668"/>
      <c r="AP40" s="668"/>
      <c r="AQ40" s="668"/>
      <c r="AR40" s="668"/>
      <c r="AS40" s="668"/>
      <c r="AT40" s="668"/>
      <c r="AU40" s="668"/>
      <c r="AV40" s="668"/>
    </row>
    <row r="41" spans="1:48" ht="48.75" customHeight="1" thickBot="1" x14ac:dyDescent="0.75">
      <c r="A41" s="699" t="s">
        <v>724</v>
      </c>
      <c r="B41" s="696">
        <f>'[4]int.bevételek RM II'!D41</f>
        <v>47241</v>
      </c>
      <c r="C41" s="696">
        <v>2372</v>
      </c>
      <c r="D41" s="700">
        <f>SUM(B41:C41)</f>
        <v>49613</v>
      </c>
      <c r="E41" s="696">
        <f>'[4]int.bevételek RM II'!G41</f>
        <v>496554</v>
      </c>
      <c r="F41" s="701">
        <v>21125</v>
      </c>
      <c r="G41" s="696">
        <f>SUM(E41:F41)</f>
        <v>517679</v>
      </c>
      <c r="H41" s="696">
        <f>'[4]int.bevételek RM II'!J41</f>
        <v>0</v>
      </c>
      <c r="I41" s="696"/>
      <c r="J41" s="696">
        <f>SUM(H41:I41)</f>
        <v>0</v>
      </c>
      <c r="K41" s="696">
        <f>'[4]int.bevételek RM II'!M41</f>
        <v>0</v>
      </c>
      <c r="L41" s="696"/>
      <c r="M41" s="696">
        <f>SUM(K41:L41)</f>
        <v>0</v>
      </c>
      <c r="N41" s="690">
        <f>B41+E41+H41+K41</f>
        <v>543795</v>
      </c>
      <c r="O41" s="690">
        <f>C41+F41+I41+L41</f>
        <v>23497</v>
      </c>
      <c r="P41" s="690">
        <f>D41+G41+J41+M41</f>
        <v>567292</v>
      </c>
      <c r="Q41" s="702" t="s">
        <v>724</v>
      </c>
      <c r="R41" s="696">
        <f>'[4]int.bevételek RM II'!T41</f>
        <v>0</v>
      </c>
      <c r="S41" s="696">
        <v>22</v>
      </c>
      <c r="T41" s="696">
        <f>SUM(R41:S41)</f>
        <v>22</v>
      </c>
      <c r="U41" s="696">
        <f>'[4]int.bevételek RM II'!W41</f>
        <v>250</v>
      </c>
      <c r="V41" s="696"/>
      <c r="W41" s="696">
        <f>SUM(U41:V41)</f>
        <v>250</v>
      </c>
      <c r="X41" s="696">
        <f>'[4]int.bevételek RM II'!Z41</f>
        <v>0</v>
      </c>
      <c r="Y41" s="696"/>
      <c r="Z41" s="696"/>
      <c r="AA41" s="690">
        <f>R41+U41+X41</f>
        <v>250</v>
      </c>
      <c r="AB41" s="690">
        <f>S41+V41+Y41</f>
        <v>22</v>
      </c>
      <c r="AC41" s="690">
        <f>T41+W41+Z41</f>
        <v>272</v>
      </c>
      <c r="AD41" s="690">
        <f>N41+AA41</f>
        <v>544045</v>
      </c>
      <c r="AE41" s="690">
        <f>O41+AB41</f>
        <v>23519</v>
      </c>
      <c r="AF41" s="690">
        <f>P41+AC41</f>
        <v>567564</v>
      </c>
      <c r="AG41" s="702" t="s">
        <v>724</v>
      </c>
      <c r="AH41" s="696">
        <f>'[4]int.bevételek RM II'!AJ41</f>
        <v>120577</v>
      </c>
      <c r="AI41" s="696"/>
      <c r="AJ41" s="696">
        <f>SUM(AH41:AI41)</f>
        <v>120577</v>
      </c>
      <c r="AK41" s="696">
        <f>'[4]int.bevételek RM II'!AM41</f>
        <v>420661</v>
      </c>
      <c r="AL41" s="696"/>
      <c r="AM41" s="696">
        <f>SUM(AK41:AL41)</f>
        <v>420661</v>
      </c>
      <c r="AN41" s="696">
        <f>'[4]int.bevételek RM II'!AP41</f>
        <v>6131</v>
      </c>
      <c r="AO41" s="696"/>
      <c r="AP41" s="696">
        <f>SUM(AN41:AO41)</f>
        <v>6131</v>
      </c>
      <c r="AQ41" s="690">
        <f>AK41+AN41</f>
        <v>426792</v>
      </c>
      <c r="AR41" s="690">
        <f>AL41+AO41</f>
        <v>0</v>
      </c>
      <c r="AS41" s="690">
        <f>AM41+AP41</f>
        <v>426792</v>
      </c>
      <c r="AT41" s="690">
        <f>N41+AA41+AH41+AQ41</f>
        <v>1091414</v>
      </c>
      <c r="AU41" s="690">
        <f>O41+AB41+AI41+AR41</f>
        <v>23519</v>
      </c>
      <c r="AV41" s="690">
        <f>P41+AC41+AJ41+AS41</f>
        <v>1114933</v>
      </c>
    </row>
    <row r="42" spans="1:48" ht="48" customHeight="1" x14ac:dyDescent="0.7">
      <c r="A42" s="695" t="s">
        <v>725</v>
      </c>
      <c r="B42" s="684"/>
      <c r="C42" s="684"/>
      <c r="D42" s="703"/>
      <c r="E42" s="684"/>
      <c r="F42" s="687"/>
      <c r="G42" s="684"/>
      <c r="H42" s="684"/>
      <c r="I42" s="684"/>
      <c r="J42" s="684"/>
      <c r="K42" s="684"/>
      <c r="L42" s="684"/>
      <c r="M42" s="684"/>
      <c r="N42" s="684"/>
      <c r="O42" s="684"/>
      <c r="P42" s="684"/>
      <c r="Q42" s="688" t="s">
        <v>725</v>
      </c>
      <c r="R42" s="684"/>
      <c r="S42" s="684"/>
      <c r="T42" s="684"/>
      <c r="U42" s="684"/>
      <c r="V42" s="684"/>
      <c r="W42" s="684"/>
      <c r="X42" s="684"/>
      <c r="Y42" s="684"/>
      <c r="Z42" s="684"/>
      <c r="AA42" s="684"/>
      <c r="AB42" s="684"/>
      <c r="AC42" s="684"/>
      <c r="AD42" s="684"/>
      <c r="AE42" s="684"/>
      <c r="AF42" s="684"/>
      <c r="AG42" s="688" t="s">
        <v>725</v>
      </c>
      <c r="AH42" s="684"/>
      <c r="AI42" s="684"/>
      <c r="AJ42" s="684"/>
      <c r="AK42" s="684"/>
      <c r="AL42" s="684"/>
      <c r="AM42" s="684"/>
      <c r="AN42" s="684"/>
      <c r="AO42" s="684"/>
      <c r="AP42" s="684"/>
      <c r="AQ42" s="684"/>
      <c r="AR42" s="684"/>
      <c r="AS42" s="684"/>
      <c r="AT42" s="684"/>
      <c r="AU42" s="684"/>
      <c r="AV42" s="684"/>
    </row>
    <row r="43" spans="1:48" ht="48.75" customHeight="1" thickBot="1" x14ac:dyDescent="0.75">
      <c r="A43" s="704" t="s">
        <v>619</v>
      </c>
      <c r="B43" s="671">
        <f>'[4]int.bevételek RM II'!D43</f>
        <v>88796</v>
      </c>
      <c r="C43" s="675">
        <v>9096</v>
      </c>
      <c r="D43" s="675">
        <f>SUM(B43:C43)</f>
        <v>97892</v>
      </c>
      <c r="E43" s="671">
        <f>'[4]int.bevételek RM II'!G43</f>
        <v>19462</v>
      </c>
      <c r="F43" s="675">
        <v>6300</v>
      </c>
      <c r="G43" s="675">
        <f>SUM(E43:F43)</f>
        <v>25762</v>
      </c>
      <c r="H43" s="675">
        <f>'[4]int.bevételek RM II'!J43</f>
        <v>0</v>
      </c>
      <c r="I43" s="675"/>
      <c r="J43" s="671">
        <f>SUM(H43:I43)</f>
        <v>0</v>
      </c>
      <c r="K43" s="705">
        <f>'[4]int.bevételek RM II'!M43</f>
        <v>0</v>
      </c>
      <c r="L43" s="671"/>
      <c r="M43" s="671">
        <f>SUM(K43:L43)</f>
        <v>0</v>
      </c>
      <c r="N43" s="672">
        <f>B43+E43+H43+K43</f>
        <v>108258</v>
      </c>
      <c r="O43" s="672">
        <f>C43+F43+I43+L43</f>
        <v>15396</v>
      </c>
      <c r="P43" s="672">
        <f>D43+G43+J43+M43</f>
        <v>123654</v>
      </c>
      <c r="Q43" s="704" t="s">
        <v>619</v>
      </c>
      <c r="R43" s="675">
        <f>'[4]int.bevételek RM II'!T43</f>
        <v>0</v>
      </c>
      <c r="S43" s="675"/>
      <c r="T43" s="675">
        <f>SUM(R43:S43)</f>
        <v>0</v>
      </c>
      <c r="U43" s="675">
        <f>'[4]int.bevételek RM II'!W43</f>
        <v>0</v>
      </c>
      <c r="V43" s="675"/>
      <c r="W43" s="675">
        <f>SUM(U43:V43)</f>
        <v>0</v>
      </c>
      <c r="X43" s="675">
        <f>'[4]int.bevételek RM II'!Z43</f>
        <v>0</v>
      </c>
      <c r="Y43" s="675"/>
      <c r="Z43" s="696">
        <f>SUM(X43:Y43)</f>
        <v>0</v>
      </c>
      <c r="AA43" s="672">
        <f>R43+U43+X43</f>
        <v>0</v>
      </c>
      <c r="AB43" s="672">
        <f>S43+V43+Y43</f>
        <v>0</v>
      </c>
      <c r="AC43" s="672">
        <f>T43+W43+Z43</f>
        <v>0</v>
      </c>
      <c r="AD43" s="672">
        <f>N43+AA43</f>
        <v>108258</v>
      </c>
      <c r="AE43" s="672">
        <f>O43+AB43</f>
        <v>15396</v>
      </c>
      <c r="AF43" s="672">
        <f>P43+AC43</f>
        <v>123654</v>
      </c>
      <c r="AG43" s="704" t="s">
        <v>619</v>
      </c>
      <c r="AH43" s="675">
        <f>'[4]int.bevételek RM II'!AJ43</f>
        <v>1514</v>
      </c>
      <c r="AI43" s="675"/>
      <c r="AJ43" s="675">
        <f>SUM(AH43:AI43)</f>
        <v>1514</v>
      </c>
      <c r="AK43" s="671">
        <f>'[4]int.bevételek RM II'!AM43</f>
        <v>1655046</v>
      </c>
      <c r="AL43" s="671">
        <f>-9550+8503</f>
        <v>-1047</v>
      </c>
      <c r="AM43" s="675">
        <f>SUM(AK43:AL43)</f>
        <v>1653999</v>
      </c>
      <c r="AN43" s="671">
        <f>'[4]int.bevételek RM II'!AP43</f>
        <v>72614</v>
      </c>
      <c r="AO43" s="671">
        <f>9550+400</f>
        <v>9950</v>
      </c>
      <c r="AP43" s="675">
        <f>SUM(AN43:AO43)</f>
        <v>82564</v>
      </c>
      <c r="AQ43" s="672">
        <f>AK43+AN43</f>
        <v>1727660</v>
      </c>
      <c r="AR43" s="672">
        <f>AL43+AO43</f>
        <v>8903</v>
      </c>
      <c r="AS43" s="672">
        <f>AM43+AP43</f>
        <v>1736563</v>
      </c>
      <c r="AT43" s="672">
        <f>N43+AA43+AH43+AQ43</f>
        <v>1837432</v>
      </c>
      <c r="AU43" s="672">
        <f>O43+AB43+AI43+AR43</f>
        <v>24299</v>
      </c>
      <c r="AV43" s="672">
        <f>P43+AC43+AJ43+AS43</f>
        <v>1861731</v>
      </c>
    </row>
    <row r="44" spans="1:48" ht="48.75" customHeight="1" x14ac:dyDescent="0.7">
      <c r="A44" s="695" t="s">
        <v>726</v>
      </c>
      <c r="B44" s="668"/>
      <c r="C44" s="668"/>
      <c r="D44" s="668"/>
      <c r="E44" s="668"/>
      <c r="F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95" t="s">
        <v>726</v>
      </c>
      <c r="R44" s="668"/>
      <c r="S44" s="668"/>
      <c r="T44" s="668"/>
      <c r="U44" s="668"/>
      <c r="V44" s="668"/>
      <c r="W44" s="668"/>
      <c r="X44" s="668"/>
      <c r="Y44" s="668"/>
      <c r="Z44" s="684"/>
      <c r="AA44" s="668"/>
      <c r="AB44" s="668"/>
      <c r="AC44" s="668"/>
      <c r="AD44" s="668"/>
      <c r="AE44" s="668"/>
      <c r="AF44" s="668"/>
      <c r="AG44" s="695" t="s">
        <v>726</v>
      </c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668"/>
      <c r="AS44" s="668"/>
      <c r="AT44" s="668"/>
      <c r="AU44" s="668"/>
      <c r="AV44" s="668"/>
    </row>
    <row r="45" spans="1:48" ht="48.75" customHeight="1" x14ac:dyDescent="0.7">
      <c r="A45" s="670" t="s">
        <v>553</v>
      </c>
      <c r="B45" s="671">
        <f>'[4]int.bevételek RM II'!D45</f>
        <v>188823</v>
      </c>
      <c r="C45" s="671">
        <v>-3109</v>
      </c>
      <c r="D45" s="671">
        <f>SUM(B45:C45)</f>
        <v>185714</v>
      </c>
      <c r="E45" s="671">
        <f>'[4]int.bevételek RM II'!G45</f>
        <v>0</v>
      </c>
      <c r="F45" s="671"/>
      <c r="G45" s="671">
        <f>SUM(E45:F45)</f>
        <v>0</v>
      </c>
      <c r="H45" s="671">
        <f>'[4]int.bevételek RM II'!J45</f>
        <v>0</v>
      </c>
      <c r="I45" s="671"/>
      <c r="J45" s="671">
        <f>SUM(H45:I45)</f>
        <v>0</v>
      </c>
      <c r="K45" s="671">
        <f>'[4]int.bevételek RM II'!M45</f>
        <v>0</v>
      </c>
      <c r="L45" s="671"/>
      <c r="M45" s="671">
        <f>SUM(K45:L45)</f>
        <v>0</v>
      </c>
      <c r="N45" s="672">
        <f t="shared" ref="N45:P46" si="28">B45+E45+H45+K45</f>
        <v>188823</v>
      </c>
      <c r="O45" s="672">
        <f t="shared" si="28"/>
        <v>-3109</v>
      </c>
      <c r="P45" s="672">
        <f t="shared" si="28"/>
        <v>185714</v>
      </c>
      <c r="Q45" s="670" t="s">
        <v>553</v>
      </c>
      <c r="R45" s="671">
        <f>'[4]int.bevételek RM II'!T45</f>
        <v>0</v>
      </c>
      <c r="S45" s="671"/>
      <c r="T45" s="671">
        <f>SUM(R45:S45)</f>
        <v>0</v>
      </c>
      <c r="U45" s="671">
        <f>'[4]int.bevételek RM II'!W45</f>
        <v>0</v>
      </c>
      <c r="V45" s="671"/>
      <c r="W45" s="671">
        <f>SUM(U45:V45)</f>
        <v>0</v>
      </c>
      <c r="X45" s="671">
        <f>'[4]int.bevételek RM II'!Z45</f>
        <v>0</v>
      </c>
      <c r="Y45" s="671"/>
      <c r="Z45" s="675">
        <f>SUM(X45:Y45)</f>
        <v>0</v>
      </c>
      <c r="AA45" s="672">
        <f t="shared" ref="AA45:AC46" si="29">R45+U45+X45</f>
        <v>0</v>
      </c>
      <c r="AB45" s="672">
        <f t="shared" si="29"/>
        <v>0</v>
      </c>
      <c r="AC45" s="672">
        <f t="shared" si="29"/>
        <v>0</v>
      </c>
      <c r="AD45" s="672">
        <f t="shared" ref="AD45:AF47" si="30">N45+AA45</f>
        <v>188823</v>
      </c>
      <c r="AE45" s="672">
        <f t="shared" si="30"/>
        <v>-3109</v>
      </c>
      <c r="AF45" s="672">
        <f t="shared" si="30"/>
        <v>185714</v>
      </c>
      <c r="AG45" s="670" t="s">
        <v>553</v>
      </c>
      <c r="AH45" s="671">
        <f>'[4]int.bevételek RM II'!AJ45</f>
        <v>720</v>
      </c>
      <c r="AI45" s="671"/>
      <c r="AJ45" s="671">
        <f>SUM(AH45:AI45)</f>
        <v>720</v>
      </c>
      <c r="AK45" s="671">
        <f>'[4]int.bevételek RM II'!AM45</f>
        <v>34034</v>
      </c>
      <c r="AL45" s="671">
        <f>-4800+3000</f>
        <v>-1800</v>
      </c>
      <c r="AM45" s="671">
        <f>SUM(AK45:AL45)</f>
        <v>32234</v>
      </c>
      <c r="AN45" s="671">
        <f>'[4]int.bevételek RM II'!AP45</f>
        <v>8325</v>
      </c>
      <c r="AO45" s="671">
        <v>4800</v>
      </c>
      <c r="AP45" s="671">
        <f>SUM(AN45:AO45)</f>
        <v>13125</v>
      </c>
      <c r="AQ45" s="672">
        <f t="shared" ref="AQ45:AS46" si="31">AK45+AN45</f>
        <v>42359</v>
      </c>
      <c r="AR45" s="672">
        <f t="shared" si="31"/>
        <v>3000</v>
      </c>
      <c r="AS45" s="672">
        <f t="shared" si="31"/>
        <v>45359</v>
      </c>
      <c r="AT45" s="672">
        <f t="shared" ref="AT45:AV46" si="32">N45+AA45+AH45+AQ45</f>
        <v>231902</v>
      </c>
      <c r="AU45" s="672">
        <f t="shared" si="32"/>
        <v>-109</v>
      </c>
      <c r="AV45" s="672">
        <f t="shared" si="32"/>
        <v>231793</v>
      </c>
    </row>
    <row r="46" spans="1:48" s="710" customFormat="1" ht="49.5" customHeight="1" thickBot="1" x14ac:dyDescent="0.75">
      <c r="A46" s="706" t="s">
        <v>4</v>
      </c>
      <c r="B46" s="707">
        <f>'[4]int.bevételek RM II'!D46</f>
        <v>20238</v>
      </c>
      <c r="C46" s="707">
        <v>6744</v>
      </c>
      <c r="D46" s="707">
        <f>SUM(B46:C46)</f>
        <v>26982</v>
      </c>
      <c r="E46" s="707">
        <f>'[4]int.bevételek RM II'!G46</f>
        <v>48625</v>
      </c>
      <c r="F46" s="707">
        <v>810</v>
      </c>
      <c r="G46" s="708">
        <f>SUM(E46:F46)</f>
        <v>49435</v>
      </c>
      <c r="H46" s="707">
        <f>'[4]int.bevételek RM II'!J46</f>
        <v>0</v>
      </c>
      <c r="I46" s="708"/>
      <c r="J46" s="707">
        <f>SUM(H46:I46)</f>
        <v>0</v>
      </c>
      <c r="K46" s="708">
        <f>'[4]int.bevételek RM II'!M46</f>
        <v>1850</v>
      </c>
      <c r="L46" s="707"/>
      <c r="M46" s="708">
        <f>SUM(K46:L46)</f>
        <v>1850</v>
      </c>
      <c r="N46" s="676">
        <f t="shared" si="28"/>
        <v>70713</v>
      </c>
      <c r="O46" s="709">
        <f t="shared" si="28"/>
        <v>7554</v>
      </c>
      <c r="P46" s="676">
        <f t="shared" si="28"/>
        <v>78267</v>
      </c>
      <c r="Q46" s="706" t="s">
        <v>4</v>
      </c>
      <c r="R46" s="707">
        <f>'[4]int.bevételek RM II'!T46</f>
        <v>40</v>
      </c>
      <c r="S46" s="708">
        <v>1613</v>
      </c>
      <c r="T46" s="707">
        <f>SUM(R46:S46)</f>
        <v>1653</v>
      </c>
      <c r="U46" s="708">
        <f>'[4]int.bevételek RM II'!W46</f>
        <v>0</v>
      </c>
      <c r="V46" s="707"/>
      <c r="W46" s="708">
        <f>SUM(U46:V46)</f>
        <v>0</v>
      </c>
      <c r="X46" s="707">
        <f>'[4]int.bevételek RM II'!Z46</f>
        <v>0</v>
      </c>
      <c r="Y46" s="708"/>
      <c r="Z46" s="707">
        <f>SUM(X46:Y46)</f>
        <v>0</v>
      </c>
      <c r="AA46" s="709">
        <f t="shared" si="29"/>
        <v>40</v>
      </c>
      <c r="AB46" s="690">
        <f t="shared" si="29"/>
        <v>1613</v>
      </c>
      <c r="AC46" s="676">
        <f t="shared" si="29"/>
        <v>1653</v>
      </c>
      <c r="AD46" s="676">
        <f>N46+AA46</f>
        <v>70753</v>
      </c>
      <c r="AE46" s="676">
        <f>O46+AB46</f>
        <v>9167</v>
      </c>
      <c r="AF46" s="676">
        <f>P46+AC46</f>
        <v>79920</v>
      </c>
      <c r="AG46" s="706" t="s">
        <v>4</v>
      </c>
      <c r="AH46" s="708">
        <f>'[4]int.bevételek RM II'!AJ46</f>
        <v>7139</v>
      </c>
      <c r="AI46" s="707"/>
      <c r="AJ46" s="696">
        <f>SUM(AH46:AI46)</f>
        <v>7139</v>
      </c>
      <c r="AK46" s="708">
        <f>'[4]int.bevételek RM II'!AM46</f>
        <v>3165167</v>
      </c>
      <c r="AL46" s="707">
        <f>-741+27981</f>
        <v>27240</v>
      </c>
      <c r="AM46" s="708">
        <f>SUM(AK46:AL46)</f>
        <v>3192407</v>
      </c>
      <c r="AN46" s="707">
        <f>'[4]int.bevételek RM II'!AP46</f>
        <v>213194</v>
      </c>
      <c r="AO46" s="708">
        <v>741</v>
      </c>
      <c r="AP46" s="707">
        <f>SUM(AN46:AO46)</f>
        <v>213935</v>
      </c>
      <c r="AQ46" s="709">
        <f t="shared" si="31"/>
        <v>3378361</v>
      </c>
      <c r="AR46" s="676">
        <f t="shared" si="31"/>
        <v>27981</v>
      </c>
      <c r="AS46" s="709">
        <f t="shared" si="31"/>
        <v>3406342</v>
      </c>
      <c r="AT46" s="676">
        <f t="shared" si="32"/>
        <v>3456253</v>
      </c>
      <c r="AU46" s="709">
        <f t="shared" si="32"/>
        <v>37148</v>
      </c>
      <c r="AV46" s="676">
        <f t="shared" si="32"/>
        <v>3493401</v>
      </c>
    </row>
    <row r="47" spans="1:48" ht="61.5" customHeight="1" thickBot="1" x14ac:dyDescent="0.75">
      <c r="A47" s="711" t="s">
        <v>727</v>
      </c>
      <c r="B47" s="684">
        <f t="shared" ref="B47:P47" si="33">SUM(B45:B46)</f>
        <v>209061</v>
      </c>
      <c r="C47" s="684">
        <f t="shared" si="33"/>
        <v>3635</v>
      </c>
      <c r="D47" s="684">
        <f t="shared" si="33"/>
        <v>212696</v>
      </c>
      <c r="E47" s="684">
        <f t="shared" si="33"/>
        <v>48625</v>
      </c>
      <c r="F47" s="684">
        <f t="shared" si="33"/>
        <v>810</v>
      </c>
      <c r="G47" s="684">
        <f t="shared" si="33"/>
        <v>49435</v>
      </c>
      <c r="H47" s="684">
        <f t="shared" si="33"/>
        <v>0</v>
      </c>
      <c r="I47" s="684">
        <f t="shared" si="33"/>
        <v>0</v>
      </c>
      <c r="J47" s="684">
        <f t="shared" si="33"/>
        <v>0</v>
      </c>
      <c r="K47" s="684">
        <f t="shared" si="33"/>
        <v>1850</v>
      </c>
      <c r="L47" s="684">
        <f t="shared" si="33"/>
        <v>0</v>
      </c>
      <c r="M47" s="684">
        <f t="shared" si="33"/>
        <v>1850</v>
      </c>
      <c r="N47" s="684">
        <f t="shared" si="33"/>
        <v>259536</v>
      </c>
      <c r="O47" s="684">
        <f t="shared" si="33"/>
        <v>4445</v>
      </c>
      <c r="P47" s="684">
        <f t="shared" si="33"/>
        <v>263981</v>
      </c>
      <c r="Q47" s="711" t="s">
        <v>727</v>
      </c>
      <c r="R47" s="684">
        <f t="shared" ref="R47:AC47" si="34">SUM(R45:R46)</f>
        <v>40</v>
      </c>
      <c r="S47" s="684">
        <f t="shared" si="34"/>
        <v>1613</v>
      </c>
      <c r="T47" s="684">
        <f t="shared" si="34"/>
        <v>1653</v>
      </c>
      <c r="U47" s="684">
        <f t="shared" si="34"/>
        <v>0</v>
      </c>
      <c r="V47" s="684">
        <f t="shared" si="34"/>
        <v>0</v>
      </c>
      <c r="W47" s="684">
        <f t="shared" si="34"/>
        <v>0</v>
      </c>
      <c r="X47" s="684">
        <f t="shared" si="34"/>
        <v>0</v>
      </c>
      <c r="Y47" s="684">
        <f t="shared" si="34"/>
        <v>0</v>
      </c>
      <c r="Z47" s="684">
        <f t="shared" si="34"/>
        <v>0</v>
      </c>
      <c r="AA47" s="684">
        <f t="shared" si="34"/>
        <v>40</v>
      </c>
      <c r="AB47" s="684">
        <f t="shared" si="34"/>
        <v>1613</v>
      </c>
      <c r="AC47" s="684">
        <f t="shared" si="34"/>
        <v>1653</v>
      </c>
      <c r="AD47" s="684">
        <f t="shared" si="30"/>
        <v>259576</v>
      </c>
      <c r="AE47" s="684">
        <f t="shared" si="30"/>
        <v>6058</v>
      </c>
      <c r="AF47" s="684">
        <f t="shared" si="30"/>
        <v>265634</v>
      </c>
      <c r="AG47" s="711" t="s">
        <v>727</v>
      </c>
      <c r="AH47" s="684">
        <f t="shared" ref="AH47:AV47" si="35">SUM(AH45:AH46)</f>
        <v>7859</v>
      </c>
      <c r="AI47" s="684">
        <f t="shared" si="35"/>
        <v>0</v>
      </c>
      <c r="AJ47" s="684">
        <f t="shared" si="35"/>
        <v>7859</v>
      </c>
      <c r="AK47" s="684">
        <f t="shared" si="35"/>
        <v>3199201</v>
      </c>
      <c r="AL47" s="684">
        <f t="shared" si="35"/>
        <v>25440</v>
      </c>
      <c r="AM47" s="684">
        <f t="shared" si="35"/>
        <v>3224641</v>
      </c>
      <c r="AN47" s="684">
        <f t="shared" si="35"/>
        <v>221519</v>
      </c>
      <c r="AO47" s="684">
        <f t="shared" si="35"/>
        <v>5541</v>
      </c>
      <c r="AP47" s="684">
        <f t="shared" si="35"/>
        <v>227060</v>
      </c>
      <c r="AQ47" s="684">
        <f t="shared" si="35"/>
        <v>3420720</v>
      </c>
      <c r="AR47" s="684">
        <f t="shared" si="35"/>
        <v>30981</v>
      </c>
      <c r="AS47" s="684">
        <f t="shared" si="35"/>
        <v>3451701</v>
      </c>
      <c r="AT47" s="684">
        <f t="shared" si="35"/>
        <v>3688155</v>
      </c>
      <c r="AU47" s="684">
        <f t="shared" si="35"/>
        <v>37039</v>
      </c>
      <c r="AV47" s="684">
        <f t="shared" si="35"/>
        <v>3725194</v>
      </c>
    </row>
    <row r="48" spans="1:48" ht="61.5" customHeight="1" thickBot="1" x14ac:dyDescent="0.75">
      <c r="A48" s="712" t="s">
        <v>728</v>
      </c>
      <c r="B48" s="678">
        <f t="shared" ref="B48:P48" si="36">B37+B39+B41+B43+B47</f>
        <v>872295</v>
      </c>
      <c r="C48" s="678">
        <f t="shared" si="36"/>
        <v>96615</v>
      </c>
      <c r="D48" s="678">
        <f t="shared" si="36"/>
        <v>968910</v>
      </c>
      <c r="E48" s="678">
        <f t="shared" si="36"/>
        <v>753609</v>
      </c>
      <c r="F48" s="678">
        <f t="shared" si="36"/>
        <v>171565</v>
      </c>
      <c r="G48" s="678">
        <f t="shared" si="36"/>
        <v>925174</v>
      </c>
      <c r="H48" s="678">
        <f t="shared" si="36"/>
        <v>16697</v>
      </c>
      <c r="I48" s="678">
        <f t="shared" si="36"/>
        <v>4081</v>
      </c>
      <c r="J48" s="678">
        <f t="shared" si="36"/>
        <v>20778</v>
      </c>
      <c r="K48" s="678">
        <f t="shared" si="36"/>
        <v>1850</v>
      </c>
      <c r="L48" s="678">
        <f t="shared" si="36"/>
        <v>0</v>
      </c>
      <c r="M48" s="678">
        <f t="shared" si="36"/>
        <v>1850</v>
      </c>
      <c r="N48" s="678">
        <f t="shared" si="36"/>
        <v>1644451</v>
      </c>
      <c r="O48" s="678">
        <f t="shared" si="36"/>
        <v>272261</v>
      </c>
      <c r="P48" s="678">
        <f t="shared" si="36"/>
        <v>1916712</v>
      </c>
      <c r="Q48" s="712" t="s">
        <v>728</v>
      </c>
      <c r="R48" s="678">
        <f t="shared" ref="R48:AF48" si="37">R37+R39+R41+R43+R47</f>
        <v>40</v>
      </c>
      <c r="S48" s="678">
        <f t="shared" si="37"/>
        <v>11915</v>
      </c>
      <c r="T48" s="678">
        <f t="shared" si="37"/>
        <v>11955</v>
      </c>
      <c r="U48" s="678">
        <f t="shared" si="37"/>
        <v>34900</v>
      </c>
      <c r="V48" s="678">
        <f t="shared" si="37"/>
        <v>5176</v>
      </c>
      <c r="W48" s="678">
        <f t="shared" si="37"/>
        <v>40076</v>
      </c>
      <c r="X48" s="678">
        <f t="shared" si="37"/>
        <v>0</v>
      </c>
      <c r="Y48" s="678">
        <f t="shared" si="37"/>
        <v>0</v>
      </c>
      <c r="Z48" s="678">
        <f t="shared" si="37"/>
        <v>0</v>
      </c>
      <c r="AA48" s="678">
        <f t="shared" si="37"/>
        <v>34940</v>
      </c>
      <c r="AB48" s="678">
        <f t="shared" si="37"/>
        <v>17091</v>
      </c>
      <c r="AC48" s="678">
        <f t="shared" si="37"/>
        <v>52031</v>
      </c>
      <c r="AD48" s="678">
        <f t="shared" si="37"/>
        <v>1679391</v>
      </c>
      <c r="AE48" s="678">
        <f t="shared" si="37"/>
        <v>289352</v>
      </c>
      <c r="AF48" s="678">
        <f t="shared" si="37"/>
        <v>1968743</v>
      </c>
      <c r="AG48" s="712" t="s">
        <v>728</v>
      </c>
      <c r="AH48" s="678">
        <f t="shared" ref="AH48:AV48" si="38">AH37+AH39+AH41+AH43+AH47</f>
        <v>428893</v>
      </c>
      <c r="AI48" s="678">
        <f t="shared" si="38"/>
        <v>0</v>
      </c>
      <c r="AJ48" s="678">
        <f t="shared" si="38"/>
        <v>428893</v>
      </c>
      <c r="AK48" s="678">
        <f t="shared" si="38"/>
        <v>8724747</v>
      </c>
      <c r="AL48" s="678">
        <f t="shared" si="38"/>
        <v>59277</v>
      </c>
      <c r="AM48" s="678">
        <f t="shared" si="38"/>
        <v>8784024</v>
      </c>
      <c r="AN48" s="678">
        <f t="shared" si="38"/>
        <v>444493</v>
      </c>
      <c r="AO48" s="678">
        <f t="shared" si="38"/>
        <v>40863</v>
      </c>
      <c r="AP48" s="678">
        <f t="shared" si="38"/>
        <v>485356</v>
      </c>
      <c r="AQ48" s="678">
        <f t="shared" si="38"/>
        <v>9169240</v>
      </c>
      <c r="AR48" s="678">
        <f t="shared" si="38"/>
        <v>100140</v>
      </c>
      <c r="AS48" s="678">
        <f t="shared" si="38"/>
        <v>9269380</v>
      </c>
      <c r="AT48" s="678">
        <f t="shared" si="38"/>
        <v>11277524</v>
      </c>
      <c r="AU48" s="678">
        <f t="shared" si="38"/>
        <v>389492</v>
      </c>
      <c r="AV48" s="678">
        <f t="shared" si="38"/>
        <v>11667016</v>
      </c>
    </row>
    <row r="49" spans="1:48" ht="61.5" customHeight="1" thickBot="1" x14ac:dyDescent="0.75">
      <c r="A49" s="713" t="s">
        <v>729</v>
      </c>
      <c r="B49" s="690">
        <f t="shared" ref="B49:P49" si="39">B30+B48</f>
        <v>1504035</v>
      </c>
      <c r="C49" s="690">
        <f t="shared" si="39"/>
        <v>73058</v>
      </c>
      <c r="D49" s="690">
        <f t="shared" si="39"/>
        <v>1577093</v>
      </c>
      <c r="E49" s="690">
        <f t="shared" si="39"/>
        <v>756925</v>
      </c>
      <c r="F49" s="690">
        <f t="shared" si="39"/>
        <v>171992</v>
      </c>
      <c r="G49" s="690">
        <f t="shared" si="39"/>
        <v>928917</v>
      </c>
      <c r="H49" s="690">
        <f t="shared" si="39"/>
        <v>17197</v>
      </c>
      <c r="I49" s="690">
        <f t="shared" si="39"/>
        <v>4635</v>
      </c>
      <c r="J49" s="690">
        <f t="shared" si="39"/>
        <v>21832</v>
      </c>
      <c r="K49" s="690">
        <f t="shared" si="39"/>
        <v>1850</v>
      </c>
      <c r="L49" s="690">
        <f t="shared" si="39"/>
        <v>0</v>
      </c>
      <c r="M49" s="690">
        <f t="shared" si="39"/>
        <v>1850</v>
      </c>
      <c r="N49" s="690">
        <f t="shared" si="39"/>
        <v>2280007</v>
      </c>
      <c r="O49" s="690">
        <f t="shared" si="39"/>
        <v>249685</v>
      </c>
      <c r="P49" s="690">
        <f t="shared" si="39"/>
        <v>2529692</v>
      </c>
      <c r="Q49" s="713" t="s">
        <v>729</v>
      </c>
      <c r="R49" s="714">
        <f t="shared" ref="R49:AF49" si="40">R30+R48</f>
        <v>130</v>
      </c>
      <c r="S49" s="690">
        <f t="shared" si="40"/>
        <v>11985</v>
      </c>
      <c r="T49" s="714">
        <f t="shared" si="40"/>
        <v>12115</v>
      </c>
      <c r="U49" s="690">
        <f t="shared" si="40"/>
        <v>34900</v>
      </c>
      <c r="V49" s="714">
        <f t="shared" si="40"/>
        <v>5176</v>
      </c>
      <c r="W49" s="690">
        <f t="shared" si="40"/>
        <v>40076</v>
      </c>
      <c r="X49" s="714">
        <f t="shared" si="40"/>
        <v>0</v>
      </c>
      <c r="Y49" s="690">
        <f t="shared" si="40"/>
        <v>0</v>
      </c>
      <c r="Z49" s="714">
        <f t="shared" si="40"/>
        <v>0</v>
      </c>
      <c r="AA49" s="690">
        <f t="shared" si="40"/>
        <v>35030</v>
      </c>
      <c r="AB49" s="714">
        <f t="shared" si="40"/>
        <v>17161</v>
      </c>
      <c r="AC49" s="690">
        <f t="shared" si="40"/>
        <v>52191</v>
      </c>
      <c r="AD49" s="690">
        <f t="shared" si="40"/>
        <v>2315037</v>
      </c>
      <c r="AE49" s="714">
        <f t="shared" si="40"/>
        <v>266846</v>
      </c>
      <c r="AF49" s="690">
        <f t="shared" si="40"/>
        <v>2581883</v>
      </c>
      <c r="AG49" s="713" t="s">
        <v>729</v>
      </c>
      <c r="AH49" s="690">
        <f t="shared" ref="AH49:AV49" si="41">AH30+AH48</f>
        <v>497891</v>
      </c>
      <c r="AI49" s="714">
        <f t="shared" si="41"/>
        <v>0</v>
      </c>
      <c r="AJ49" s="690">
        <f t="shared" si="41"/>
        <v>497891</v>
      </c>
      <c r="AK49" s="690">
        <f t="shared" si="41"/>
        <v>13456103</v>
      </c>
      <c r="AL49" s="714">
        <f t="shared" si="41"/>
        <v>59514</v>
      </c>
      <c r="AM49" s="690">
        <f t="shared" si="41"/>
        <v>13515617</v>
      </c>
      <c r="AN49" s="714">
        <f t="shared" si="41"/>
        <v>553258</v>
      </c>
      <c r="AO49" s="690">
        <f t="shared" si="41"/>
        <v>72512</v>
      </c>
      <c r="AP49" s="714">
        <f t="shared" si="41"/>
        <v>625770</v>
      </c>
      <c r="AQ49" s="690">
        <f t="shared" si="41"/>
        <v>14009361</v>
      </c>
      <c r="AR49" s="714">
        <f t="shared" si="41"/>
        <v>132026</v>
      </c>
      <c r="AS49" s="690">
        <f t="shared" si="41"/>
        <v>14141387</v>
      </c>
      <c r="AT49" s="714">
        <f t="shared" si="41"/>
        <v>16822289</v>
      </c>
      <c r="AU49" s="690">
        <f t="shared" si="41"/>
        <v>398872</v>
      </c>
      <c r="AV49" s="690">
        <f t="shared" si="41"/>
        <v>17221161</v>
      </c>
    </row>
  </sheetData>
  <mergeCells count="30">
    <mergeCell ref="AQ7:AS7"/>
    <mergeCell ref="AT7:AV7"/>
    <mergeCell ref="AQ6:AS6"/>
    <mergeCell ref="AT6:AV6"/>
    <mergeCell ref="B7:D7"/>
    <mergeCell ref="N7:P7"/>
    <mergeCell ref="R7:T7"/>
    <mergeCell ref="X7:Z7"/>
    <mergeCell ref="AA7:AC7"/>
    <mergeCell ref="AD7:AF7"/>
    <mergeCell ref="AK7:AM7"/>
    <mergeCell ref="U6:W6"/>
    <mergeCell ref="X6:Z6"/>
    <mergeCell ref="AA6:AC6"/>
    <mergeCell ref="AD6:AF6"/>
    <mergeCell ref="AH6:AJ6"/>
    <mergeCell ref="AK6:AP6"/>
    <mergeCell ref="AN7:AP7"/>
    <mergeCell ref="R6:T6"/>
    <mergeCell ref="B3:P3"/>
    <mergeCell ref="R3:AF3"/>
    <mergeCell ref="AH3:AV3"/>
    <mergeCell ref="B4:P4"/>
    <mergeCell ref="R4:AF4"/>
    <mergeCell ref="AH4:AV4"/>
    <mergeCell ref="B6:D6"/>
    <mergeCell ref="E6:G6"/>
    <mergeCell ref="H6:J6"/>
    <mergeCell ref="K6:M6"/>
    <mergeCell ref="N6:P6"/>
  </mergeCells>
  <printOptions horizontalCentered="1" verticalCentered="1"/>
  <pageMargins left="0" right="0" top="0" bottom="0" header="0" footer="0"/>
  <pageSetup paperSize="9" scale="17" orientation="landscape" r:id="rId1"/>
  <headerFooter alignWithMargins="0">
    <oddHeader>&amp;L&amp;14
&amp;F &amp;A&amp;R&amp;"-,Félkövér"&amp;36
4. melléklet az  1/2025.(I.31.) önkormányzati rendelethez
"4. melléklet a 8/2024.(III.5.) önkormányzati rendelethez"</oddHeader>
    <oddFooter xml:space="preserve">&amp;C &amp;R
&amp;36 &amp;10
</oddFooter>
  </headerFooter>
  <colBreaks count="2" manualBreakCount="2">
    <brk id="16" max="48" man="1"/>
    <brk id="32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9"/>
  <sheetViews>
    <sheetView zoomScaleNormal="100" workbookViewId="0">
      <selection activeCell="E3" sqref="E3"/>
    </sheetView>
  </sheetViews>
  <sheetFormatPr defaultColWidth="10.33203125" defaultRowHeight="72" customHeight="1" x14ac:dyDescent="0.3"/>
  <cols>
    <col min="1" max="1" width="162.6640625" style="828" bestFit="1" customWidth="1"/>
    <col min="2" max="2" width="33.83203125" style="829" bestFit="1" customWidth="1"/>
    <col min="3" max="3" width="39.33203125" style="829" bestFit="1" customWidth="1"/>
    <col min="4" max="4" width="35.83203125" style="829" customWidth="1"/>
    <col min="5" max="16384" width="10.33203125" style="827"/>
  </cols>
  <sheetData>
    <row r="1" spans="1:4" s="826" customFormat="1" ht="43.5" customHeight="1" x14ac:dyDescent="0.4">
      <c r="A1" s="938" t="s">
        <v>758</v>
      </c>
      <c r="B1" s="938"/>
      <c r="C1" s="938"/>
      <c r="D1" s="938"/>
    </row>
    <row r="2" spans="1:4" ht="33" customHeight="1" x14ac:dyDescent="0.4">
      <c r="A2" s="939" t="s">
        <v>759</v>
      </c>
      <c r="B2" s="939"/>
      <c r="C2" s="939"/>
      <c r="D2" s="939"/>
    </row>
    <row r="3" spans="1:4" ht="28.5" customHeight="1" thickBot="1" x14ac:dyDescent="0.35"/>
    <row r="4" spans="1:4" s="832" customFormat="1" ht="123.75" customHeight="1" x14ac:dyDescent="0.4">
      <c r="A4" s="830" t="s">
        <v>760</v>
      </c>
      <c r="B4" s="831" t="s">
        <v>761</v>
      </c>
      <c r="C4" s="831" t="s">
        <v>558</v>
      </c>
      <c r="D4" s="831" t="s">
        <v>762</v>
      </c>
    </row>
    <row r="5" spans="1:4" s="835" customFormat="1" ht="77.25" customHeight="1" x14ac:dyDescent="0.4">
      <c r="A5" s="833" t="s">
        <v>763</v>
      </c>
      <c r="B5" s="834"/>
      <c r="C5" s="834"/>
      <c r="D5" s="834"/>
    </row>
    <row r="6" spans="1:4" s="835" customFormat="1" ht="51" customHeight="1" x14ac:dyDescent="0.5">
      <c r="A6" s="836" t="s">
        <v>764</v>
      </c>
      <c r="B6" s="837">
        <v>1066402</v>
      </c>
      <c r="C6" s="837"/>
      <c r="D6" s="837">
        <f>SUM(B6:C6)</f>
        <v>1066402</v>
      </c>
    </row>
    <row r="7" spans="1:4" s="835" customFormat="1" ht="54.75" customHeight="1" x14ac:dyDescent="0.5">
      <c r="A7" s="838" t="s">
        <v>765</v>
      </c>
      <c r="B7" s="839">
        <v>83140</v>
      </c>
      <c r="C7" s="839"/>
      <c r="D7" s="837">
        <f t="shared" ref="D7:D13" si="0">SUM(B7:C7)</f>
        <v>83140</v>
      </c>
    </row>
    <row r="8" spans="1:4" s="835" customFormat="1" ht="54.75" customHeight="1" x14ac:dyDescent="0.5">
      <c r="A8" s="838" t="s">
        <v>766</v>
      </c>
      <c r="B8" s="839">
        <v>218067</v>
      </c>
      <c r="C8" s="839"/>
      <c r="D8" s="837">
        <f t="shared" si="0"/>
        <v>218067</v>
      </c>
    </row>
    <row r="9" spans="1:4" s="835" customFormat="1" ht="77.25" customHeight="1" x14ac:dyDescent="0.5">
      <c r="A9" s="838" t="s">
        <v>767</v>
      </c>
      <c r="B9" s="840">
        <v>30744</v>
      </c>
      <c r="C9" s="840"/>
      <c r="D9" s="837">
        <f t="shared" si="0"/>
        <v>30744</v>
      </c>
    </row>
    <row r="10" spans="1:4" s="835" customFormat="1" ht="77.25" customHeight="1" x14ac:dyDescent="0.5">
      <c r="A10" s="838" t="s">
        <v>768</v>
      </c>
      <c r="B10" s="839">
        <v>130601</v>
      </c>
      <c r="C10" s="839"/>
      <c r="D10" s="837">
        <f t="shared" si="0"/>
        <v>130601</v>
      </c>
    </row>
    <row r="11" spans="1:4" s="835" customFormat="1" ht="77.25" customHeight="1" x14ac:dyDescent="0.5">
      <c r="A11" s="838" t="s">
        <v>769</v>
      </c>
      <c r="B11" s="839">
        <v>208944</v>
      </c>
      <c r="C11" s="839"/>
      <c r="D11" s="837">
        <f t="shared" si="0"/>
        <v>208944</v>
      </c>
    </row>
    <row r="12" spans="1:4" s="835" customFormat="1" ht="77.25" customHeight="1" x14ac:dyDescent="0.5">
      <c r="A12" s="838" t="s">
        <v>770</v>
      </c>
      <c r="B12" s="839">
        <v>186</v>
      </c>
      <c r="C12" s="839"/>
      <c r="D12" s="837">
        <f t="shared" si="0"/>
        <v>186</v>
      </c>
    </row>
    <row r="13" spans="1:4" s="835" customFormat="1" ht="77.25" customHeight="1" thickBot="1" x14ac:dyDescent="0.55000000000000004">
      <c r="A13" s="841" t="s">
        <v>771</v>
      </c>
      <c r="B13" s="839">
        <v>42</v>
      </c>
      <c r="C13" s="839"/>
      <c r="D13" s="837">
        <f t="shared" si="0"/>
        <v>42</v>
      </c>
    </row>
    <row r="14" spans="1:4" s="844" customFormat="1" ht="77.25" customHeight="1" thickTop="1" thickBot="1" x14ac:dyDescent="0.55000000000000004">
      <c r="A14" s="842" t="s">
        <v>772</v>
      </c>
      <c r="B14" s="843">
        <f>SUM(B5:B13)</f>
        <v>1738126</v>
      </c>
      <c r="C14" s="843">
        <f t="shared" ref="C14:D14" si="1">SUM(C5:C13)</f>
        <v>0</v>
      </c>
      <c r="D14" s="843">
        <f t="shared" si="1"/>
        <v>1738126</v>
      </c>
    </row>
    <row r="15" spans="1:4" s="844" customFormat="1" ht="77.25" customHeight="1" thickTop="1" x14ac:dyDescent="0.5">
      <c r="A15" s="845" t="s">
        <v>773</v>
      </c>
      <c r="B15" s="846"/>
      <c r="C15" s="846"/>
      <c r="D15" s="846"/>
    </row>
    <row r="16" spans="1:4" s="835" customFormat="1" ht="77.25" customHeight="1" x14ac:dyDescent="0.5">
      <c r="A16" s="847" t="s">
        <v>774</v>
      </c>
      <c r="B16" s="848"/>
      <c r="C16" s="848"/>
      <c r="D16" s="848"/>
    </row>
    <row r="17" spans="1:4" s="835" customFormat="1" ht="77.25" customHeight="1" x14ac:dyDescent="0.5">
      <c r="A17" s="849" t="s">
        <v>775</v>
      </c>
      <c r="B17" s="837">
        <v>373655</v>
      </c>
      <c r="C17" s="837">
        <f>'[5]2024. májusi pótlnélkül'!C17+'[5]2024. okt pótlnélkül'!C17</f>
        <v>569</v>
      </c>
      <c r="D17" s="837">
        <f>SUM(B17:C17)</f>
        <v>374224</v>
      </c>
    </row>
    <row r="18" spans="1:4" s="835" customFormat="1" ht="77.25" customHeight="1" x14ac:dyDescent="0.5">
      <c r="A18" s="850" t="s">
        <v>776</v>
      </c>
      <c r="B18" s="851"/>
      <c r="C18" s="851"/>
      <c r="D18" s="851"/>
    </row>
    <row r="19" spans="1:4" s="835" customFormat="1" ht="77.25" customHeight="1" x14ac:dyDescent="0.5">
      <c r="A19" s="852" t="s">
        <v>777</v>
      </c>
      <c r="B19" s="837">
        <v>1681935</v>
      </c>
      <c r="C19" s="837">
        <f>'[5]2024. májusi pótlnélkül'!C19+'[5]2024. okt pótlnélkül'!C19</f>
        <v>5023</v>
      </c>
      <c r="D19" s="837">
        <f t="shared" ref="D19:D26" si="2">SUM(B19:C19)</f>
        <v>1686958</v>
      </c>
    </row>
    <row r="20" spans="1:4" s="835" customFormat="1" ht="77.25" customHeight="1" x14ac:dyDescent="0.5">
      <c r="A20" s="853" t="s">
        <v>778</v>
      </c>
      <c r="B20" s="851"/>
      <c r="C20" s="851"/>
      <c r="D20" s="851"/>
    </row>
    <row r="21" spans="1:4" s="835" customFormat="1" ht="77.25" customHeight="1" x14ac:dyDescent="0.5">
      <c r="A21" s="854" t="s">
        <v>779</v>
      </c>
      <c r="B21" s="848"/>
      <c r="C21" s="848"/>
      <c r="D21" s="848"/>
    </row>
    <row r="22" spans="1:4" s="835" customFormat="1" ht="77.25" customHeight="1" x14ac:dyDescent="0.5">
      <c r="A22" s="855" t="s">
        <v>780</v>
      </c>
      <c r="B22" s="837">
        <v>14340</v>
      </c>
      <c r="C22" s="837">
        <f>'[5]2024. májusi pótlnélkül'!C22+'[5]2024. okt pótlnélkül'!C22</f>
        <v>-1004</v>
      </c>
      <c r="D22" s="837">
        <f t="shared" si="2"/>
        <v>13336</v>
      </c>
    </row>
    <row r="23" spans="1:4" s="835" customFormat="1" ht="77.25" customHeight="1" x14ac:dyDescent="0.5">
      <c r="A23" s="847" t="s">
        <v>781</v>
      </c>
      <c r="B23" s="848"/>
      <c r="C23" s="848"/>
      <c r="D23" s="848"/>
    </row>
    <row r="24" spans="1:4" s="835" customFormat="1" ht="77.25" customHeight="1" x14ac:dyDescent="0.5">
      <c r="A24" s="854" t="s">
        <v>782</v>
      </c>
      <c r="B24" s="848"/>
      <c r="C24" s="848"/>
      <c r="D24" s="848"/>
    </row>
    <row r="25" spans="1:4" s="835" customFormat="1" ht="77.25" customHeight="1" x14ac:dyDescent="0.5">
      <c r="A25" s="836" t="s">
        <v>783</v>
      </c>
      <c r="B25" s="837">
        <v>721716</v>
      </c>
      <c r="C25" s="837">
        <f>'[5]2024. májusi pótlnélkül'!C25+'[5]2024. okt pótlnélkül'!C25</f>
        <v>10536</v>
      </c>
      <c r="D25" s="837">
        <f t="shared" si="2"/>
        <v>732252</v>
      </c>
    </row>
    <row r="26" spans="1:4" s="835" customFormat="1" ht="77.25" customHeight="1" thickBot="1" x14ac:dyDescent="0.55000000000000004">
      <c r="A26" s="856" t="s">
        <v>784</v>
      </c>
      <c r="B26" s="857">
        <v>58604</v>
      </c>
      <c r="C26" s="857">
        <f>'[5]2024. májusi pótlnélkül'!C26+'[5]2024. okt pótlnélkül'!C26</f>
        <v>0</v>
      </c>
      <c r="D26" s="837">
        <f t="shared" si="2"/>
        <v>58604</v>
      </c>
    </row>
    <row r="27" spans="1:4" s="832" customFormat="1" ht="92.25" thickTop="1" x14ac:dyDescent="0.5">
      <c r="A27" s="858" t="s">
        <v>785</v>
      </c>
      <c r="B27" s="848"/>
      <c r="C27" s="848"/>
      <c r="D27" s="848"/>
    </row>
    <row r="28" spans="1:4" s="832" customFormat="1" ht="77.25" customHeight="1" x14ac:dyDescent="0.5">
      <c r="A28" s="847" t="s">
        <v>786</v>
      </c>
      <c r="B28" s="848"/>
      <c r="C28" s="848"/>
      <c r="D28" s="848"/>
    </row>
    <row r="29" spans="1:4" s="835" customFormat="1" ht="77.25" customHeight="1" x14ac:dyDescent="0.5">
      <c r="A29" s="854" t="s">
        <v>787</v>
      </c>
      <c r="B29" s="848"/>
      <c r="C29" s="848"/>
      <c r="D29" s="848"/>
    </row>
    <row r="30" spans="1:4" s="832" customFormat="1" ht="77.25" customHeight="1" x14ac:dyDescent="0.5">
      <c r="A30" s="847" t="s">
        <v>788</v>
      </c>
      <c r="B30" s="848"/>
      <c r="C30" s="848"/>
      <c r="D30" s="848"/>
    </row>
    <row r="31" spans="1:4" s="835" customFormat="1" ht="88.5" customHeight="1" x14ac:dyDescent="0.5">
      <c r="A31" s="836" t="s">
        <v>789</v>
      </c>
      <c r="B31" s="837">
        <v>47609</v>
      </c>
      <c r="C31" s="837">
        <f>'[5]2024. májusi pótlnélkül'!C31+'[5]2024. okt pótlnélkül'!C31</f>
        <v>-5664</v>
      </c>
      <c r="D31" s="837">
        <f>SUM(B31:C31)</f>
        <v>41945</v>
      </c>
    </row>
    <row r="32" spans="1:4" s="835" customFormat="1" ht="77.25" customHeight="1" x14ac:dyDescent="0.5">
      <c r="A32" s="836" t="s">
        <v>790</v>
      </c>
      <c r="B32" s="839">
        <v>41447</v>
      </c>
      <c r="C32" s="839">
        <f>'[5]2024. májusi pótlnélkül'!C32+'[5]2024. okt pótlnélkül'!C32</f>
        <v>-3209</v>
      </c>
      <c r="D32" s="839">
        <f t="shared" ref="D32:D44" si="3">SUM(B32:C32)</f>
        <v>38238</v>
      </c>
    </row>
    <row r="33" spans="1:4" s="835" customFormat="1" ht="77.25" customHeight="1" x14ac:dyDescent="0.5">
      <c r="A33" s="858" t="s">
        <v>791</v>
      </c>
      <c r="B33" s="851"/>
      <c r="C33" s="851"/>
      <c r="D33" s="851"/>
    </row>
    <row r="34" spans="1:4" s="835" customFormat="1" ht="86.25" customHeight="1" x14ac:dyDescent="0.5">
      <c r="A34" s="836" t="s">
        <v>792</v>
      </c>
      <c r="B34" s="837">
        <v>1728</v>
      </c>
      <c r="C34" s="837"/>
      <c r="D34" s="837">
        <f t="shared" si="3"/>
        <v>1728</v>
      </c>
    </row>
    <row r="35" spans="1:4" s="835" customFormat="1" ht="77.25" customHeight="1" x14ac:dyDescent="0.5">
      <c r="A35" s="836" t="s">
        <v>793</v>
      </c>
      <c r="B35" s="839">
        <v>3020</v>
      </c>
      <c r="C35" s="839"/>
      <c r="D35" s="839">
        <f t="shared" si="3"/>
        <v>3020</v>
      </c>
    </row>
    <row r="36" spans="1:4" s="860" customFormat="1" ht="77.25" customHeight="1" x14ac:dyDescent="0.5">
      <c r="A36" s="853" t="s">
        <v>794</v>
      </c>
      <c r="B36" s="859"/>
      <c r="C36" s="859"/>
      <c r="D36" s="859"/>
    </row>
    <row r="37" spans="1:4" s="835" customFormat="1" ht="77.25" customHeight="1" x14ac:dyDescent="0.5">
      <c r="A37" s="854" t="s">
        <v>795</v>
      </c>
      <c r="B37" s="848"/>
      <c r="C37" s="848"/>
      <c r="D37" s="848"/>
    </row>
    <row r="38" spans="1:4" s="832" customFormat="1" ht="42" customHeight="1" x14ac:dyDescent="0.5">
      <c r="A38" s="847" t="s">
        <v>796</v>
      </c>
      <c r="B38" s="848"/>
      <c r="C38" s="848"/>
      <c r="D38" s="848"/>
    </row>
    <row r="39" spans="1:4" s="835" customFormat="1" ht="88.5" customHeight="1" x14ac:dyDescent="0.5">
      <c r="A39" s="836" t="s">
        <v>797</v>
      </c>
      <c r="B39" s="837"/>
      <c r="C39" s="837"/>
      <c r="D39" s="837">
        <f t="shared" si="3"/>
        <v>0</v>
      </c>
    </row>
    <row r="40" spans="1:4" s="835" customFormat="1" ht="77.25" customHeight="1" x14ac:dyDescent="0.5">
      <c r="A40" s="836" t="s">
        <v>798</v>
      </c>
      <c r="B40" s="839"/>
      <c r="C40" s="839"/>
      <c r="D40" s="839">
        <f t="shared" si="3"/>
        <v>0</v>
      </c>
    </row>
    <row r="41" spans="1:4" s="835" customFormat="1" ht="52.5" customHeight="1" x14ac:dyDescent="0.5">
      <c r="A41" s="858" t="s">
        <v>799</v>
      </c>
      <c r="B41" s="851"/>
      <c r="C41" s="851"/>
      <c r="D41" s="851"/>
    </row>
    <row r="42" spans="1:4" s="835" customFormat="1" ht="90.75" customHeight="1" x14ac:dyDescent="0.5">
      <c r="A42" s="836" t="s">
        <v>800</v>
      </c>
      <c r="B42" s="837"/>
      <c r="C42" s="837"/>
      <c r="D42" s="837">
        <f t="shared" si="3"/>
        <v>0</v>
      </c>
    </row>
    <row r="43" spans="1:4" s="835" customFormat="1" ht="77.25" customHeight="1" x14ac:dyDescent="0.5">
      <c r="A43" s="838" t="s">
        <v>801</v>
      </c>
      <c r="B43" s="839"/>
      <c r="C43" s="839"/>
      <c r="D43" s="839">
        <f t="shared" si="3"/>
        <v>0</v>
      </c>
    </row>
    <row r="44" spans="1:4" s="835" customFormat="1" ht="77.25" customHeight="1" thickBot="1" x14ac:dyDescent="0.55000000000000004">
      <c r="A44" s="838" t="s">
        <v>802</v>
      </c>
      <c r="B44" s="839">
        <v>1434</v>
      </c>
      <c r="C44" s="839">
        <f>'[5]2024. májusi pótlnélkül'!C44+'[5]2024. okt pótlnélkül'!C44</f>
        <v>0</v>
      </c>
      <c r="D44" s="839">
        <f t="shared" si="3"/>
        <v>1434</v>
      </c>
    </row>
    <row r="45" spans="1:4" s="835" customFormat="1" ht="62.25" customHeight="1" thickTop="1" thickBot="1" x14ac:dyDescent="0.55000000000000004">
      <c r="A45" s="842" t="s">
        <v>803</v>
      </c>
      <c r="B45" s="861">
        <f t="shared" ref="B45:D45" si="4">SUM(B15:B44)</f>
        <v>2945488</v>
      </c>
      <c r="C45" s="861">
        <f t="shared" si="4"/>
        <v>6251</v>
      </c>
      <c r="D45" s="861">
        <f t="shared" si="4"/>
        <v>2951739</v>
      </c>
    </row>
    <row r="46" spans="1:4" s="862" customFormat="1" ht="77.25" customHeight="1" thickTop="1" x14ac:dyDescent="0.5">
      <c r="A46" s="845" t="s">
        <v>804</v>
      </c>
      <c r="B46" s="846"/>
      <c r="C46" s="846"/>
      <c r="D46" s="846"/>
    </row>
    <row r="47" spans="1:4" s="835" customFormat="1" ht="77.25" customHeight="1" x14ac:dyDescent="0.5">
      <c r="A47" s="863" t="s">
        <v>805</v>
      </c>
      <c r="B47" s="837"/>
      <c r="C47" s="837"/>
      <c r="D47" s="837"/>
    </row>
    <row r="48" spans="1:4" s="835" customFormat="1" ht="77.25" customHeight="1" x14ac:dyDescent="0.5">
      <c r="A48" s="838" t="s">
        <v>806</v>
      </c>
      <c r="B48" s="864">
        <v>101639</v>
      </c>
      <c r="C48" s="864">
        <f>'[5]2024. májusi pótlnélkül'!C48+'[5]2024. okt pótlnélkül'!C48</f>
        <v>1993</v>
      </c>
      <c r="D48" s="864">
        <f>SUM(B48:C48)</f>
        <v>103632</v>
      </c>
    </row>
    <row r="49" spans="1:4" s="835" customFormat="1" ht="77.25" customHeight="1" x14ac:dyDescent="0.5">
      <c r="A49" s="838" t="s">
        <v>807</v>
      </c>
      <c r="B49" s="864">
        <v>135912</v>
      </c>
      <c r="C49" s="864">
        <f>'[5]2024. májusi pótlnélkül'!C49+'[5]2024. okt pótlnélkül'!C49</f>
        <v>0</v>
      </c>
      <c r="D49" s="864">
        <f t="shared" ref="D49:D55" si="5">SUM(B49:C49)</f>
        <v>135912</v>
      </c>
    </row>
    <row r="50" spans="1:4" s="835" customFormat="1" ht="77.25" customHeight="1" x14ac:dyDescent="0.5">
      <c r="A50" s="865" t="s">
        <v>808</v>
      </c>
      <c r="B50" s="864">
        <v>88330</v>
      </c>
      <c r="C50" s="864">
        <f>'[5]2024. májusi pótlnélkül'!C50+'[5]2024. okt pótlnélkül'!C50</f>
        <v>0</v>
      </c>
      <c r="D50" s="864">
        <f t="shared" si="5"/>
        <v>88330</v>
      </c>
    </row>
    <row r="51" spans="1:4" s="835" customFormat="1" ht="77.25" customHeight="1" x14ac:dyDescent="0.5">
      <c r="A51" s="838" t="s">
        <v>809</v>
      </c>
      <c r="B51" s="837">
        <v>80447</v>
      </c>
      <c r="C51" s="837">
        <f>'[5]2024. májusi pótlnélkül'!C51+'[5]2024. okt pótlnélkül'!C51</f>
        <v>4243</v>
      </c>
      <c r="D51" s="837">
        <f t="shared" si="5"/>
        <v>84690</v>
      </c>
    </row>
    <row r="52" spans="1:4" s="835" customFormat="1" ht="77.25" customHeight="1" x14ac:dyDescent="0.5">
      <c r="A52" s="866" t="s">
        <v>810</v>
      </c>
      <c r="B52" s="837">
        <v>100</v>
      </c>
      <c r="C52" s="837">
        <f>'[5]2024. májusi pótlnélkül'!C52+'[5]2024. okt pótlnélkül'!C52</f>
        <v>-25</v>
      </c>
      <c r="D52" s="837">
        <f t="shared" si="5"/>
        <v>75</v>
      </c>
    </row>
    <row r="53" spans="1:4" s="835" customFormat="1" ht="77.25" customHeight="1" x14ac:dyDescent="0.5">
      <c r="A53" s="838" t="s">
        <v>811</v>
      </c>
      <c r="B53" s="837">
        <v>69890</v>
      </c>
      <c r="C53" s="837">
        <f>'[5]2024. májusi pótlnélkül'!C53+'[5]2024. okt pótlnélkül'!C53</f>
        <v>-2410</v>
      </c>
      <c r="D53" s="837">
        <f t="shared" si="5"/>
        <v>67480</v>
      </c>
    </row>
    <row r="54" spans="1:4" s="862" customFormat="1" ht="77.25" customHeight="1" x14ac:dyDescent="0.5">
      <c r="A54" s="867" t="s">
        <v>812</v>
      </c>
      <c r="B54" s="837">
        <v>50376</v>
      </c>
      <c r="C54" s="837">
        <f>'[5]2024. májusi pótlnélkül'!C54+'[5]2024. okt pótlnélkül'!C54</f>
        <v>4198</v>
      </c>
      <c r="D54" s="837">
        <f t="shared" si="5"/>
        <v>54574</v>
      </c>
    </row>
    <row r="55" spans="1:4" s="835" customFormat="1" ht="77.25" customHeight="1" thickBot="1" x14ac:dyDescent="0.55000000000000004">
      <c r="A55" s="838" t="s">
        <v>813</v>
      </c>
      <c r="B55" s="839">
        <v>6803</v>
      </c>
      <c r="C55" s="839">
        <f>'[5]2024. májusi pótlnélkül'!C55+'[5]2024. okt pótlnélkül'!C55</f>
        <v>972</v>
      </c>
      <c r="D55" s="839">
        <f t="shared" si="5"/>
        <v>7775</v>
      </c>
    </row>
    <row r="56" spans="1:4" s="835" customFormat="1" ht="60" customHeight="1" thickTop="1" thickBot="1" x14ac:dyDescent="0.55000000000000004">
      <c r="A56" s="868" t="s">
        <v>805</v>
      </c>
      <c r="B56" s="869">
        <f t="shared" ref="B56:D56" si="6">SUM(B48:B55)</f>
        <v>533497</v>
      </c>
      <c r="C56" s="869">
        <f t="shared" si="6"/>
        <v>8971</v>
      </c>
      <c r="D56" s="869">
        <f t="shared" si="6"/>
        <v>542468</v>
      </c>
    </row>
    <row r="57" spans="1:4" s="835" customFormat="1" ht="77.25" customHeight="1" thickTop="1" x14ac:dyDescent="0.5">
      <c r="A57" s="847" t="s">
        <v>814</v>
      </c>
      <c r="B57" s="848"/>
      <c r="C57" s="848"/>
      <c r="D57" s="848"/>
    </row>
    <row r="58" spans="1:4" s="835" customFormat="1" ht="77.25" customHeight="1" x14ac:dyDescent="0.5">
      <c r="A58" s="847" t="s">
        <v>815</v>
      </c>
      <c r="B58" s="848"/>
      <c r="C58" s="848"/>
      <c r="D58" s="848"/>
    </row>
    <row r="59" spans="1:4" s="835" customFormat="1" ht="77.25" customHeight="1" x14ac:dyDescent="0.5">
      <c r="A59" s="836" t="s">
        <v>816</v>
      </c>
      <c r="B59" s="837">
        <v>519842</v>
      </c>
      <c r="C59" s="837">
        <f>'[5]2024. májusi pótlnélkül'!C59+'[5]2024. okt pótlnélkül'!C59</f>
        <v>-4261</v>
      </c>
      <c r="D59" s="837">
        <f>SUM(B59:C59)</f>
        <v>515581</v>
      </c>
    </row>
    <row r="60" spans="1:4" s="835" customFormat="1" ht="77.25" customHeight="1" x14ac:dyDescent="0.5">
      <c r="A60" s="838" t="s">
        <v>817</v>
      </c>
      <c r="B60" s="837">
        <v>493020</v>
      </c>
      <c r="C60" s="837">
        <f>'[5]2024. májusi pótlnélkül'!C60+'[5]2024. okt pótlnélkül'!C60</f>
        <v>15044</v>
      </c>
      <c r="D60" s="837">
        <f t="shared" ref="D60:D61" si="7">SUM(B60:C60)</f>
        <v>508064</v>
      </c>
    </row>
    <row r="61" spans="1:4" s="835" customFormat="1" ht="58.5" customHeight="1" thickBot="1" x14ac:dyDescent="0.55000000000000004">
      <c r="A61" s="870" t="s">
        <v>818</v>
      </c>
      <c r="B61" s="837">
        <v>220472</v>
      </c>
      <c r="C61" s="837">
        <f>'[5]2024. májusi pótlnélkül'!C61+'[5]2024. okt pótlnélkül'!C61</f>
        <v>4142</v>
      </c>
      <c r="D61" s="837">
        <f t="shared" si="7"/>
        <v>224614</v>
      </c>
    </row>
    <row r="62" spans="1:4" s="835" customFormat="1" ht="60.75" customHeight="1" thickTop="1" thickBot="1" x14ac:dyDescent="0.55000000000000004">
      <c r="A62" s="868" t="s">
        <v>819</v>
      </c>
      <c r="B62" s="869">
        <f t="shared" ref="B62:D62" si="8">SUM(B59:B61)</f>
        <v>1233334</v>
      </c>
      <c r="C62" s="869">
        <f t="shared" si="8"/>
        <v>14925</v>
      </c>
      <c r="D62" s="869">
        <f t="shared" si="8"/>
        <v>1248259</v>
      </c>
    </row>
    <row r="63" spans="1:4" s="835" customFormat="1" ht="92.25" thickTop="1" x14ac:dyDescent="0.5">
      <c r="A63" s="871" t="s">
        <v>820</v>
      </c>
      <c r="B63" s="872"/>
      <c r="C63" s="872"/>
      <c r="D63" s="872"/>
    </row>
    <row r="64" spans="1:4" s="835" customFormat="1" ht="48.75" customHeight="1" x14ac:dyDescent="0.5">
      <c r="A64" s="836" t="s">
        <v>821</v>
      </c>
      <c r="B64" s="837">
        <v>57991</v>
      </c>
      <c r="C64" s="837">
        <f>'[5]2024. májusi pótlnélkül'!C64+'[5]2024. okt pótlnélkül'!C64</f>
        <v>-7249</v>
      </c>
      <c r="D64" s="837">
        <f t="shared" ref="D64:D65" si="9">SUM(B64:C64)</f>
        <v>50742</v>
      </c>
    </row>
    <row r="65" spans="1:4" s="835" customFormat="1" ht="77.25" customHeight="1" thickBot="1" x14ac:dyDescent="0.55000000000000004">
      <c r="A65" s="838" t="s">
        <v>822</v>
      </c>
      <c r="B65" s="837">
        <v>17078</v>
      </c>
      <c r="C65" s="837">
        <f>'[5]2024. májusi pótlnélkül'!C65+'[5]2024. okt pótlnélkül'!C65</f>
        <v>849</v>
      </c>
      <c r="D65" s="837">
        <f t="shared" si="9"/>
        <v>17927</v>
      </c>
    </row>
    <row r="66" spans="1:4" s="835" customFormat="1" ht="92.25" customHeight="1" thickTop="1" thickBot="1" x14ac:dyDescent="0.55000000000000004">
      <c r="A66" s="873" t="s">
        <v>823</v>
      </c>
      <c r="B66" s="869">
        <f t="shared" ref="B66:D66" si="10">SUM(B64:B65)</f>
        <v>75069</v>
      </c>
      <c r="C66" s="869">
        <f t="shared" si="10"/>
        <v>-6400</v>
      </c>
      <c r="D66" s="869">
        <f t="shared" si="10"/>
        <v>68669</v>
      </c>
    </row>
    <row r="67" spans="1:4" s="835" customFormat="1" ht="77.25" customHeight="1" thickTop="1" thickBot="1" x14ac:dyDescent="0.55000000000000004">
      <c r="A67" s="842" t="s">
        <v>824</v>
      </c>
      <c r="B67" s="861">
        <f t="shared" ref="B67:D67" si="11">B56+B62+B66</f>
        <v>1841900</v>
      </c>
      <c r="C67" s="861">
        <f t="shared" si="11"/>
        <v>17496</v>
      </c>
      <c r="D67" s="861">
        <f t="shared" si="11"/>
        <v>1859396</v>
      </c>
    </row>
    <row r="68" spans="1:4" s="835" customFormat="1" ht="77.25" customHeight="1" thickTop="1" x14ac:dyDescent="0.5">
      <c r="A68" s="874" t="s">
        <v>825</v>
      </c>
      <c r="B68" s="848"/>
      <c r="C68" s="848"/>
      <c r="D68" s="848"/>
    </row>
    <row r="69" spans="1:4" s="862" customFormat="1" ht="45" customHeight="1" x14ac:dyDescent="0.5">
      <c r="A69" s="875" t="s">
        <v>826</v>
      </c>
      <c r="B69" s="846"/>
      <c r="C69" s="846"/>
      <c r="D69" s="846"/>
    </row>
    <row r="70" spans="1:4" s="835" customFormat="1" ht="42" customHeight="1" x14ac:dyDescent="0.5">
      <c r="A70" s="876" t="s">
        <v>827</v>
      </c>
      <c r="B70" s="837">
        <v>313998</v>
      </c>
      <c r="C70" s="837">
        <f>'[5]2024. májusi pótlnélkül'!C70+'[5]2024. okt pótlnélkül'!C70</f>
        <v>31350</v>
      </c>
      <c r="D70" s="837">
        <f>SUM(B70:C70)</f>
        <v>345348</v>
      </c>
    </row>
    <row r="71" spans="1:4" s="835" customFormat="1" ht="45" customHeight="1" x14ac:dyDescent="0.5">
      <c r="A71" s="877" t="s">
        <v>828</v>
      </c>
      <c r="B71" s="837">
        <v>415024</v>
      </c>
      <c r="C71" s="837">
        <f>'[5]2024. májusi pótlnélkül'!C71+'[5]2024. okt pótlnélkül'!C71</f>
        <v>58347</v>
      </c>
      <c r="D71" s="837">
        <f t="shared" ref="D71:D72" si="12">SUM(B71:C71)</f>
        <v>473371</v>
      </c>
    </row>
    <row r="72" spans="1:4" s="835" customFormat="1" ht="38.25" customHeight="1" thickBot="1" x14ac:dyDescent="0.55000000000000004">
      <c r="A72" s="878" t="s">
        <v>829</v>
      </c>
      <c r="B72" s="837">
        <v>918</v>
      </c>
      <c r="C72" s="837">
        <f>'[5]2024. májusi pótlnélkül'!C72+'[5]2024. okt pótlnélkül'!C72</f>
        <v>-187</v>
      </c>
      <c r="D72" s="837">
        <f t="shared" si="12"/>
        <v>731</v>
      </c>
    </row>
    <row r="73" spans="1:4" s="835" customFormat="1" ht="60" customHeight="1" thickTop="1" thickBot="1" x14ac:dyDescent="0.55000000000000004">
      <c r="A73" s="879" t="s">
        <v>830</v>
      </c>
      <c r="B73" s="861">
        <f t="shared" ref="B73:D73" si="13">SUM(B70:B72)</f>
        <v>729940</v>
      </c>
      <c r="C73" s="861">
        <f t="shared" si="13"/>
        <v>89510</v>
      </c>
      <c r="D73" s="861">
        <f t="shared" si="13"/>
        <v>819450</v>
      </c>
    </row>
    <row r="74" spans="1:4" s="835" customFormat="1" ht="56.25" customHeight="1" thickTop="1" x14ac:dyDescent="0.5">
      <c r="A74" s="880" t="s">
        <v>831</v>
      </c>
      <c r="B74" s="872"/>
      <c r="C74" s="872"/>
      <c r="D74" s="872"/>
    </row>
    <row r="75" spans="1:4" s="835" customFormat="1" ht="64.5" customHeight="1" x14ac:dyDescent="0.5">
      <c r="A75" s="881" t="s">
        <v>832</v>
      </c>
      <c r="B75" s="837">
        <v>71937</v>
      </c>
      <c r="C75" s="837"/>
      <c r="D75" s="837">
        <f t="shared" ref="D75:D76" si="14">SUM(B75:C75)</f>
        <v>71937</v>
      </c>
    </row>
    <row r="76" spans="1:4" s="835" customFormat="1" ht="52.5" customHeight="1" thickBot="1" x14ac:dyDescent="0.55000000000000004">
      <c r="A76" s="882" t="s">
        <v>833</v>
      </c>
      <c r="B76" s="837">
        <v>142713</v>
      </c>
      <c r="C76" s="837">
        <v>1</v>
      </c>
      <c r="D76" s="837">
        <f t="shared" si="14"/>
        <v>142714</v>
      </c>
    </row>
    <row r="77" spans="1:4" s="835" customFormat="1" ht="63.75" customHeight="1" thickTop="1" thickBot="1" x14ac:dyDescent="0.55000000000000004">
      <c r="A77" s="879" t="s">
        <v>834</v>
      </c>
      <c r="B77" s="861">
        <f t="shared" ref="B77:D77" si="15">SUM(B75:B76)</f>
        <v>214650</v>
      </c>
      <c r="C77" s="861">
        <f t="shared" si="15"/>
        <v>1</v>
      </c>
      <c r="D77" s="861">
        <f t="shared" si="15"/>
        <v>214651</v>
      </c>
    </row>
    <row r="78" spans="1:4" s="835" customFormat="1" ht="72" customHeight="1" thickTop="1" thickBot="1" x14ac:dyDescent="0.55000000000000004">
      <c r="A78" s="883" t="s">
        <v>835</v>
      </c>
      <c r="B78" s="884">
        <f t="shared" ref="B78:D78" si="16">B14+B45+B67+B73+B77</f>
        <v>7470104</v>
      </c>
      <c r="C78" s="884">
        <f t="shared" si="16"/>
        <v>113258</v>
      </c>
      <c r="D78" s="884">
        <f t="shared" si="16"/>
        <v>7583362</v>
      </c>
    </row>
    <row r="79" spans="1:4" s="832" customFormat="1" ht="108.75" customHeight="1" x14ac:dyDescent="0.5">
      <c r="A79" s="885" t="s">
        <v>836</v>
      </c>
      <c r="B79" s="886"/>
      <c r="C79" s="886"/>
      <c r="D79" s="886"/>
    </row>
    <row r="80" spans="1:4" s="832" customFormat="1" ht="67.5" customHeight="1" x14ac:dyDescent="0.5">
      <c r="A80" s="887" t="s">
        <v>837</v>
      </c>
      <c r="B80" s="888">
        <v>179304</v>
      </c>
      <c r="C80" s="888">
        <v>60862</v>
      </c>
      <c r="D80" s="888">
        <f t="shared" ref="D80:D91" si="17">SUM(B80:C80)</f>
        <v>240166</v>
      </c>
    </row>
    <row r="81" spans="1:4" s="835" customFormat="1" ht="77.25" customHeight="1" x14ac:dyDescent="0.5">
      <c r="A81" s="889" t="s">
        <v>838</v>
      </c>
      <c r="B81" s="890"/>
      <c r="C81" s="890"/>
      <c r="D81" s="890">
        <f t="shared" si="17"/>
        <v>0</v>
      </c>
    </row>
    <row r="82" spans="1:4" s="835" customFormat="1" ht="47.25" customHeight="1" x14ac:dyDescent="0.45">
      <c r="A82" s="891" t="s">
        <v>839</v>
      </c>
      <c r="B82" s="892">
        <f>SUM(B80:B81)</f>
        <v>179304</v>
      </c>
      <c r="C82" s="892">
        <f>SUM(C80:C81)</f>
        <v>60862</v>
      </c>
      <c r="D82" s="892">
        <f>SUM(D80:D81)</f>
        <v>240166</v>
      </c>
    </row>
    <row r="83" spans="1:4" s="835" customFormat="1" ht="60.75" customHeight="1" x14ac:dyDescent="0.5">
      <c r="A83" s="889" t="s">
        <v>840</v>
      </c>
      <c r="B83" s="893">
        <v>230670</v>
      </c>
      <c r="C83" s="893"/>
      <c r="D83" s="893">
        <f t="shared" si="17"/>
        <v>230670</v>
      </c>
    </row>
    <row r="84" spans="1:4" s="835" customFormat="1" ht="48.75" customHeight="1" x14ac:dyDescent="0.5">
      <c r="A84" s="889" t="s">
        <v>841</v>
      </c>
      <c r="B84" s="894">
        <v>188000</v>
      </c>
      <c r="C84" s="894"/>
      <c r="D84" s="894">
        <f t="shared" si="17"/>
        <v>188000</v>
      </c>
    </row>
    <row r="85" spans="1:4" s="835" customFormat="1" ht="48.75" customHeight="1" x14ac:dyDescent="0.5">
      <c r="A85" s="895" t="s">
        <v>842</v>
      </c>
      <c r="B85" s="894"/>
      <c r="C85" s="894">
        <v>5712</v>
      </c>
      <c r="D85" s="894">
        <f t="shared" si="17"/>
        <v>5712</v>
      </c>
    </row>
    <row r="86" spans="1:4" s="862" customFormat="1" ht="52.5" customHeight="1" x14ac:dyDescent="0.5">
      <c r="A86" s="896" t="s">
        <v>843</v>
      </c>
      <c r="B86" s="894">
        <v>318266</v>
      </c>
      <c r="C86" s="894"/>
      <c r="D86" s="894">
        <f t="shared" si="17"/>
        <v>318266</v>
      </c>
    </row>
    <row r="87" spans="1:4" s="862" customFormat="1" ht="91.5" x14ac:dyDescent="0.5">
      <c r="A87" s="897" t="s">
        <v>844</v>
      </c>
      <c r="B87" s="898">
        <v>116318</v>
      </c>
      <c r="C87" s="898"/>
      <c r="D87" s="894">
        <f t="shared" si="17"/>
        <v>116318</v>
      </c>
    </row>
    <row r="88" spans="1:4" s="862" customFormat="1" ht="121.5" x14ac:dyDescent="0.5">
      <c r="A88" s="897" t="s">
        <v>845</v>
      </c>
      <c r="B88" s="898">
        <v>41020</v>
      </c>
      <c r="C88" s="898"/>
      <c r="D88" s="894">
        <f t="shared" si="17"/>
        <v>41020</v>
      </c>
    </row>
    <row r="89" spans="1:4" s="901" customFormat="1" ht="47.25" customHeight="1" x14ac:dyDescent="0.45">
      <c r="A89" s="899" t="s">
        <v>846</v>
      </c>
      <c r="B89" s="900">
        <f>SUM(B83:B88)</f>
        <v>894274</v>
      </c>
      <c r="C89" s="900">
        <f t="shared" ref="C89:D89" si="18">SUM(C83:C88)</f>
        <v>5712</v>
      </c>
      <c r="D89" s="900">
        <f t="shared" si="18"/>
        <v>899986</v>
      </c>
    </row>
    <row r="90" spans="1:4" s="862" customFormat="1" ht="91.5" x14ac:dyDescent="0.5">
      <c r="A90" s="897" t="s">
        <v>463</v>
      </c>
      <c r="B90" s="902">
        <v>11715</v>
      </c>
      <c r="C90" s="902">
        <v>2840</v>
      </c>
      <c r="D90" s="902">
        <f t="shared" si="17"/>
        <v>14555</v>
      </c>
    </row>
    <row r="91" spans="1:4" s="862" customFormat="1" ht="61.5" x14ac:dyDescent="0.5">
      <c r="A91" s="897" t="s">
        <v>847</v>
      </c>
      <c r="B91" s="902">
        <v>63915</v>
      </c>
      <c r="C91" s="902"/>
      <c r="D91" s="902">
        <f t="shared" si="17"/>
        <v>63915</v>
      </c>
    </row>
    <row r="92" spans="1:4" s="862" customFormat="1" ht="60.75" customHeight="1" x14ac:dyDescent="0.45">
      <c r="A92" s="891" t="s">
        <v>848</v>
      </c>
      <c r="B92" s="903">
        <f>SUM(B90:B91)</f>
        <v>75630</v>
      </c>
      <c r="C92" s="904">
        <f t="shared" ref="C92:D92" si="19">SUM(C90:C91)</f>
        <v>2840</v>
      </c>
      <c r="D92" s="900">
        <f t="shared" si="19"/>
        <v>78470</v>
      </c>
    </row>
    <row r="93" spans="1:4" s="844" customFormat="1" ht="49.5" customHeight="1" x14ac:dyDescent="0.5">
      <c r="A93" s="905" t="s">
        <v>849</v>
      </c>
      <c r="B93" s="906">
        <f>B82+B89+B92</f>
        <v>1149208</v>
      </c>
      <c r="C93" s="906">
        <f t="shared" ref="C93:D93" si="20">C82+C89+C92</f>
        <v>69414</v>
      </c>
      <c r="D93" s="907">
        <f t="shared" si="20"/>
        <v>1218622</v>
      </c>
    </row>
    <row r="94" spans="1:4" s="844" customFormat="1" ht="48.75" customHeight="1" thickBot="1" x14ac:dyDescent="0.55000000000000004">
      <c r="A94" s="908" t="s">
        <v>850</v>
      </c>
      <c r="B94" s="909">
        <f t="shared" ref="B94:D94" si="21">B78+B93</f>
        <v>8619312</v>
      </c>
      <c r="C94" s="909">
        <f t="shared" si="21"/>
        <v>182672</v>
      </c>
      <c r="D94" s="910">
        <f t="shared" si="21"/>
        <v>8801984</v>
      </c>
    </row>
    <row r="95" spans="1:4" s="844" customFormat="1" ht="30.75" customHeight="1" thickTop="1" x14ac:dyDescent="0.5">
      <c r="A95" s="911" t="s">
        <v>851</v>
      </c>
      <c r="B95" s="912"/>
      <c r="C95" s="912"/>
      <c r="D95" s="912"/>
    </row>
    <row r="96" spans="1:4" s="862" customFormat="1" ht="28.5" customHeight="1" x14ac:dyDescent="0.5">
      <c r="A96" s="913" t="s">
        <v>852</v>
      </c>
      <c r="B96" s="846"/>
      <c r="C96" s="846"/>
      <c r="D96" s="846"/>
    </row>
    <row r="97" spans="1:4" s="862" customFormat="1" ht="29.25" customHeight="1" x14ac:dyDescent="0.5">
      <c r="A97" s="914" t="s">
        <v>853</v>
      </c>
      <c r="B97" s="915">
        <v>53000</v>
      </c>
      <c r="C97" s="915"/>
      <c r="D97" s="915">
        <f t="shared" ref="D97:D98" si="22">SUM(B97:C97)</f>
        <v>53000</v>
      </c>
    </row>
    <row r="98" spans="1:4" s="862" customFormat="1" ht="38.25" customHeight="1" thickBot="1" x14ac:dyDescent="0.55000000000000004">
      <c r="A98" s="916" t="s">
        <v>854</v>
      </c>
      <c r="B98" s="917">
        <v>302075</v>
      </c>
      <c r="C98" s="917"/>
      <c r="D98" s="917">
        <f t="shared" si="22"/>
        <v>302075</v>
      </c>
    </row>
    <row r="99" spans="1:4" s="844" customFormat="1" ht="39.75" customHeight="1" thickTop="1" x14ac:dyDescent="0.5">
      <c r="A99" s="918" t="s">
        <v>855</v>
      </c>
      <c r="B99" s="919">
        <f t="shared" ref="B99:D99" si="23">B78+B93+B97+B98</f>
        <v>8974387</v>
      </c>
      <c r="C99" s="919">
        <f t="shared" si="23"/>
        <v>182672</v>
      </c>
      <c r="D99" s="919">
        <f t="shared" si="23"/>
        <v>9157059</v>
      </c>
    </row>
  </sheetData>
  <mergeCells count="2">
    <mergeCell ref="A1:D1"/>
    <mergeCell ref="A2:D2"/>
  </mergeCells>
  <printOptions horizontalCentered="1" verticalCentered="1"/>
  <pageMargins left="0" right="0" top="0" bottom="0" header="0.31496062992125984" footer="0.31496062992125984"/>
  <pageSetup paperSize="9" scale="23" orientation="portrait" r:id="rId1"/>
  <headerFooter>
    <oddHeader>&amp;R&amp;18 &amp;22 5. melléklet az 1/2025.(I.31.) önkormányzati rendelethez
"5. melléklet a 8/2024.(III.5) önkormányzati rendelethez"</oddHeader>
  </headerFooter>
  <rowBreaks count="1" manualBreakCount="1">
    <brk id="45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54"/>
  <sheetViews>
    <sheetView zoomScale="50" zoomScaleNormal="50" zoomScaleSheetLayoutView="50" workbookViewId="0">
      <selection activeCell="A54" sqref="A54"/>
    </sheetView>
  </sheetViews>
  <sheetFormatPr defaultRowHeight="26.45" customHeight="1" x14ac:dyDescent="0.6"/>
  <cols>
    <col min="1" max="1" width="186.33203125" style="651" customWidth="1"/>
    <col min="2" max="10" width="50" style="728" customWidth="1"/>
    <col min="11" max="11" width="186.33203125" style="651" customWidth="1"/>
    <col min="12" max="20" width="50" style="728" customWidth="1"/>
    <col min="21" max="21" width="186.33203125" style="651" customWidth="1"/>
    <col min="22" max="22" width="49.83203125" style="718" customWidth="1"/>
    <col min="23" max="23" width="44.83203125" style="718" customWidth="1"/>
    <col min="24" max="24" width="49.83203125" style="718" customWidth="1"/>
    <col min="25" max="25" width="50" style="718" customWidth="1"/>
    <col min="26" max="26" width="45" style="718" customWidth="1"/>
    <col min="27" max="28" width="50" style="718" customWidth="1"/>
    <col min="29" max="29" width="45" style="718" customWidth="1"/>
    <col min="30" max="30" width="50" style="718" customWidth="1"/>
    <col min="31" max="36" width="49.83203125" style="718" customWidth="1"/>
    <col min="37" max="236" width="9.33203125" style="717"/>
    <col min="237" max="237" width="186.33203125" style="717" customWidth="1"/>
    <col min="238" max="246" width="50" style="717" customWidth="1"/>
    <col min="247" max="247" width="186.33203125" style="717" customWidth="1"/>
    <col min="248" max="256" width="50" style="717" customWidth="1"/>
    <col min="257" max="257" width="186.33203125" style="717" customWidth="1"/>
    <col min="258" max="258" width="49.83203125" style="717" customWidth="1"/>
    <col min="259" max="259" width="44.83203125" style="717" customWidth="1"/>
    <col min="260" max="260" width="49.83203125" style="717" customWidth="1"/>
    <col min="261" max="261" width="50" style="717" customWidth="1"/>
    <col min="262" max="262" width="45" style="717" customWidth="1"/>
    <col min="263" max="264" width="50" style="717" customWidth="1"/>
    <col min="265" max="265" width="45" style="717" customWidth="1"/>
    <col min="266" max="266" width="50" style="717" customWidth="1"/>
    <col min="267" max="272" width="49.83203125" style="717" customWidth="1"/>
    <col min="273" max="273" width="37.1640625" style="717" customWidth="1"/>
    <col min="274" max="274" width="32.83203125" style="717" customWidth="1"/>
    <col min="275" max="275" width="40.83203125" style="717" customWidth="1"/>
    <col min="276" max="276" width="186.33203125" style="717" customWidth="1"/>
    <col min="277" max="492" width="9.33203125" style="717"/>
    <col min="493" max="493" width="186.33203125" style="717" customWidth="1"/>
    <col min="494" max="502" width="50" style="717" customWidth="1"/>
    <col min="503" max="503" width="186.33203125" style="717" customWidth="1"/>
    <col min="504" max="512" width="50" style="717" customWidth="1"/>
    <col min="513" max="513" width="186.33203125" style="717" customWidth="1"/>
    <col min="514" max="514" width="49.83203125" style="717" customWidth="1"/>
    <col min="515" max="515" width="44.83203125" style="717" customWidth="1"/>
    <col min="516" max="516" width="49.83203125" style="717" customWidth="1"/>
    <col min="517" max="517" width="50" style="717" customWidth="1"/>
    <col min="518" max="518" width="45" style="717" customWidth="1"/>
    <col min="519" max="520" width="50" style="717" customWidth="1"/>
    <col min="521" max="521" width="45" style="717" customWidth="1"/>
    <col min="522" max="522" width="50" style="717" customWidth="1"/>
    <col min="523" max="528" width="49.83203125" style="717" customWidth="1"/>
    <col min="529" max="529" width="37.1640625" style="717" customWidth="1"/>
    <col min="530" max="530" width="32.83203125" style="717" customWidth="1"/>
    <col min="531" max="531" width="40.83203125" style="717" customWidth="1"/>
    <col min="532" max="532" width="186.33203125" style="717" customWidth="1"/>
    <col min="533" max="748" width="9.33203125" style="717"/>
    <col min="749" max="749" width="186.33203125" style="717" customWidth="1"/>
    <col min="750" max="758" width="50" style="717" customWidth="1"/>
    <col min="759" max="759" width="186.33203125" style="717" customWidth="1"/>
    <col min="760" max="768" width="50" style="717" customWidth="1"/>
    <col min="769" max="769" width="186.33203125" style="717" customWidth="1"/>
    <col min="770" max="770" width="49.83203125" style="717" customWidth="1"/>
    <col min="771" max="771" width="44.83203125" style="717" customWidth="1"/>
    <col min="772" max="772" width="49.83203125" style="717" customWidth="1"/>
    <col min="773" max="773" width="50" style="717" customWidth="1"/>
    <col min="774" max="774" width="45" style="717" customWidth="1"/>
    <col min="775" max="776" width="50" style="717" customWidth="1"/>
    <col min="777" max="777" width="45" style="717" customWidth="1"/>
    <col min="778" max="778" width="50" style="717" customWidth="1"/>
    <col min="779" max="784" width="49.83203125" style="717" customWidth="1"/>
    <col min="785" max="785" width="37.1640625" style="717" customWidth="1"/>
    <col min="786" max="786" width="32.83203125" style="717" customWidth="1"/>
    <col min="787" max="787" width="40.83203125" style="717" customWidth="1"/>
    <col min="788" max="788" width="186.33203125" style="717" customWidth="1"/>
    <col min="789" max="1004" width="9.33203125" style="717"/>
    <col min="1005" max="1005" width="186.33203125" style="717" customWidth="1"/>
    <col min="1006" max="1014" width="50" style="717" customWidth="1"/>
    <col min="1015" max="1015" width="186.33203125" style="717" customWidth="1"/>
    <col min="1016" max="1024" width="50" style="717" customWidth="1"/>
    <col min="1025" max="1025" width="186.33203125" style="717" customWidth="1"/>
    <col min="1026" max="1026" width="49.83203125" style="717" customWidth="1"/>
    <col min="1027" max="1027" width="44.83203125" style="717" customWidth="1"/>
    <col min="1028" max="1028" width="49.83203125" style="717" customWidth="1"/>
    <col min="1029" max="1029" width="50" style="717" customWidth="1"/>
    <col min="1030" max="1030" width="45" style="717" customWidth="1"/>
    <col min="1031" max="1032" width="50" style="717" customWidth="1"/>
    <col min="1033" max="1033" width="45" style="717" customWidth="1"/>
    <col min="1034" max="1034" width="50" style="717" customWidth="1"/>
    <col min="1035" max="1040" width="49.83203125" style="717" customWidth="1"/>
    <col min="1041" max="1041" width="37.1640625" style="717" customWidth="1"/>
    <col min="1042" max="1042" width="32.83203125" style="717" customWidth="1"/>
    <col min="1043" max="1043" width="40.83203125" style="717" customWidth="1"/>
    <col min="1044" max="1044" width="186.33203125" style="717" customWidth="1"/>
    <col min="1045" max="1260" width="9.33203125" style="717"/>
    <col min="1261" max="1261" width="186.33203125" style="717" customWidth="1"/>
    <col min="1262" max="1270" width="50" style="717" customWidth="1"/>
    <col min="1271" max="1271" width="186.33203125" style="717" customWidth="1"/>
    <col min="1272" max="1280" width="50" style="717" customWidth="1"/>
    <col min="1281" max="1281" width="186.33203125" style="717" customWidth="1"/>
    <col min="1282" max="1282" width="49.83203125" style="717" customWidth="1"/>
    <col min="1283" max="1283" width="44.83203125" style="717" customWidth="1"/>
    <col min="1284" max="1284" width="49.83203125" style="717" customWidth="1"/>
    <col min="1285" max="1285" width="50" style="717" customWidth="1"/>
    <col min="1286" max="1286" width="45" style="717" customWidth="1"/>
    <col min="1287" max="1288" width="50" style="717" customWidth="1"/>
    <col min="1289" max="1289" width="45" style="717" customWidth="1"/>
    <col min="1290" max="1290" width="50" style="717" customWidth="1"/>
    <col min="1291" max="1296" width="49.83203125" style="717" customWidth="1"/>
    <col min="1297" max="1297" width="37.1640625" style="717" customWidth="1"/>
    <col min="1298" max="1298" width="32.83203125" style="717" customWidth="1"/>
    <col min="1299" max="1299" width="40.83203125" style="717" customWidth="1"/>
    <col min="1300" max="1300" width="186.33203125" style="717" customWidth="1"/>
    <col min="1301" max="1516" width="9.33203125" style="717"/>
    <col min="1517" max="1517" width="186.33203125" style="717" customWidth="1"/>
    <col min="1518" max="1526" width="50" style="717" customWidth="1"/>
    <col min="1527" max="1527" width="186.33203125" style="717" customWidth="1"/>
    <col min="1528" max="1536" width="50" style="717" customWidth="1"/>
    <col min="1537" max="1537" width="186.33203125" style="717" customWidth="1"/>
    <col min="1538" max="1538" width="49.83203125" style="717" customWidth="1"/>
    <col min="1539" max="1539" width="44.83203125" style="717" customWidth="1"/>
    <col min="1540" max="1540" width="49.83203125" style="717" customWidth="1"/>
    <col min="1541" max="1541" width="50" style="717" customWidth="1"/>
    <col min="1542" max="1542" width="45" style="717" customWidth="1"/>
    <col min="1543" max="1544" width="50" style="717" customWidth="1"/>
    <col min="1545" max="1545" width="45" style="717" customWidth="1"/>
    <col min="1546" max="1546" width="50" style="717" customWidth="1"/>
    <col min="1547" max="1552" width="49.83203125" style="717" customWidth="1"/>
    <col min="1553" max="1553" width="37.1640625" style="717" customWidth="1"/>
    <col min="1554" max="1554" width="32.83203125" style="717" customWidth="1"/>
    <col min="1555" max="1555" width="40.83203125" style="717" customWidth="1"/>
    <col min="1556" max="1556" width="186.33203125" style="717" customWidth="1"/>
    <col min="1557" max="1772" width="9.33203125" style="717"/>
    <col min="1773" max="1773" width="186.33203125" style="717" customWidth="1"/>
    <col min="1774" max="1782" width="50" style="717" customWidth="1"/>
    <col min="1783" max="1783" width="186.33203125" style="717" customWidth="1"/>
    <col min="1784" max="1792" width="50" style="717" customWidth="1"/>
    <col min="1793" max="1793" width="186.33203125" style="717" customWidth="1"/>
    <col min="1794" max="1794" width="49.83203125" style="717" customWidth="1"/>
    <col min="1795" max="1795" width="44.83203125" style="717" customWidth="1"/>
    <col min="1796" max="1796" width="49.83203125" style="717" customWidth="1"/>
    <col min="1797" max="1797" width="50" style="717" customWidth="1"/>
    <col min="1798" max="1798" width="45" style="717" customWidth="1"/>
    <col min="1799" max="1800" width="50" style="717" customWidth="1"/>
    <col min="1801" max="1801" width="45" style="717" customWidth="1"/>
    <col min="1802" max="1802" width="50" style="717" customWidth="1"/>
    <col min="1803" max="1808" width="49.83203125" style="717" customWidth="1"/>
    <col min="1809" max="1809" width="37.1640625" style="717" customWidth="1"/>
    <col min="1810" max="1810" width="32.83203125" style="717" customWidth="1"/>
    <col min="1811" max="1811" width="40.83203125" style="717" customWidth="1"/>
    <col min="1812" max="1812" width="186.33203125" style="717" customWidth="1"/>
    <col min="1813" max="2028" width="9.33203125" style="717"/>
    <col min="2029" max="2029" width="186.33203125" style="717" customWidth="1"/>
    <col min="2030" max="2038" width="50" style="717" customWidth="1"/>
    <col min="2039" max="2039" width="186.33203125" style="717" customWidth="1"/>
    <col min="2040" max="2048" width="50" style="717" customWidth="1"/>
    <col min="2049" max="2049" width="186.33203125" style="717" customWidth="1"/>
    <col min="2050" max="2050" width="49.83203125" style="717" customWidth="1"/>
    <col min="2051" max="2051" width="44.83203125" style="717" customWidth="1"/>
    <col min="2052" max="2052" width="49.83203125" style="717" customWidth="1"/>
    <col min="2053" max="2053" width="50" style="717" customWidth="1"/>
    <col min="2054" max="2054" width="45" style="717" customWidth="1"/>
    <col min="2055" max="2056" width="50" style="717" customWidth="1"/>
    <col min="2057" max="2057" width="45" style="717" customWidth="1"/>
    <col min="2058" max="2058" width="50" style="717" customWidth="1"/>
    <col min="2059" max="2064" width="49.83203125" style="717" customWidth="1"/>
    <col min="2065" max="2065" width="37.1640625" style="717" customWidth="1"/>
    <col min="2066" max="2066" width="32.83203125" style="717" customWidth="1"/>
    <col min="2067" max="2067" width="40.83203125" style="717" customWidth="1"/>
    <col min="2068" max="2068" width="186.33203125" style="717" customWidth="1"/>
    <col min="2069" max="2284" width="9.33203125" style="717"/>
    <col min="2285" max="2285" width="186.33203125" style="717" customWidth="1"/>
    <col min="2286" max="2294" width="50" style="717" customWidth="1"/>
    <col min="2295" max="2295" width="186.33203125" style="717" customWidth="1"/>
    <col min="2296" max="2304" width="50" style="717" customWidth="1"/>
    <col min="2305" max="2305" width="186.33203125" style="717" customWidth="1"/>
    <col min="2306" max="2306" width="49.83203125" style="717" customWidth="1"/>
    <col min="2307" max="2307" width="44.83203125" style="717" customWidth="1"/>
    <col min="2308" max="2308" width="49.83203125" style="717" customWidth="1"/>
    <col min="2309" max="2309" width="50" style="717" customWidth="1"/>
    <col min="2310" max="2310" width="45" style="717" customWidth="1"/>
    <col min="2311" max="2312" width="50" style="717" customWidth="1"/>
    <col min="2313" max="2313" width="45" style="717" customWidth="1"/>
    <col min="2314" max="2314" width="50" style="717" customWidth="1"/>
    <col min="2315" max="2320" width="49.83203125" style="717" customWidth="1"/>
    <col min="2321" max="2321" width="37.1640625" style="717" customWidth="1"/>
    <col min="2322" max="2322" width="32.83203125" style="717" customWidth="1"/>
    <col min="2323" max="2323" width="40.83203125" style="717" customWidth="1"/>
    <col min="2324" max="2324" width="186.33203125" style="717" customWidth="1"/>
    <col min="2325" max="2540" width="9.33203125" style="717"/>
    <col min="2541" max="2541" width="186.33203125" style="717" customWidth="1"/>
    <col min="2542" max="2550" width="50" style="717" customWidth="1"/>
    <col min="2551" max="2551" width="186.33203125" style="717" customWidth="1"/>
    <col min="2552" max="2560" width="50" style="717" customWidth="1"/>
    <col min="2561" max="2561" width="186.33203125" style="717" customWidth="1"/>
    <col min="2562" max="2562" width="49.83203125" style="717" customWidth="1"/>
    <col min="2563" max="2563" width="44.83203125" style="717" customWidth="1"/>
    <col min="2564" max="2564" width="49.83203125" style="717" customWidth="1"/>
    <col min="2565" max="2565" width="50" style="717" customWidth="1"/>
    <col min="2566" max="2566" width="45" style="717" customWidth="1"/>
    <col min="2567" max="2568" width="50" style="717" customWidth="1"/>
    <col min="2569" max="2569" width="45" style="717" customWidth="1"/>
    <col min="2570" max="2570" width="50" style="717" customWidth="1"/>
    <col min="2571" max="2576" width="49.83203125" style="717" customWidth="1"/>
    <col min="2577" max="2577" width="37.1640625" style="717" customWidth="1"/>
    <col min="2578" max="2578" width="32.83203125" style="717" customWidth="1"/>
    <col min="2579" max="2579" width="40.83203125" style="717" customWidth="1"/>
    <col min="2580" max="2580" width="186.33203125" style="717" customWidth="1"/>
    <col min="2581" max="2796" width="9.33203125" style="717"/>
    <col min="2797" max="2797" width="186.33203125" style="717" customWidth="1"/>
    <col min="2798" max="2806" width="50" style="717" customWidth="1"/>
    <col min="2807" max="2807" width="186.33203125" style="717" customWidth="1"/>
    <col min="2808" max="2816" width="50" style="717" customWidth="1"/>
    <col min="2817" max="2817" width="186.33203125" style="717" customWidth="1"/>
    <col min="2818" max="2818" width="49.83203125" style="717" customWidth="1"/>
    <col min="2819" max="2819" width="44.83203125" style="717" customWidth="1"/>
    <col min="2820" max="2820" width="49.83203125" style="717" customWidth="1"/>
    <col min="2821" max="2821" width="50" style="717" customWidth="1"/>
    <col min="2822" max="2822" width="45" style="717" customWidth="1"/>
    <col min="2823" max="2824" width="50" style="717" customWidth="1"/>
    <col min="2825" max="2825" width="45" style="717" customWidth="1"/>
    <col min="2826" max="2826" width="50" style="717" customWidth="1"/>
    <col min="2827" max="2832" width="49.83203125" style="717" customWidth="1"/>
    <col min="2833" max="2833" width="37.1640625" style="717" customWidth="1"/>
    <col min="2834" max="2834" width="32.83203125" style="717" customWidth="1"/>
    <col min="2835" max="2835" width="40.83203125" style="717" customWidth="1"/>
    <col min="2836" max="2836" width="186.33203125" style="717" customWidth="1"/>
    <col min="2837" max="3052" width="9.33203125" style="717"/>
    <col min="3053" max="3053" width="186.33203125" style="717" customWidth="1"/>
    <col min="3054" max="3062" width="50" style="717" customWidth="1"/>
    <col min="3063" max="3063" width="186.33203125" style="717" customWidth="1"/>
    <col min="3064" max="3072" width="50" style="717" customWidth="1"/>
    <col min="3073" max="3073" width="186.33203125" style="717" customWidth="1"/>
    <col min="3074" max="3074" width="49.83203125" style="717" customWidth="1"/>
    <col min="3075" max="3075" width="44.83203125" style="717" customWidth="1"/>
    <col min="3076" max="3076" width="49.83203125" style="717" customWidth="1"/>
    <col min="3077" max="3077" width="50" style="717" customWidth="1"/>
    <col min="3078" max="3078" width="45" style="717" customWidth="1"/>
    <col min="3079" max="3080" width="50" style="717" customWidth="1"/>
    <col min="3081" max="3081" width="45" style="717" customWidth="1"/>
    <col min="3082" max="3082" width="50" style="717" customWidth="1"/>
    <col min="3083" max="3088" width="49.83203125" style="717" customWidth="1"/>
    <col min="3089" max="3089" width="37.1640625" style="717" customWidth="1"/>
    <col min="3090" max="3090" width="32.83203125" style="717" customWidth="1"/>
    <col min="3091" max="3091" width="40.83203125" style="717" customWidth="1"/>
    <col min="3092" max="3092" width="186.33203125" style="717" customWidth="1"/>
    <col min="3093" max="3308" width="9.33203125" style="717"/>
    <col min="3309" max="3309" width="186.33203125" style="717" customWidth="1"/>
    <col min="3310" max="3318" width="50" style="717" customWidth="1"/>
    <col min="3319" max="3319" width="186.33203125" style="717" customWidth="1"/>
    <col min="3320" max="3328" width="50" style="717" customWidth="1"/>
    <col min="3329" max="3329" width="186.33203125" style="717" customWidth="1"/>
    <col min="3330" max="3330" width="49.83203125" style="717" customWidth="1"/>
    <col min="3331" max="3331" width="44.83203125" style="717" customWidth="1"/>
    <col min="3332" max="3332" width="49.83203125" style="717" customWidth="1"/>
    <col min="3333" max="3333" width="50" style="717" customWidth="1"/>
    <col min="3334" max="3334" width="45" style="717" customWidth="1"/>
    <col min="3335" max="3336" width="50" style="717" customWidth="1"/>
    <col min="3337" max="3337" width="45" style="717" customWidth="1"/>
    <col min="3338" max="3338" width="50" style="717" customWidth="1"/>
    <col min="3339" max="3344" width="49.83203125" style="717" customWidth="1"/>
    <col min="3345" max="3345" width="37.1640625" style="717" customWidth="1"/>
    <col min="3346" max="3346" width="32.83203125" style="717" customWidth="1"/>
    <col min="3347" max="3347" width="40.83203125" style="717" customWidth="1"/>
    <col min="3348" max="3348" width="186.33203125" style="717" customWidth="1"/>
    <col min="3349" max="3564" width="9.33203125" style="717"/>
    <col min="3565" max="3565" width="186.33203125" style="717" customWidth="1"/>
    <col min="3566" max="3574" width="50" style="717" customWidth="1"/>
    <col min="3575" max="3575" width="186.33203125" style="717" customWidth="1"/>
    <col min="3576" max="3584" width="50" style="717" customWidth="1"/>
    <col min="3585" max="3585" width="186.33203125" style="717" customWidth="1"/>
    <col min="3586" max="3586" width="49.83203125" style="717" customWidth="1"/>
    <col min="3587" max="3587" width="44.83203125" style="717" customWidth="1"/>
    <col min="3588" max="3588" width="49.83203125" style="717" customWidth="1"/>
    <col min="3589" max="3589" width="50" style="717" customWidth="1"/>
    <col min="3590" max="3590" width="45" style="717" customWidth="1"/>
    <col min="3591" max="3592" width="50" style="717" customWidth="1"/>
    <col min="3593" max="3593" width="45" style="717" customWidth="1"/>
    <col min="3594" max="3594" width="50" style="717" customWidth="1"/>
    <col min="3595" max="3600" width="49.83203125" style="717" customWidth="1"/>
    <col min="3601" max="3601" width="37.1640625" style="717" customWidth="1"/>
    <col min="3602" max="3602" width="32.83203125" style="717" customWidth="1"/>
    <col min="3603" max="3603" width="40.83203125" style="717" customWidth="1"/>
    <col min="3604" max="3604" width="186.33203125" style="717" customWidth="1"/>
    <col min="3605" max="3820" width="9.33203125" style="717"/>
    <col min="3821" max="3821" width="186.33203125" style="717" customWidth="1"/>
    <col min="3822" max="3830" width="50" style="717" customWidth="1"/>
    <col min="3831" max="3831" width="186.33203125" style="717" customWidth="1"/>
    <col min="3832" max="3840" width="50" style="717" customWidth="1"/>
    <col min="3841" max="3841" width="186.33203125" style="717" customWidth="1"/>
    <col min="3842" max="3842" width="49.83203125" style="717" customWidth="1"/>
    <col min="3843" max="3843" width="44.83203125" style="717" customWidth="1"/>
    <col min="3844" max="3844" width="49.83203125" style="717" customWidth="1"/>
    <col min="3845" max="3845" width="50" style="717" customWidth="1"/>
    <col min="3846" max="3846" width="45" style="717" customWidth="1"/>
    <col min="3847" max="3848" width="50" style="717" customWidth="1"/>
    <col min="3849" max="3849" width="45" style="717" customWidth="1"/>
    <col min="3850" max="3850" width="50" style="717" customWidth="1"/>
    <col min="3851" max="3856" width="49.83203125" style="717" customWidth="1"/>
    <col min="3857" max="3857" width="37.1640625" style="717" customWidth="1"/>
    <col min="3858" max="3858" width="32.83203125" style="717" customWidth="1"/>
    <col min="3859" max="3859" width="40.83203125" style="717" customWidth="1"/>
    <col min="3860" max="3860" width="186.33203125" style="717" customWidth="1"/>
    <col min="3861" max="4076" width="9.33203125" style="717"/>
    <col min="4077" max="4077" width="186.33203125" style="717" customWidth="1"/>
    <col min="4078" max="4086" width="50" style="717" customWidth="1"/>
    <col min="4087" max="4087" width="186.33203125" style="717" customWidth="1"/>
    <col min="4088" max="4096" width="50" style="717" customWidth="1"/>
    <col min="4097" max="4097" width="186.33203125" style="717" customWidth="1"/>
    <col min="4098" max="4098" width="49.83203125" style="717" customWidth="1"/>
    <col min="4099" max="4099" width="44.83203125" style="717" customWidth="1"/>
    <col min="4100" max="4100" width="49.83203125" style="717" customWidth="1"/>
    <col min="4101" max="4101" width="50" style="717" customWidth="1"/>
    <col min="4102" max="4102" width="45" style="717" customWidth="1"/>
    <col min="4103" max="4104" width="50" style="717" customWidth="1"/>
    <col min="4105" max="4105" width="45" style="717" customWidth="1"/>
    <col min="4106" max="4106" width="50" style="717" customWidth="1"/>
    <col min="4107" max="4112" width="49.83203125" style="717" customWidth="1"/>
    <col min="4113" max="4113" width="37.1640625" style="717" customWidth="1"/>
    <col min="4114" max="4114" width="32.83203125" style="717" customWidth="1"/>
    <col min="4115" max="4115" width="40.83203125" style="717" customWidth="1"/>
    <col min="4116" max="4116" width="186.33203125" style="717" customWidth="1"/>
    <col min="4117" max="4332" width="9.33203125" style="717"/>
    <col min="4333" max="4333" width="186.33203125" style="717" customWidth="1"/>
    <col min="4334" max="4342" width="50" style="717" customWidth="1"/>
    <col min="4343" max="4343" width="186.33203125" style="717" customWidth="1"/>
    <col min="4344" max="4352" width="50" style="717" customWidth="1"/>
    <col min="4353" max="4353" width="186.33203125" style="717" customWidth="1"/>
    <col min="4354" max="4354" width="49.83203125" style="717" customWidth="1"/>
    <col min="4355" max="4355" width="44.83203125" style="717" customWidth="1"/>
    <col min="4356" max="4356" width="49.83203125" style="717" customWidth="1"/>
    <col min="4357" max="4357" width="50" style="717" customWidth="1"/>
    <col min="4358" max="4358" width="45" style="717" customWidth="1"/>
    <col min="4359" max="4360" width="50" style="717" customWidth="1"/>
    <col min="4361" max="4361" width="45" style="717" customWidth="1"/>
    <col min="4362" max="4362" width="50" style="717" customWidth="1"/>
    <col min="4363" max="4368" width="49.83203125" style="717" customWidth="1"/>
    <col min="4369" max="4369" width="37.1640625" style="717" customWidth="1"/>
    <col min="4370" max="4370" width="32.83203125" style="717" customWidth="1"/>
    <col min="4371" max="4371" width="40.83203125" style="717" customWidth="1"/>
    <col min="4372" max="4372" width="186.33203125" style="717" customWidth="1"/>
    <col min="4373" max="4588" width="9.33203125" style="717"/>
    <col min="4589" max="4589" width="186.33203125" style="717" customWidth="1"/>
    <col min="4590" max="4598" width="50" style="717" customWidth="1"/>
    <col min="4599" max="4599" width="186.33203125" style="717" customWidth="1"/>
    <col min="4600" max="4608" width="50" style="717" customWidth="1"/>
    <col min="4609" max="4609" width="186.33203125" style="717" customWidth="1"/>
    <col min="4610" max="4610" width="49.83203125" style="717" customWidth="1"/>
    <col min="4611" max="4611" width="44.83203125" style="717" customWidth="1"/>
    <col min="4612" max="4612" width="49.83203125" style="717" customWidth="1"/>
    <col min="4613" max="4613" width="50" style="717" customWidth="1"/>
    <col min="4614" max="4614" width="45" style="717" customWidth="1"/>
    <col min="4615" max="4616" width="50" style="717" customWidth="1"/>
    <col min="4617" max="4617" width="45" style="717" customWidth="1"/>
    <col min="4618" max="4618" width="50" style="717" customWidth="1"/>
    <col min="4619" max="4624" width="49.83203125" style="717" customWidth="1"/>
    <col min="4625" max="4625" width="37.1640625" style="717" customWidth="1"/>
    <col min="4626" max="4626" width="32.83203125" style="717" customWidth="1"/>
    <col min="4627" max="4627" width="40.83203125" style="717" customWidth="1"/>
    <col min="4628" max="4628" width="186.33203125" style="717" customWidth="1"/>
    <col min="4629" max="4844" width="9.33203125" style="717"/>
    <col min="4845" max="4845" width="186.33203125" style="717" customWidth="1"/>
    <col min="4846" max="4854" width="50" style="717" customWidth="1"/>
    <col min="4855" max="4855" width="186.33203125" style="717" customWidth="1"/>
    <col min="4856" max="4864" width="50" style="717" customWidth="1"/>
    <col min="4865" max="4865" width="186.33203125" style="717" customWidth="1"/>
    <col min="4866" max="4866" width="49.83203125" style="717" customWidth="1"/>
    <col min="4867" max="4867" width="44.83203125" style="717" customWidth="1"/>
    <col min="4868" max="4868" width="49.83203125" style="717" customWidth="1"/>
    <col min="4869" max="4869" width="50" style="717" customWidth="1"/>
    <col min="4870" max="4870" width="45" style="717" customWidth="1"/>
    <col min="4871" max="4872" width="50" style="717" customWidth="1"/>
    <col min="4873" max="4873" width="45" style="717" customWidth="1"/>
    <col min="4874" max="4874" width="50" style="717" customWidth="1"/>
    <col min="4875" max="4880" width="49.83203125" style="717" customWidth="1"/>
    <col min="4881" max="4881" width="37.1640625" style="717" customWidth="1"/>
    <col min="4882" max="4882" width="32.83203125" style="717" customWidth="1"/>
    <col min="4883" max="4883" width="40.83203125" style="717" customWidth="1"/>
    <col min="4884" max="4884" width="186.33203125" style="717" customWidth="1"/>
    <col min="4885" max="5100" width="9.33203125" style="717"/>
    <col min="5101" max="5101" width="186.33203125" style="717" customWidth="1"/>
    <col min="5102" max="5110" width="50" style="717" customWidth="1"/>
    <col min="5111" max="5111" width="186.33203125" style="717" customWidth="1"/>
    <col min="5112" max="5120" width="50" style="717" customWidth="1"/>
    <col min="5121" max="5121" width="186.33203125" style="717" customWidth="1"/>
    <col min="5122" max="5122" width="49.83203125" style="717" customWidth="1"/>
    <col min="5123" max="5123" width="44.83203125" style="717" customWidth="1"/>
    <col min="5124" max="5124" width="49.83203125" style="717" customWidth="1"/>
    <col min="5125" max="5125" width="50" style="717" customWidth="1"/>
    <col min="5126" max="5126" width="45" style="717" customWidth="1"/>
    <col min="5127" max="5128" width="50" style="717" customWidth="1"/>
    <col min="5129" max="5129" width="45" style="717" customWidth="1"/>
    <col min="5130" max="5130" width="50" style="717" customWidth="1"/>
    <col min="5131" max="5136" width="49.83203125" style="717" customWidth="1"/>
    <col min="5137" max="5137" width="37.1640625" style="717" customWidth="1"/>
    <col min="5138" max="5138" width="32.83203125" style="717" customWidth="1"/>
    <col min="5139" max="5139" width="40.83203125" style="717" customWidth="1"/>
    <col min="5140" max="5140" width="186.33203125" style="717" customWidth="1"/>
    <col min="5141" max="5356" width="9.33203125" style="717"/>
    <col min="5357" max="5357" width="186.33203125" style="717" customWidth="1"/>
    <col min="5358" max="5366" width="50" style="717" customWidth="1"/>
    <col min="5367" max="5367" width="186.33203125" style="717" customWidth="1"/>
    <col min="5368" max="5376" width="50" style="717" customWidth="1"/>
    <col min="5377" max="5377" width="186.33203125" style="717" customWidth="1"/>
    <col min="5378" max="5378" width="49.83203125" style="717" customWidth="1"/>
    <col min="5379" max="5379" width="44.83203125" style="717" customWidth="1"/>
    <col min="5380" max="5380" width="49.83203125" style="717" customWidth="1"/>
    <col min="5381" max="5381" width="50" style="717" customWidth="1"/>
    <col min="5382" max="5382" width="45" style="717" customWidth="1"/>
    <col min="5383" max="5384" width="50" style="717" customWidth="1"/>
    <col min="5385" max="5385" width="45" style="717" customWidth="1"/>
    <col min="5386" max="5386" width="50" style="717" customWidth="1"/>
    <col min="5387" max="5392" width="49.83203125" style="717" customWidth="1"/>
    <col min="5393" max="5393" width="37.1640625" style="717" customWidth="1"/>
    <col min="5394" max="5394" width="32.83203125" style="717" customWidth="1"/>
    <col min="5395" max="5395" width="40.83203125" style="717" customWidth="1"/>
    <col min="5396" max="5396" width="186.33203125" style="717" customWidth="1"/>
    <col min="5397" max="5612" width="9.33203125" style="717"/>
    <col min="5613" max="5613" width="186.33203125" style="717" customWidth="1"/>
    <col min="5614" max="5622" width="50" style="717" customWidth="1"/>
    <col min="5623" max="5623" width="186.33203125" style="717" customWidth="1"/>
    <col min="5624" max="5632" width="50" style="717" customWidth="1"/>
    <col min="5633" max="5633" width="186.33203125" style="717" customWidth="1"/>
    <col min="5634" max="5634" width="49.83203125" style="717" customWidth="1"/>
    <col min="5635" max="5635" width="44.83203125" style="717" customWidth="1"/>
    <col min="5636" max="5636" width="49.83203125" style="717" customWidth="1"/>
    <col min="5637" max="5637" width="50" style="717" customWidth="1"/>
    <col min="5638" max="5638" width="45" style="717" customWidth="1"/>
    <col min="5639" max="5640" width="50" style="717" customWidth="1"/>
    <col min="5641" max="5641" width="45" style="717" customWidth="1"/>
    <col min="5642" max="5642" width="50" style="717" customWidth="1"/>
    <col min="5643" max="5648" width="49.83203125" style="717" customWidth="1"/>
    <col min="5649" max="5649" width="37.1640625" style="717" customWidth="1"/>
    <col min="5650" max="5650" width="32.83203125" style="717" customWidth="1"/>
    <col min="5651" max="5651" width="40.83203125" style="717" customWidth="1"/>
    <col min="5652" max="5652" width="186.33203125" style="717" customWidth="1"/>
    <col min="5653" max="5868" width="9.33203125" style="717"/>
    <col min="5869" max="5869" width="186.33203125" style="717" customWidth="1"/>
    <col min="5870" max="5878" width="50" style="717" customWidth="1"/>
    <col min="5879" max="5879" width="186.33203125" style="717" customWidth="1"/>
    <col min="5880" max="5888" width="50" style="717" customWidth="1"/>
    <col min="5889" max="5889" width="186.33203125" style="717" customWidth="1"/>
    <col min="5890" max="5890" width="49.83203125" style="717" customWidth="1"/>
    <col min="5891" max="5891" width="44.83203125" style="717" customWidth="1"/>
    <col min="5892" max="5892" width="49.83203125" style="717" customWidth="1"/>
    <col min="5893" max="5893" width="50" style="717" customWidth="1"/>
    <col min="5894" max="5894" width="45" style="717" customWidth="1"/>
    <col min="5895" max="5896" width="50" style="717" customWidth="1"/>
    <col min="5897" max="5897" width="45" style="717" customWidth="1"/>
    <col min="5898" max="5898" width="50" style="717" customWidth="1"/>
    <col min="5899" max="5904" width="49.83203125" style="717" customWidth="1"/>
    <col min="5905" max="5905" width="37.1640625" style="717" customWidth="1"/>
    <col min="5906" max="5906" width="32.83203125" style="717" customWidth="1"/>
    <col min="5907" max="5907" width="40.83203125" style="717" customWidth="1"/>
    <col min="5908" max="5908" width="186.33203125" style="717" customWidth="1"/>
    <col min="5909" max="6124" width="9.33203125" style="717"/>
    <col min="6125" max="6125" width="186.33203125" style="717" customWidth="1"/>
    <col min="6126" max="6134" width="50" style="717" customWidth="1"/>
    <col min="6135" max="6135" width="186.33203125" style="717" customWidth="1"/>
    <col min="6136" max="6144" width="50" style="717" customWidth="1"/>
    <col min="6145" max="6145" width="186.33203125" style="717" customWidth="1"/>
    <col min="6146" max="6146" width="49.83203125" style="717" customWidth="1"/>
    <col min="6147" max="6147" width="44.83203125" style="717" customWidth="1"/>
    <col min="6148" max="6148" width="49.83203125" style="717" customWidth="1"/>
    <col min="6149" max="6149" width="50" style="717" customWidth="1"/>
    <col min="6150" max="6150" width="45" style="717" customWidth="1"/>
    <col min="6151" max="6152" width="50" style="717" customWidth="1"/>
    <col min="6153" max="6153" width="45" style="717" customWidth="1"/>
    <col min="6154" max="6154" width="50" style="717" customWidth="1"/>
    <col min="6155" max="6160" width="49.83203125" style="717" customWidth="1"/>
    <col min="6161" max="6161" width="37.1640625" style="717" customWidth="1"/>
    <col min="6162" max="6162" width="32.83203125" style="717" customWidth="1"/>
    <col min="6163" max="6163" width="40.83203125" style="717" customWidth="1"/>
    <col min="6164" max="6164" width="186.33203125" style="717" customWidth="1"/>
    <col min="6165" max="6380" width="9.33203125" style="717"/>
    <col min="6381" max="6381" width="186.33203125" style="717" customWidth="1"/>
    <col min="6382" max="6390" width="50" style="717" customWidth="1"/>
    <col min="6391" max="6391" width="186.33203125" style="717" customWidth="1"/>
    <col min="6392" max="6400" width="50" style="717" customWidth="1"/>
    <col min="6401" max="6401" width="186.33203125" style="717" customWidth="1"/>
    <col min="6402" max="6402" width="49.83203125" style="717" customWidth="1"/>
    <col min="6403" max="6403" width="44.83203125" style="717" customWidth="1"/>
    <col min="6404" max="6404" width="49.83203125" style="717" customWidth="1"/>
    <col min="6405" max="6405" width="50" style="717" customWidth="1"/>
    <col min="6406" max="6406" width="45" style="717" customWidth="1"/>
    <col min="6407" max="6408" width="50" style="717" customWidth="1"/>
    <col min="6409" max="6409" width="45" style="717" customWidth="1"/>
    <col min="6410" max="6410" width="50" style="717" customWidth="1"/>
    <col min="6411" max="6416" width="49.83203125" style="717" customWidth="1"/>
    <col min="6417" max="6417" width="37.1640625" style="717" customWidth="1"/>
    <col min="6418" max="6418" width="32.83203125" style="717" customWidth="1"/>
    <col min="6419" max="6419" width="40.83203125" style="717" customWidth="1"/>
    <col min="6420" max="6420" width="186.33203125" style="717" customWidth="1"/>
    <col min="6421" max="6636" width="9.33203125" style="717"/>
    <col min="6637" max="6637" width="186.33203125" style="717" customWidth="1"/>
    <col min="6638" max="6646" width="50" style="717" customWidth="1"/>
    <col min="6647" max="6647" width="186.33203125" style="717" customWidth="1"/>
    <col min="6648" max="6656" width="50" style="717" customWidth="1"/>
    <col min="6657" max="6657" width="186.33203125" style="717" customWidth="1"/>
    <col min="6658" max="6658" width="49.83203125" style="717" customWidth="1"/>
    <col min="6659" max="6659" width="44.83203125" style="717" customWidth="1"/>
    <col min="6660" max="6660" width="49.83203125" style="717" customWidth="1"/>
    <col min="6661" max="6661" width="50" style="717" customWidth="1"/>
    <col min="6662" max="6662" width="45" style="717" customWidth="1"/>
    <col min="6663" max="6664" width="50" style="717" customWidth="1"/>
    <col min="6665" max="6665" width="45" style="717" customWidth="1"/>
    <col min="6666" max="6666" width="50" style="717" customWidth="1"/>
    <col min="6667" max="6672" width="49.83203125" style="717" customWidth="1"/>
    <col min="6673" max="6673" width="37.1640625" style="717" customWidth="1"/>
    <col min="6674" max="6674" width="32.83203125" style="717" customWidth="1"/>
    <col min="6675" max="6675" width="40.83203125" style="717" customWidth="1"/>
    <col min="6676" max="6676" width="186.33203125" style="717" customWidth="1"/>
    <col min="6677" max="6892" width="9.33203125" style="717"/>
    <col min="6893" max="6893" width="186.33203125" style="717" customWidth="1"/>
    <col min="6894" max="6902" width="50" style="717" customWidth="1"/>
    <col min="6903" max="6903" width="186.33203125" style="717" customWidth="1"/>
    <col min="6904" max="6912" width="50" style="717" customWidth="1"/>
    <col min="6913" max="6913" width="186.33203125" style="717" customWidth="1"/>
    <col min="6914" max="6914" width="49.83203125" style="717" customWidth="1"/>
    <col min="6915" max="6915" width="44.83203125" style="717" customWidth="1"/>
    <col min="6916" max="6916" width="49.83203125" style="717" customWidth="1"/>
    <col min="6917" max="6917" width="50" style="717" customWidth="1"/>
    <col min="6918" max="6918" width="45" style="717" customWidth="1"/>
    <col min="6919" max="6920" width="50" style="717" customWidth="1"/>
    <col min="6921" max="6921" width="45" style="717" customWidth="1"/>
    <col min="6922" max="6922" width="50" style="717" customWidth="1"/>
    <col min="6923" max="6928" width="49.83203125" style="717" customWidth="1"/>
    <col min="6929" max="6929" width="37.1640625" style="717" customWidth="1"/>
    <col min="6930" max="6930" width="32.83203125" style="717" customWidth="1"/>
    <col min="6931" max="6931" width="40.83203125" style="717" customWidth="1"/>
    <col min="6932" max="6932" width="186.33203125" style="717" customWidth="1"/>
    <col min="6933" max="7148" width="9.33203125" style="717"/>
    <col min="7149" max="7149" width="186.33203125" style="717" customWidth="1"/>
    <col min="7150" max="7158" width="50" style="717" customWidth="1"/>
    <col min="7159" max="7159" width="186.33203125" style="717" customWidth="1"/>
    <col min="7160" max="7168" width="50" style="717" customWidth="1"/>
    <col min="7169" max="7169" width="186.33203125" style="717" customWidth="1"/>
    <col min="7170" max="7170" width="49.83203125" style="717" customWidth="1"/>
    <col min="7171" max="7171" width="44.83203125" style="717" customWidth="1"/>
    <col min="7172" max="7172" width="49.83203125" style="717" customWidth="1"/>
    <col min="7173" max="7173" width="50" style="717" customWidth="1"/>
    <col min="7174" max="7174" width="45" style="717" customWidth="1"/>
    <col min="7175" max="7176" width="50" style="717" customWidth="1"/>
    <col min="7177" max="7177" width="45" style="717" customWidth="1"/>
    <col min="7178" max="7178" width="50" style="717" customWidth="1"/>
    <col min="7179" max="7184" width="49.83203125" style="717" customWidth="1"/>
    <col min="7185" max="7185" width="37.1640625" style="717" customWidth="1"/>
    <col min="7186" max="7186" width="32.83203125" style="717" customWidth="1"/>
    <col min="7187" max="7187" width="40.83203125" style="717" customWidth="1"/>
    <col min="7188" max="7188" width="186.33203125" style="717" customWidth="1"/>
    <col min="7189" max="7404" width="9.33203125" style="717"/>
    <col min="7405" max="7405" width="186.33203125" style="717" customWidth="1"/>
    <col min="7406" max="7414" width="50" style="717" customWidth="1"/>
    <col min="7415" max="7415" width="186.33203125" style="717" customWidth="1"/>
    <col min="7416" max="7424" width="50" style="717" customWidth="1"/>
    <col min="7425" max="7425" width="186.33203125" style="717" customWidth="1"/>
    <col min="7426" max="7426" width="49.83203125" style="717" customWidth="1"/>
    <col min="7427" max="7427" width="44.83203125" style="717" customWidth="1"/>
    <col min="7428" max="7428" width="49.83203125" style="717" customWidth="1"/>
    <col min="7429" max="7429" width="50" style="717" customWidth="1"/>
    <col min="7430" max="7430" width="45" style="717" customWidth="1"/>
    <col min="7431" max="7432" width="50" style="717" customWidth="1"/>
    <col min="7433" max="7433" width="45" style="717" customWidth="1"/>
    <col min="7434" max="7434" width="50" style="717" customWidth="1"/>
    <col min="7435" max="7440" width="49.83203125" style="717" customWidth="1"/>
    <col min="7441" max="7441" width="37.1640625" style="717" customWidth="1"/>
    <col min="7442" max="7442" width="32.83203125" style="717" customWidth="1"/>
    <col min="7443" max="7443" width="40.83203125" style="717" customWidth="1"/>
    <col min="7444" max="7444" width="186.33203125" style="717" customWidth="1"/>
    <col min="7445" max="7660" width="9.33203125" style="717"/>
    <col min="7661" max="7661" width="186.33203125" style="717" customWidth="1"/>
    <col min="7662" max="7670" width="50" style="717" customWidth="1"/>
    <col min="7671" max="7671" width="186.33203125" style="717" customWidth="1"/>
    <col min="7672" max="7680" width="50" style="717" customWidth="1"/>
    <col min="7681" max="7681" width="186.33203125" style="717" customWidth="1"/>
    <col min="7682" max="7682" width="49.83203125" style="717" customWidth="1"/>
    <col min="7683" max="7683" width="44.83203125" style="717" customWidth="1"/>
    <col min="7684" max="7684" width="49.83203125" style="717" customWidth="1"/>
    <col min="7685" max="7685" width="50" style="717" customWidth="1"/>
    <col min="7686" max="7686" width="45" style="717" customWidth="1"/>
    <col min="7687" max="7688" width="50" style="717" customWidth="1"/>
    <col min="7689" max="7689" width="45" style="717" customWidth="1"/>
    <col min="7690" max="7690" width="50" style="717" customWidth="1"/>
    <col min="7691" max="7696" width="49.83203125" style="717" customWidth="1"/>
    <col min="7697" max="7697" width="37.1640625" style="717" customWidth="1"/>
    <col min="7698" max="7698" width="32.83203125" style="717" customWidth="1"/>
    <col min="7699" max="7699" width="40.83203125" style="717" customWidth="1"/>
    <col min="7700" max="7700" width="186.33203125" style="717" customWidth="1"/>
    <col min="7701" max="7916" width="9.33203125" style="717"/>
    <col min="7917" max="7917" width="186.33203125" style="717" customWidth="1"/>
    <col min="7918" max="7926" width="50" style="717" customWidth="1"/>
    <col min="7927" max="7927" width="186.33203125" style="717" customWidth="1"/>
    <col min="7928" max="7936" width="50" style="717" customWidth="1"/>
    <col min="7937" max="7937" width="186.33203125" style="717" customWidth="1"/>
    <col min="7938" max="7938" width="49.83203125" style="717" customWidth="1"/>
    <col min="7939" max="7939" width="44.83203125" style="717" customWidth="1"/>
    <col min="7940" max="7940" width="49.83203125" style="717" customWidth="1"/>
    <col min="7941" max="7941" width="50" style="717" customWidth="1"/>
    <col min="7942" max="7942" width="45" style="717" customWidth="1"/>
    <col min="7943" max="7944" width="50" style="717" customWidth="1"/>
    <col min="7945" max="7945" width="45" style="717" customWidth="1"/>
    <col min="7946" max="7946" width="50" style="717" customWidth="1"/>
    <col min="7947" max="7952" width="49.83203125" style="717" customWidth="1"/>
    <col min="7953" max="7953" width="37.1640625" style="717" customWidth="1"/>
    <col min="7954" max="7954" width="32.83203125" style="717" customWidth="1"/>
    <col min="7955" max="7955" width="40.83203125" style="717" customWidth="1"/>
    <col min="7956" max="7956" width="186.33203125" style="717" customWidth="1"/>
    <col min="7957" max="8172" width="9.33203125" style="717"/>
    <col min="8173" max="8173" width="186.33203125" style="717" customWidth="1"/>
    <col min="8174" max="8182" width="50" style="717" customWidth="1"/>
    <col min="8183" max="8183" width="186.33203125" style="717" customWidth="1"/>
    <col min="8184" max="8192" width="50" style="717" customWidth="1"/>
    <col min="8193" max="8193" width="186.33203125" style="717" customWidth="1"/>
    <col min="8194" max="8194" width="49.83203125" style="717" customWidth="1"/>
    <col min="8195" max="8195" width="44.83203125" style="717" customWidth="1"/>
    <col min="8196" max="8196" width="49.83203125" style="717" customWidth="1"/>
    <col min="8197" max="8197" width="50" style="717" customWidth="1"/>
    <col min="8198" max="8198" width="45" style="717" customWidth="1"/>
    <col min="8199" max="8200" width="50" style="717" customWidth="1"/>
    <col min="8201" max="8201" width="45" style="717" customWidth="1"/>
    <col min="8202" max="8202" width="50" style="717" customWidth="1"/>
    <col min="8203" max="8208" width="49.83203125" style="717" customWidth="1"/>
    <col min="8209" max="8209" width="37.1640625" style="717" customWidth="1"/>
    <col min="8210" max="8210" width="32.83203125" style="717" customWidth="1"/>
    <col min="8211" max="8211" width="40.83203125" style="717" customWidth="1"/>
    <col min="8212" max="8212" width="186.33203125" style="717" customWidth="1"/>
    <col min="8213" max="8428" width="9.33203125" style="717"/>
    <col min="8429" max="8429" width="186.33203125" style="717" customWidth="1"/>
    <col min="8430" max="8438" width="50" style="717" customWidth="1"/>
    <col min="8439" max="8439" width="186.33203125" style="717" customWidth="1"/>
    <col min="8440" max="8448" width="50" style="717" customWidth="1"/>
    <col min="8449" max="8449" width="186.33203125" style="717" customWidth="1"/>
    <col min="8450" max="8450" width="49.83203125" style="717" customWidth="1"/>
    <col min="8451" max="8451" width="44.83203125" style="717" customWidth="1"/>
    <col min="8452" max="8452" width="49.83203125" style="717" customWidth="1"/>
    <col min="8453" max="8453" width="50" style="717" customWidth="1"/>
    <col min="8454" max="8454" width="45" style="717" customWidth="1"/>
    <col min="8455" max="8456" width="50" style="717" customWidth="1"/>
    <col min="8457" max="8457" width="45" style="717" customWidth="1"/>
    <col min="8458" max="8458" width="50" style="717" customWidth="1"/>
    <col min="8459" max="8464" width="49.83203125" style="717" customWidth="1"/>
    <col min="8465" max="8465" width="37.1640625" style="717" customWidth="1"/>
    <col min="8466" max="8466" width="32.83203125" style="717" customWidth="1"/>
    <col min="8467" max="8467" width="40.83203125" style="717" customWidth="1"/>
    <col min="8468" max="8468" width="186.33203125" style="717" customWidth="1"/>
    <col min="8469" max="8684" width="9.33203125" style="717"/>
    <col min="8685" max="8685" width="186.33203125" style="717" customWidth="1"/>
    <col min="8686" max="8694" width="50" style="717" customWidth="1"/>
    <col min="8695" max="8695" width="186.33203125" style="717" customWidth="1"/>
    <col min="8696" max="8704" width="50" style="717" customWidth="1"/>
    <col min="8705" max="8705" width="186.33203125" style="717" customWidth="1"/>
    <col min="8706" max="8706" width="49.83203125" style="717" customWidth="1"/>
    <col min="8707" max="8707" width="44.83203125" style="717" customWidth="1"/>
    <col min="8708" max="8708" width="49.83203125" style="717" customWidth="1"/>
    <col min="8709" max="8709" width="50" style="717" customWidth="1"/>
    <col min="8710" max="8710" width="45" style="717" customWidth="1"/>
    <col min="8711" max="8712" width="50" style="717" customWidth="1"/>
    <col min="8713" max="8713" width="45" style="717" customWidth="1"/>
    <col min="8714" max="8714" width="50" style="717" customWidth="1"/>
    <col min="8715" max="8720" width="49.83203125" style="717" customWidth="1"/>
    <col min="8721" max="8721" width="37.1640625" style="717" customWidth="1"/>
    <col min="8722" max="8722" width="32.83203125" style="717" customWidth="1"/>
    <col min="8723" max="8723" width="40.83203125" style="717" customWidth="1"/>
    <col min="8724" max="8724" width="186.33203125" style="717" customWidth="1"/>
    <col min="8725" max="8940" width="9.33203125" style="717"/>
    <col min="8941" max="8941" width="186.33203125" style="717" customWidth="1"/>
    <col min="8942" max="8950" width="50" style="717" customWidth="1"/>
    <col min="8951" max="8951" width="186.33203125" style="717" customWidth="1"/>
    <col min="8952" max="8960" width="50" style="717" customWidth="1"/>
    <col min="8961" max="8961" width="186.33203125" style="717" customWidth="1"/>
    <col min="8962" max="8962" width="49.83203125" style="717" customWidth="1"/>
    <col min="8963" max="8963" width="44.83203125" style="717" customWidth="1"/>
    <col min="8964" max="8964" width="49.83203125" style="717" customWidth="1"/>
    <col min="8965" max="8965" width="50" style="717" customWidth="1"/>
    <col min="8966" max="8966" width="45" style="717" customWidth="1"/>
    <col min="8967" max="8968" width="50" style="717" customWidth="1"/>
    <col min="8969" max="8969" width="45" style="717" customWidth="1"/>
    <col min="8970" max="8970" width="50" style="717" customWidth="1"/>
    <col min="8971" max="8976" width="49.83203125" style="717" customWidth="1"/>
    <col min="8977" max="8977" width="37.1640625" style="717" customWidth="1"/>
    <col min="8978" max="8978" width="32.83203125" style="717" customWidth="1"/>
    <col min="8979" max="8979" width="40.83203125" style="717" customWidth="1"/>
    <col min="8980" max="8980" width="186.33203125" style="717" customWidth="1"/>
    <col min="8981" max="9196" width="9.33203125" style="717"/>
    <col min="9197" max="9197" width="186.33203125" style="717" customWidth="1"/>
    <col min="9198" max="9206" width="50" style="717" customWidth="1"/>
    <col min="9207" max="9207" width="186.33203125" style="717" customWidth="1"/>
    <col min="9208" max="9216" width="50" style="717" customWidth="1"/>
    <col min="9217" max="9217" width="186.33203125" style="717" customWidth="1"/>
    <col min="9218" max="9218" width="49.83203125" style="717" customWidth="1"/>
    <col min="9219" max="9219" width="44.83203125" style="717" customWidth="1"/>
    <col min="9220" max="9220" width="49.83203125" style="717" customWidth="1"/>
    <col min="9221" max="9221" width="50" style="717" customWidth="1"/>
    <col min="9222" max="9222" width="45" style="717" customWidth="1"/>
    <col min="9223" max="9224" width="50" style="717" customWidth="1"/>
    <col min="9225" max="9225" width="45" style="717" customWidth="1"/>
    <col min="9226" max="9226" width="50" style="717" customWidth="1"/>
    <col min="9227" max="9232" width="49.83203125" style="717" customWidth="1"/>
    <col min="9233" max="9233" width="37.1640625" style="717" customWidth="1"/>
    <col min="9234" max="9234" width="32.83203125" style="717" customWidth="1"/>
    <col min="9235" max="9235" width="40.83203125" style="717" customWidth="1"/>
    <col min="9236" max="9236" width="186.33203125" style="717" customWidth="1"/>
    <col min="9237" max="9452" width="9.33203125" style="717"/>
    <col min="9453" max="9453" width="186.33203125" style="717" customWidth="1"/>
    <col min="9454" max="9462" width="50" style="717" customWidth="1"/>
    <col min="9463" max="9463" width="186.33203125" style="717" customWidth="1"/>
    <col min="9464" max="9472" width="50" style="717" customWidth="1"/>
    <col min="9473" max="9473" width="186.33203125" style="717" customWidth="1"/>
    <col min="9474" max="9474" width="49.83203125" style="717" customWidth="1"/>
    <col min="9475" max="9475" width="44.83203125" style="717" customWidth="1"/>
    <col min="9476" max="9476" width="49.83203125" style="717" customWidth="1"/>
    <col min="9477" max="9477" width="50" style="717" customWidth="1"/>
    <col min="9478" max="9478" width="45" style="717" customWidth="1"/>
    <col min="9479" max="9480" width="50" style="717" customWidth="1"/>
    <col min="9481" max="9481" width="45" style="717" customWidth="1"/>
    <col min="9482" max="9482" width="50" style="717" customWidth="1"/>
    <col min="9483" max="9488" width="49.83203125" style="717" customWidth="1"/>
    <col min="9489" max="9489" width="37.1640625" style="717" customWidth="1"/>
    <col min="9490" max="9490" width="32.83203125" style="717" customWidth="1"/>
    <col min="9491" max="9491" width="40.83203125" style="717" customWidth="1"/>
    <col min="9492" max="9492" width="186.33203125" style="717" customWidth="1"/>
    <col min="9493" max="9708" width="9.33203125" style="717"/>
    <col min="9709" max="9709" width="186.33203125" style="717" customWidth="1"/>
    <col min="9710" max="9718" width="50" style="717" customWidth="1"/>
    <col min="9719" max="9719" width="186.33203125" style="717" customWidth="1"/>
    <col min="9720" max="9728" width="50" style="717" customWidth="1"/>
    <col min="9729" max="9729" width="186.33203125" style="717" customWidth="1"/>
    <col min="9730" max="9730" width="49.83203125" style="717" customWidth="1"/>
    <col min="9731" max="9731" width="44.83203125" style="717" customWidth="1"/>
    <col min="9732" max="9732" width="49.83203125" style="717" customWidth="1"/>
    <col min="9733" max="9733" width="50" style="717" customWidth="1"/>
    <col min="9734" max="9734" width="45" style="717" customWidth="1"/>
    <col min="9735" max="9736" width="50" style="717" customWidth="1"/>
    <col min="9737" max="9737" width="45" style="717" customWidth="1"/>
    <col min="9738" max="9738" width="50" style="717" customWidth="1"/>
    <col min="9739" max="9744" width="49.83203125" style="717" customWidth="1"/>
    <col min="9745" max="9745" width="37.1640625" style="717" customWidth="1"/>
    <col min="9746" max="9746" width="32.83203125" style="717" customWidth="1"/>
    <col min="9747" max="9747" width="40.83203125" style="717" customWidth="1"/>
    <col min="9748" max="9748" width="186.33203125" style="717" customWidth="1"/>
    <col min="9749" max="9964" width="9.33203125" style="717"/>
    <col min="9965" max="9965" width="186.33203125" style="717" customWidth="1"/>
    <col min="9966" max="9974" width="50" style="717" customWidth="1"/>
    <col min="9975" max="9975" width="186.33203125" style="717" customWidth="1"/>
    <col min="9976" max="9984" width="50" style="717" customWidth="1"/>
    <col min="9985" max="9985" width="186.33203125" style="717" customWidth="1"/>
    <col min="9986" max="9986" width="49.83203125" style="717" customWidth="1"/>
    <col min="9987" max="9987" width="44.83203125" style="717" customWidth="1"/>
    <col min="9988" max="9988" width="49.83203125" style="717" customWidth="1"/>
    <col min="9989" max="9989" width="50" style="717" customWidth="1"/>
    <col min="9990" max="9990" width="45" style="717" customWidth="1"/>
    <col min="9991" max="9992" width="50" style="717" customWidth="1"/>
    <col min="9993" max="9993" width="45" style="717" customWidth="1"/>
    <col min="9994" max="9994" width="50" style="717" customWidth="1"/>
    <col min="9995" max="10000" width="49.83203125" style="717" customWidth="1"/>
    <col min="10001" max="10001" width="37.1640625" style="717" customWidth="1"/>
    <col min="10002" max="10002" width="32.83203125" style="717" customWidth="1"/>
    <col min="10003" max="10003" width="40.83203125" style="717" customWidth="1"/>
    <col min="10004" max="10004" width="186.33203125" style="717" customWidth="1"/>
    <col min="10005" max="10220" width="9.33203125" style="717"/>
    <col min="10221" max="10221" width="186.33203125" style="717" customWidth="1"/>
    <col min="10222" max="10230" width="50" style="717" customWidth="1"/>
    <col min="10231" max="10231" width="186.33203125" style="717" customWidth="1"/>
    <col min="10232" max="10240" width="50" style="717" customWidth="1"/>
    <col min="10241" max="10241" width="186.33203125" style="717" customWidth="1"/>
    <col min="10242" max="10242" width="49.83203125" style="717" customWidth="1"/>
    <col min="10243" max="10243" width="44.83203125" style="717" customWidth="1"/>
    <col min="10244" max="10244" width="49.83203125" style="717" customWidth="1"/>
    <col min="10245" max="10245" width="50" style="717" customWidth="1"/>
    <col min="10246" max="10246" width="45" style="717" customWidth="1"/>
    <col min="10247" max="10248" width="50" style="717" customWidth="1"/>
    <col min="10249" max="10249" width="45" style="717" customWidth="1"/>
    <col min="10250" max="10250" width="50" style="717" customWidth="1"/>
    <col min="10251" max="10256" width="49.83203125" style="717" customWidth="1"/>
    <col min="10257" max="10257" width="37.1640625" style="717" customWidth="1"/>
    <col min="10258" max="10258" width="32.83203125" style="717" customWidth="1"/>
    <col min="10259" max="10259" width="40.83203125" style="717" customWidth="1"/>
    <col min="10260" max="10260" width="186.33203125" style="717" customWidth="1"/>
    <col min="10261" max="10476" width="9.33203125" style="717"/>
    <col min="10477" max="10477" width="186.33203125" style="717" customWidth="1"/>
    <col min="10478" max="10486" width="50" style="717" customWidth="1"/>
    <col min="10487" max="10487" width="186.33203125" style="717" customWidth="1"/>
    <col min="10488" max="10496" width="50" style="717" customWidth="1"/>
    <col min="10497" max="10497" width="186.33203125" style="717" customWidth="1"/>
    <col min="10498" max="10498" width="49.83203125" style="717" customWidth="1"/>
    <col min="10499" max="10499" width="44.83203125" style="717" customWidth="1"/>
    <col min="10500" max="10500" width="49.83203125" style="717" customWidth="1"/>
    <col min="10501" max="10501" width="50" style="717" customWidth="1"/>
    <col min="10502" max="10502" width="45" style="717" customWidth="1"/>
    <col min="10503" max="10504" width="50" style="717" customWidth="1"/>
    <col min="10505" max="10505" width="45" style="717" customWidth="1"/>
    <col min="10506" max="10506" width="50" style="717" customWidth="1"/>
    <col min="10507" max="10512" width="49.83203125" style="717" customWidth="1"/>
    <col min="10513" max="10513" width="37.1640625" style="717" customWidth="1"/>
    <col min="10514" max="10514" width="32.83203125" style="717" customWidth="1"/>
    <col min="10515" max="10515" width="40.83203125" style="717" customWidth="1"/>
    <col min="10516" max="10516" width="186.33203125" style="717" customWidth="1"/>
    <col min="10517" max="10732" width="9.33203125" style="717"/>
    <col min="10733" max="10733" width="186.33203125" style="717" customWidth="1"/>
    <col min="10734" max="10742" width="50" style="717" customWidth="1"/>
    <col min="10743" max="10743" width="186.33203125" style="717" customWidth="1"/>
    <col min="10744" max="10752" width="50" style="717" customWidth="1"/>
    <col min="10753" max="10753" width="186.33203125" style="717" customWidth="1"/>
    <col min="10754" max="10754" width="49.83203125" style="717" customWidth="1"/>
    <col min="10755" max="10755" width="44.83203125" style="717" customWidth="1"/>
    <col min="10756" max="10756" width="49.83203125" style="717" customWidth="1"/>
    <col min="10757" max="10757" width="50" style="717" customWidth="1"/>
    <col min="10758" max="10758" width="45" style="717" customWidth="1"/>
    <col min="10759" max="10760" width="50" style="717" customWidth="1"/>
    <col min="10761" max="10761" width="45" style="717" customWidth="1"/>
    <col min="10762" max="10762" width="50" style="717" customWidth="1"/>
    <col min="10763" max="10768" width="49.83203125" style="717" customWidth="1"/>
    <col min="10769" max="10769" width="37.1640625" style="717" customWidth="1"/>
    <col min="10770" max="10770" width="32.83203125" style="717" customWidth="1"/>
    <col min="10771" max="10771" width="40.83203125" style="717" customWidth="1"/>
    <col min="10772" max="10772" width="186.33203125" style="717" customWidth="1"/>
    <col min="10773" max="10988" width="9.33203125" style="717"/>
    <col min="10989" max="10989" width="186.33203125" style="717" customWidth="1"/>
    <col min="10990" max="10998" width="50" style="717" customWidth="1"/>
    <col min="10999" max="10999" width="186.33203125" style="717" customWidth="1"/>
    <col min="11000" max="11008" width="50" style="717" customWidth="1"/>
    <col min="11009" max="11009" width="186.33203125" style="717" customWidth="1"/>
    <col min="11010" max="11010" width="49.83203125" style="717" customWidth="1"/>
    <col min="11011" max="11011" width="44.83203125" style="717" customWidth="1"/>
    <col min="11012" max="11012" width="49.83203125" style="717" customWidth="1"/>
    <col min="11013" max="11013" width="50" style="717" customWidth="1"/>
    <col min="11014" max="11014" width="45" style="717" customWidth="1"/>
    <col min="11015" max="11016" width="50" style="717" customWidth="1"/>
    <col min="11017" max="11017" width="45" style="717" customWidth="1"/>
    <col min="11018" max="11018" width="50" style="717" customWidth="1"/>
    <col min="11019" max="11024" width="49.83203125" style="717" customWidth="1"/>
    <col min="11025" max="11025" width="37.1640625" style="717" customWidth="1"/>
    <col min="11026" max="11026" width="32.83203125" style="717" customWidth="1"/>
    <col min="11027" max="11027" width="40.83203125" style="717" customWidth="1"/>
    <col min="11028" max="11028" width="186.33203125" style="717" customWidth="1"/>
    <col min="11029" max="11244" width="9.33203125" style="717"/>
    <col min="11245" max="11245" width="186.33203125" style="717" customWidth="1"/>
    <col min="11246" max="11254" width="50" style="717" customWidth="1"/>
    <col min="11255" max="11255" width="186.33203125" style="717" customWidth="1"/>
    <col min="11256" max="11264" width="50" style="717" customWidth="1"/>
    <col min="11265" max="11265" width="186.33203125" style="717" customWidth="1"/>
    <col min="11266" max="11266" width="49.83203125" style="717" customWidth="1"/>
    <col min="11267" max="11267" width="44.83203125" style="717" customWidth="1"/>
    <col min="11268" max="11268" width="49.83203125" style="717" customWidth="1"/>
    <col min="11269" max="11269" width="50" style="717" customWidth="1"/>
    <col min="11270" max="11270" width="45" style="717" customWidth="1"/>
    <col min="11271" max="11272" width="50" style="717" customWidth="1"/>
    <col min="11273" max="11273" width="45" style="717" customWidth="1"/>
    <col min="11274" max="11274" width="50" style="717" customWidth="1"/>
    <col min="11275" max="11280" width="49.83203125" style="717" customWidth="1"/>
    <col min="11281" max="11281" width="37.1640625" style="717" customWidth="1"/>
    <col min="11282" max="11282" width="32.83203125" style="717" customWidth="1"/>
    <col min="11283" max="11283" width="40.83203125" style="717" customWidth="1"/>
    <col min="11284" max="11284" width="186.33203125" style="717" customWidth="1"/>
    <col min="11285" max="11500" width="9.33203125" style="717"/>
    <col min="11501" max="11501" width="186.33203125" style="717" customWidth="1"/>
    <col min="11502" max="11510" width="50" style="717" customWidth="1"/>
    <col min="11511" max="11511" width="186.33203125" style="717" customWidth="1"/>
    <col min="11512" max="11520" width="50" style="717" customWidth="1"/>
    <col min="11521" max="11521" width="186.33203125" style="717" customWidth="1"/>
    <col min="11522" max="11522" width="49.83203125" style="717" customWidth="1"/>
    <col min="11523" max="11523" width="44.83203125" style="717" customWidth="1"/>
    <col min="11524" max="11524" width="49.83203125" style="717" customWidth="1"/>
    <col min="11525" max="11525" width="50" style="717" customWidth="1"/>
    <col min="11526" max="11526" width="45" style="717" customWidth="1"/>
    <col min="11527" max="11528" width="50" style="717" customWidth="1"/>
    <col min="11529" max="11529" width="45" style="717" customWidth="1"/>
    <col min="11530" max="11530" width="50" style="717" customWidth="1"/>
    <col min="11531" max="11536" width="49.83203125" style="717" customWidth="1"/>
    <col min="11537" max="11537" width="37.1640625" style="717" customWidth="1"/>
    <col min="11538" max="11538" width="32.83203125" style="717" customWidth="1"/>
    <col min="11539" max="11539" width="40.83203125" style="717" customWidth="1"/>
    <col min="11540" max="11540" width="186.33203125" style="717" customWidth="1"/>
    <col min="11541" max="11756" width="9.33203125" style="717"/>
    <col min="11757" max="11757" width="186.33203125" style="717" customWidth="1"/>
    <col min="11758" max="11766" width="50" style="717" customWidth="1"/>
    <col min="11767" max="11767" width="186.33203125" style="717" customWidth="1"/>
    <col min="11768" max="11776" width="50" style="717" customWidth="1"/>
    <col min="11777" max="11777" width="186.33203125" style="717" customWidth="1"/>
    <col min="11778" max="11778" width="49.83203125" style="717" customWidth="1"/>
    <col min="11779" max="11779" width="44.83203125" style="717" customWidth="1"/>
    <col min="11780" max="11780" width="49.83203125" style="717" customWidth="1"/>
    <col min="11781" max="11781" width="50" style="717" customWidth="1"/>
    <col min="11782" max="11782" width="45" style="717" customWidth="1"/>
    <col min="11783" max="11784" width="50" style="717" customWidth="1"/>
    <col min="11785" max="11785" width="45" style="717" customWidth="1"/>
    <col min="11786" max="11786" width="50" style="717" customWidth="1"/>
    <col min="11787" max="11792" width="49.83203125" style="717" customWidth="1"/>
    <col min="11793" max="11793" width="37.1640625" style="717" customWidth="1"/>
    <col min="11794" max="11794" width="32.83203125" style="717" customWidth="1"/>
    <col min="11795" max="11795" width="40.83203125" style="717" customWidth="1"/>
    <col min="11796" max="11796" width="186.33203125" style="717" customWidth="1"/>
    <col min="11797" max="12012" width="9.33203125" style="717"/>
    <col min="12013" max="12013" width="186.33203125" style="717" customWidth="1"/>
    <col min="12014" max="12022" width="50" style="717" customWidth="1"/>
    <col min="12023" max="12023" width="186.33203125" style="717" customWidth="1"/>
    <col min="12024" max="12032" width="50" style="717" customWidth="1"/>
    <col min="12033" max="12033" width="186.33203125" style="717" customWidth="1"/>
    <col min="12034" max="12034" width="49.83203125" style="717" customWidth="1"/>
    <col min="12035" max="12035" width="44.83203125" style="717" customWidth="1"/>
    <col min="12036" max="12036" width="49.83203125" style="717" customWidth="1"/>
    <col min="12037" max="12037" width="50" style="717" customWidth="1"/>
    <col min="12038" max="12038" width="45" style="717" customWidth="1"/>
    <col min="12039" max="12040" width="50" style="717" customWidth="1"/>
    <col min="12041" max="12041" width="45" style="717" customWidth="1"/>
    <col min="12042" max="12042" width="50" style="717" customWidth="1"/>
    <col min="12043" max="12048" width="49.83203125" style="717" customWidth="1"/>
    <col min="12049" max="12049" width="37.1640625" style="717" customWidth="1"/>
    <col min="12050" max="12050" width="32.83203125" style="717" customWidth="1"/>
    <col min="12051" max="12051" width="40.83203125" style="717" customWidth="1"/>
    <col min="12052" max="12052" width="186.33203125" style="717" customWidth="1"/>
    <col min="12053" max="12268" width="9.33203125" style="717"/>
    <col min="12269" max="12269" width="186.33203125" style="717" customWidth="1"/>
    <col min="12270" max="12278" width="50" style="717" customWidth="1"/>
    <col min="12279" max="12279" width="186.33203125" style="717" customWidth="1"/>
    <col min="12280" max="12288" width="50" style="717" customWidth="1"/>
    <col min="12289" max="12289" width="186.33203125" style="717" customWidth="1"/>
    <col min="12290" max="12290" width="49.83203125" style="717" customWidth="1"/>
    <col min="12291" max="12291" width="44.83203125" style="717" customWidth="1"/>
    <col min="12292" max="12292" width="49.83203125" style="717" customWidth="1"/>
    <col min="12293" max="12293" width="50" style="717" customWidth="1"/>
    <col min="12294" max="12294" width="45" style="717" customWidth="1"/>
    <col min="12295" max="12296" width="50" style="717" customWidth="1"/>
    <col min="12297" max="12297" width="45" style="717" customWidth="1"/>
    <col min="12298" max="12298" width="50" style="717" customWidth="1"/>
    <col min="12299" max="12304" width="49.83203125" style="717" customWidth="1"/>
    <col min="12305" max="12305" width="37.1640625" style="717" customWidth="1"/>
    <col min="12306" max="12306" width="32.83203125" style="717" customWidth="1"/>
    <col min="12307" max="12307" width="40.83203125" style="717" customWidth="1"/>
    <col min="12308" max="12308" width="186.33203125" style="717" customWidth="1"/>
    <col min="12309" max="12524" width="9.33203125" style="717"/>
    <col min="12525" max="12525" width="186.33203125" style="717" customWidth="1"/>
    <col min="12526" max="12534" width="50" style="717" customWidth="1"/>
    <col min="12535" max="12535" width="186.33203125" style="717" customWidth="1"/>
    <col min="12536" max="12544" width="50" style="717" customWidth="1"/>
    <col min="12545" max="12545" width="186.33203125" style="717" customWidth="1"/>
    <col min="12546" max="12546" width="49.83203125" style="717" customWidth="1"/>
    <col min="12547" max="12547" width="44.83203125" style="717" customWidth="1"/>
    <col min="12548" max="12548" width="49.83203125" style="717" customWidth="1"/>
    <col min="12549" max="12549" width="50" style="717" customWidth="1"/>
    <col min="12550" max="12550" width="45" style="717" customWidth="1"/>
    <col min="12551" max="12552" width="50" style="717" customWidth="1"/>
    <col min="12553" max="12553" width="45" style="717" customWidth="1"/>
    <col min="12554" max="12554" width="50" style="717" customWidth="1"/>
    <col min="12555" max="12560" width="49.83203125" style="717" customWidth="1"/>
    <col min="12561" max="12561" width="37.1640625" style="717" customWidth="1"/>
    <col min="12562" max="12562" width="32.83203125" style="717" customWidth="1"/>
    <col min="12563" max="12563" width="40.83203125" style="717" customWidth="1"/>
    <col min="12564" max="12564" width="186.33203125" style="717" customWidth="1"/>
    <col min="12565" max="12780" width="9.33203125" style="717"/>
    <col min="12781" max="12781" width="186.33203125" style="717" customWidth="1"/>
    <col min="12782" max="12790" width="50" style="717" customWidth="1"/>
    <col min="12791" max="12791" width="186.33203125" style="717" customWidth="1"/>
    <col min="12792" max="12800" width="50" style="717" customWidth="1"/>
    <col min="12801" max="12801" width="186.33203125" style="717" customWidth="1"/>
    <col min="12802" max="12802" width="49.83203125" style="717" customWidth="1"/>
    <col min="12803" max="12803" width="44.83203125" style="717" customWidth="1"/>
    <col min="12804" max="12804" width="49.83203125" style="717" customWidth="1"/>
    <col min="12805" max="12805" width="50" style="717" customWidth="1"/>
    <col min="12806" max="12806" width="45" style="717" customWidth="1"/>
    <col min="12807" max="12808" width="50" style="717" customWidth="1"/>
    <col min="12809" max="12809" width="45" style="717" customWidth="1"/>
    <col min="12810" max="12810" width="50" style="717" customWidth="1"/>
    <col min="12811" max="12816" width="49.83203125" style="717" customWidth="1"/>
    <col min="12817" max="12817" width="37.1640625" style="717" customWidth="1"/>
    <col min="12818" max="12818" width="32.83203125" style="717" customWidth="1"/>
    <col min="12819" max="12819" width="40.83203125" style="717" customWidth="1"/>
    <col min="12820" max="12820" width="186.33203125" style="717" customWidth="1"/>
    <col min="12821" max="13036" width="9.33203125" style="717"/>
    <col min="13037" max="13037" width="186.33203125" style="717" customWidth="1"/>
    <col min="13038" max="13046" width="50" style="717" customWidth="1"/>
    <col min="13047" max="13047" width="186.33203125" style="717" customWidth="1"/>
    <col min="13048" max="13056" width="50" style="717" customWidth="1"/>
    <col min="13057" max="13057" width="186.33203125" style="717" customWidth="1"/>
    <col min="13058" max="13058" width="49.83203125" style="717" customWidth="1"/>
    <col min="13059" max="13059" width="44.83203125" style="717" customWidth="1"/>
    <col min="13060" max="13060" width="49.83203125" style="717" customWidth="1"/>
    <col min="13061" max="13061" width="50" style="717" customWidth="1"/>
    <col min="13062" max="13062" width="45" style="717" customWidth="1"/>
    <col min="13063" max="13064" width="50" style="717" customWidth="1"/>
    <col min="13065" max="13065" width="45" style="717" customWidth="1"/>
    <col min="13066" max="13066" width="50" style="717" customWidth="1"/>
    <col min="13067" max="13072" width="49.83203125" style="717" customWidth="1"/>
    <col min="13073" max="13073" width="37.1640625" style="717" customWidth="1"/>
    <col min="13074" max="13074" width="32.83203125" style="717" customWidth="1"/>
    <col min="13075" max="13075" width="40.83203125" style="717" customWidth="1"/>
    <col min="13076" max="13076" width="186.33203125" style="717" customWidth="1"/>
    <col min="13077" max="13292" width="9.33203125" style="717"/>
    <col min="13293" max="13293" width="186.33203125" style="717" customWidth="1"/>
    <col min="13294" max="13302" width="50" style="717" customWidth="1"/>
    <col min="13303" max="13303" width="186.33203125" style="717" customWidth="1"/>
    <col min="13304" max="13312" width="50" style="717" customWidth="1"/>
    <col min="13313" max="13313" width="186.33203125" style="717" customWidth="1"/>
    <col min="13314" max="13314" width="49.83203125" style="717" customWidth="1"/>
    <col min="13315" max="13315" width="44.83203125" style="717" customWidth="1"/>
    <col min="13316" max="13316" width="49.83203125" style="717" customWidth="1"/>
    <col min="13317" max="13317" width="50" style="717" customWidth="1"/>
    <col min="13318" max="13318" width="45" style="717" customWidth="1"/>
    <col min="13319" max="13320" width="50" style="717" customWidth="1"/>
    <col min="13321" max="13321" width="45" style="717" customWidth="1"/>
    <col min="13322" max="13322" width="50" style="717" customWidth="1"/>
    <col min="13323" max="13328" width="49.83203125" style="717" customWidth="1"/>
    <col min="13329" max="13329" width="37.1640625" style="717" customWidth="1"/>
    <col min="13330" max="13330" width="32.83203125" style="717" customWidth="1"/>
    <col min="13331" max="13331" width="40.83203125" style="717" customWidth="1"/>
    <col min="13332" max="13332" width="186.33203125" style="717" customWidth="1"/>
    <col min="13333" max="13548" width="9.33203125" style="717"/>
    <col min="13549" max="13549" width="186.33203125" style="717" customWidth="1"/>
    <col min="13550" max="13558" width="50" style="717" customWidth="1"/>
    <col min="13559" max="13559" width="186.33203125" style="717" customWidth="1"/>
    <col min="13560" max="13568" width="50" style="717" customWidth="1"/>
    <col min="13569" max="13569" width="186.33203125" style="717" customWidth="1"/>
    <col min="13570" max="13570" width="49.83203125" style="717" customWidth="1"/>
    <col min="13571" max="13571" width="44.83203125" style="717" customWidth="1"/>
    <col min="13572" max="13572" width="49.83203125" style="717" customWidth="1"/>
    <col min="13573" max="13573" width="50" style="717" customWidth="1"/>
    <col min="13574" max="13574" width="45" style="717" customWidth="1"/>
    <col min="13575" max="13576" width="50" style="717" customWidth="1"/>
    <col min="13577" max="13577" width="45" style="717" customWidth="1"/>
    <col min="13578" max="13578" width="50" style="717" customWidth="1"/>
    <col min="13579" max="13584" width="49.83203125" style="717" customWidth="1"/>
    <col min="13585" max="13585" width="37.1640625" style="717" customWidth="1"/>
    <col min="13586" max="13586" width="32.83203125" style="717" customWidth="1"/>
    <col min="13587" max="13587" width="40.83203125" style="717" customWidth="1"/>
    <col min="13588" max="13588" width="186.33203125" style="717" customWidth="1"/>
    <col min="13589" max="13804" width="9.33203125" style="717"/>
    <col min="13805" max="13805" width="186.33203125" style="717" customWidth="1"/>
    <col min="13806" max="13814" width="50" style="717" customWidth="1"/>
    <col min="13815" max="13815" width="186.33203125" style="717" customWidth="1"/>
    <col min="13816" max="13824" width="50" style="717" customWidth="1"/>
    <col min="13825" max="13825" width="186.33203125" style="717" customWidth="1"/>
    <col min="13826" max="13826" width="49.83203125" style="717" customWidth="1"/>
    <col min="13827" max="13827" width="44.83203125" style="717" customWidth="1"/>
    <col min="13828" max="13828" width="49.83203125" style="717" customWidth="1"/>
    <col min="13829" max="13829" width="50" style="717" customWidth="1"/>
    <col min="13830" max="13830" width="45" style="717" customWidth="1"/>
    <col min="13831" max="13832" width="50" style="717" customWidth="1"/>
    <col min="13833" max="13833" width="45" style="717" customWidth="1"/>
    <col min="13834" max="13834" width="50" style="717" customWidth="1"/>
    <col min="13835" max="13840" width="49.83203125" style="717" customWidth="1"/>
    <col min="13841" max="13841" width="37.1640625" style="717" customWidth="1"/>
    <col min="13842" max="13842" width="32.83203125" style="717" customWidth="1"/>
    <col min="13843" max="13843" width="40.83203125" style="717" customWidth="1"/>
    <col min="13844" max="13844" width="186.33203125" style="717" customWidth="1"/>
    <col min="13845" max="14060" width="9.33203125" style="717"/>
    <col min="14061" max="14061" width="186.33203125" style="717" customWidth="1"/>
    <col min="14062" max="14070" width="50" style="717" customWidth="1"/>
    <col min="14071" max="14071" width="186.33203125" style="717" customWidth="1"/>
    <col min="14072" max="14080" width="50" style="717" customWidth="1"/>
    <col min="14081" max="14081" width="186.33203125" style="717" customWidth="1"/>
    <col min="14082" max="14082" width="49.83203125" style="717" customWidth="1"/>
    <col min="14083" max="14083" width="44.83203125" style="717" customWidth="1"/>
    <col min="14084" max="14084" width="49.83203125" style="717" customWidth="1"/>
    <col min="14085" max="14085" width="50" style="717" customWidth="1"/>
    <col min="14086" max="14086" width="45" style="717" customWidth="1"/>
    <col min="14087" max="14088" width="50" style="717" customWidth="1"/>
    <col min="14089" max="14089" width="45" style="717" customWidth="1"/>
    <col min="14090" max="14090" width="50" style="717" customWidth="1"/>
    <col min="14091" max="14096" width="49.83203125" style="717" customWidth="1"/>
    <col min="14097" max="14097" width="37.1640625" style="717" customWidth="1"/>
    <col min="14098" max="14098" width="32.83203125" style="717" customWidth="1"/>
    <col min="14099" max="14099" width="40.83203125" style="717" customWidth="1"/>
    <col min="14100" max="14100" width="186.33203125" style="717" customWidth="1"/>
    <col min="14101" max="14316" width="9.33203125" style="717"/>
    <col min="14317" max="14317" width="186.33203125" style="717" customWidth="1"/>
    <col min="14318" max="14326" width="50" style="717" customWidth="1"/>
    <col min="14327" max="14327" width="186.33203125" style="717" customWidth="1"/>
    <col min="14328" max="14336" width="50" style="717" customWidth="1"/>
    <col min="14337" max="14337" width="186.33203125" style="717" customWidth="1"/>
    <col min="14338" max="14338" width="49.83203125" style="717" customWidth="1"/>
    <col min="14339" max="14339" width="44.83203125" style="717" customWidth="1"/>
    <col min="14340" max="14340" width="49.83203125" style="717" customWidth="1"/>
    <col min="14341" max="14341" width="50" style="717" customWidth="1"/>
    <col min="14342" max="14342" width="45" style="717" customWidth="1"/>
    <col min="14343" max="14344" width="50" style="717" customWidth="1"/>
    <col min="14345" max="14345" width="45" style="717" customWidth="1"/>
    <col min="14346" max="14346" width="50" style="717" customWidth="1"/>
    <col min="14347" max="14352" width="49.83203125" style="717" customWidth="1"/>
    <col min="14353" max="14353" width="37.1640625" style="717" customWidth="1"/>
    <col min="14354" max="14354" width="32.83203125" style="717" customWidth="1"/>
    <col min="14355" max="14355" width="40.83203125" style="717" customWidth="1"/>
    <col min="14356" max="14356" width="186.33203125" style="717" customWidth="1"/>
    <col min="14357" max="14572" width="9.33203125" style="717"/>
    <col min="14573" max="14573" width="186.33203125" style="717" customWidth="1"/>
    <col min="14574" max="14582" width="50" style="717" customWidth="1"/>
    <col min="14583" max="14583" width="186.33203125" style="717" customWidth="1"/>
    <col min="14584" max="14592" width="50" style="717" customWidth="1"/>
    <col min="14593" max="14593" width="186.33203125" style="717" customWidth="1"/>
    <col min="14594" max="14594" width="49.83203125" style="717" customWidth="1"/>
    <col min="14595" max="14595" width="44.83203125" style="717" customWidth="1"/>
    <col min="14596" max="14596" width="49.83203125" style="717" customWidth="1"/>
    <col min="14597" max="14597" width="50" style="717" customWidth="1"/>
    <col min="14598" max="14598" width="45" style="717" customWidth="1"/>
    <col min="14599" max="14600" width="50" style="717" customWidth="1"/>
    <col min="14601" max="14601" width="45" style="717" customWidth="1"/>
    <col min="14602" max="14602" width="50" style="717" customWidth="1"/>
    <col min="14603" max="14608" width="49.83203125" style="717" customWidth="1"/>
    <col min="14609" max="14609" width="37.1640625" style="717" customWidth="1"/>
    <col min="14610" max="14610" width="32.83203125" style="717" customWidth="1"/>
    <col min="14611" max="14611" width="40.83203125" style="717" customWidth="1"/>
    <col min="14612" max="14612" width="186.33203125" style="717" customWidth="1"/>
    <col min="14613" max="14828" width="9.33203125" style="717"/>
    <col min="14829" max="14829" width="186.33203125" style="717" customWidth="1"/>
    <col min="14830" max="14838" width="50" style="717" customWidth="1"/>
    <col min="14839" max="14839" width="186.33203125" style="717" customWidth="1"/>
    <col min="14840" max="14848" width="50" style="717" customWidth="1"/>
    <col min="14849" max="14849" width="186.33203125" style="717" customWidth="1"/>
    <col min="14850" max="14850" width="49.83203125" style="717" customWidth="1"/>
    <col min="14851" max="14851" width="44.83203125" style="717" customWidth="1"/>
    <col min="14852" max="14852" width="49.83203125" style="717" customWidth="1"/>
    <col min="14853" max="14853" width="50" style="717" customWidth="1"/>
    <col min="14854" max="14854" width="45" style="717" customWidth="1"/>
    <col min="14855" max="14856" width="50" style="717" customWidth="1"/>
    <col min="14857" max="14857" width="45" style="717" customWidth="1"/>
    <col min="14858" max="14858" width="50" style="717" customWidth="1"/>
    <col min="14859" max="14864" width="49.83203125" style="717" customWidth="1"/>
    <col min="14865" max="14865" width="37.1640625" style="717" customWidth="1"/>
    <col min="14866" max="14866" width="32.83203125" style="717" customWidth="1"/>
    <col min="14867" max="14867" width="40.83203125" style="717" customWidth="1"/>
    <col min="14868" max="14868" width="186.33203125" style="717" customWidth="1"/>
    <col min="14869" max="15084" width="9.33203125" style="717"/>
    <col min="15085" max="15085" width="186.33203125" style="717" customWidth="1"/>
    <col min="15086" max="15094" width="50" style="717" customWidth="1"/>
    <col min="15095" max="15095" width="186.33203125" style="717" customWidth="1"/>
    <col min="15096" max="15104" width="50" style="717" customWidth="1"/>
    <col min="15105" max="15105" width="186.33203125" style="717" customWidth="1"/>
    <col min="15106" max="15106" width="49.83203125" style="717" customWidth="1"/>
    <col min="15107" max="15107" width="44.83203125" style="717" customWidth="1"/>
    <col min="15108" max="15108" width="49.83203125" style="717" customWidth="1"/>
    <col min="15109" max="15109" width="50" style="717" customWidth="1"/>
    <col min="15110" max="15110" width="45" style="717" customWidth="1"/>
    <col min="15111" max="15112" width="50" style="717" customWidth="1"/>
    <col min="15113" max="15113" width="45" style="717" customWidth="1"/>
    <col min="15114" max="15114" width="50" style="717" customWidth="1"/>
    <col min="15115" max="15120" width="49.83203125" style="717" customWidth="1"/>
    <col min="15121" max="15121" width="37.1640625" style="717" customWidth="1"/>
    <col min="15122" max="15122" width="32.83203125" style="717" customWidth="1"/>
    <col min="15123" max="15123" width="40.83203125" style="717" customWidth="1"/>
    <col min="15124" max="15124" width="186.33203125" style="717" customWidth="1"/>
    <col min="15125" max="15340" width="9.33203125" style="717"/>
    <col min="15341" max="15341" width="186.33203125" style="717" customWidth="1"/>
    <col min="15342" max="15350" width="50" style="717" customWidth="1"/>
    <col min="15351" max="15351" width="186.33203125" style="717" customWidth="1"/>
    <col min="15352" max="15360" width="50" style="717" customWidth="1"/>
    <col min="15361" max="15361" width="186.33203125" style="717" customWidth="1"/>
    <col min="15362" max="15362" width="49.83203125" style="717" customWidth="1"/>
    <col min="15363" max="15363" width="44.83203125" style="717" customWidth="1"/>
    <col min="15364" max="15364" width="49.83203125" style="717" customWidth="1"/>
    <col min="15365" max="15365" width="50" style="717" customWidth="1"/>
    <col min="15366" max="15366" width="45" style="717" customWidth="1"/>
    <col min="15367" max="15368" width="50" style="717" customWidth="1"/>
    <col min="15369" max="15369" width="45" style="717" customWidth="1"/>
    <col min="15370" max="15370" width="50" style="717" customWidth="1"/>
    <col min="15371" max="15376" width="49.83203125" style="717" customWidth="1"/>
    <col min="15377" max="15377" width="37.1640625" style="717" customWidth="1"/>
    <col min="15378" max="15378" width="32.83203125" style="717" customWidth="1"/>
    <col min="15379" max="15379" width="40.83203125" style="717" customWidth="1"/>
    <col min="15380" max="15380" width="186.33203125" style="717" customWidth="1"/>
    <col min="15381" max="15596" width="9.33203125" style="717"/>
    <col min="15597" max="15597" width="186.33203125" style="717" customWidth="1"/>
    <col min="15598" max="15606" width="50" style="717" customWidth="1"/>
    <col min="15607" max="15607" width="186.33203125" style="717" customWidth="1"/>
    <col min="15608" max="15616" width="50" style="717" customWidth="1"/>
    <col min="15617" max="15617" width="186.33203125" style="717" customWidth="1"/>
    <col min="15618" max="15618" width="49.83203125" style="717" customWidth="1"/>
    <col min="15619" max="15619" width="44.83203125" style="717" customWidth="1"/>
    <col min="15620" max="15620" width="49.83203125" style="717" customWidth="1"/>
    <col min="15621" max="15621" width="50" style="717" customWidth="1"/>
    <col min="15622" max="15622" width="45" style="717" customWidth="1"/>
    <col min="15623" max="15624" width="50" style="717" customWidth="1"/>
    <col min="15625" max="15625" width="45" style="717" customWidth="1"/>
    <col min="15626" max="15626" width="50" style="717" customWidth="1"/>
    <col min="15627" max="15632" width="49.83203125" style="717" customWidth="1"/>
    <col min="15633" max="15633" width="37.1640625" style="717" customWidth="1"/>
    <col min="15634" max="15634" width="32.83203125" style="717" customWidth="1"/>
    <col min="15635" max="15635" width="40.83203125" style="717" customWidth="1"/>
    <col min="15636" max="15636" width="186.33203125" style="717" customWidth="1"/>
    <col min="15637" max="15852" width="9.33203125" style="717"/>
    <col min="15853" max="15853" width="186.33203125" style="717" customWidth="1"/>
    <col min="15854" max="15862" width="50" style="717" customWidth="1"/>
    <col min="15863" max="15863" width="186.33203125" style="717" customWidth="1"/>
    <col min="15864" max="15872" width="50" style="717" customWidth="1"/>
    <col min="15873" max="15873" width="186.33203125" style="717" customWidth="1"/>
    <col min="15874" max="15874" width="49.83203125" style="717" customWidth="1"/>
    <col min="15875" max="15875" width="44.83203125" style="717" customWidth="1"/>
    <col min="15876" max="15876" width="49.83203125" style="717" customWidth="1"/>
    <col min="15877" max="15877" width="50" style="717" customWidth="1"/>
    <col min="15878" max="15878" width="45" style="717" customWidth="1"/>
    <col min="15879" max="15880" width="50" style="717" customWidth="1"/>
    <col min="15881" max="15881" width="45" style="717" customWidth="1"/>
    <col min="15882" max="15882" width="50" style="717" customWidth="1"/>
    <col min="15883" max="15888" width="49.83203125" style="717" customWidth="1"/>
    <col min="15889" max="15889" width="37.1640625" style="717" customWidth="1"/>
    <col min="15890" max="15890" width="32.83203125" style="717" customWidth="1"/>
    <col min="15891" max="15891" width="40.83203125" style="717" customWidth="1"/>
    <col min="15892" max="15892" width="186.33203125" style="717" customWidth="1"/>
    <col min="15893" max="16108" width="9.33203125" style="717"/>
    <col min="16109" max="16109" width="186.33203125" style="717" customWidth="1"/>
    <col min="16110" max="16118" width="50" style="717" customWidth="1"/>
    <col min="16119" max="16119" width="186.33203125" style="717" customWidth="1"/>
    <col min="16120" max="16128" width="50" style="717" customWidth="1"/>
    <col min="16129" max="16129" width="186.33203125" style="717" customWidth="1"/>
    <col min="16130" max="16130" width="49.83203125" style="717" customWidth="1"/>
    <col min="16131" max="16131" width="44.83203125" style="717" customWidth="1"/>
    <col min="16132" max="16132" width="49.83203125" style="717" customWidth="1"/>
    <col min="16133" max="16133" width="50" style="717" customWidth="1"/>
    <col min="16134" max="16134" width="45" style="717" customWidth="1"/>
    <col min="16135" max="16136" width="50" style="717" customWidth="1"/>
    <col min="16137" max="16137" width="45" style="717" customWidth="1"/>
    <col min="16138" max="16138" width="50" style="717" customWidth="1"/>
    <col min="16139" max="16144" width="49.83203125" style="717" customWidth="1"/>
    <col min="16145" max="16145" width="37.1640625" style="717" customWidth="1"/>
    <col min="16146" max="16146" width="32.83203125" style="717" customWidth="1"/>
    <col min="16147" max="16147" width="40.83203125" style="717" customWidth="1"/>
    <col min="16148" max="16148" width="186.33203125" style="717" customWidth="1"/>
    <col min="16149" max="16384" width="9.33203125" style="717"/>
  </cols>
  <sheetData>
    <row r="1" spans="1:36" ht="38.25" customHeight="1" x14ac:dyDescent="0.7">
      <c r="A1" s="648"/>
      <c r="B1" s="716"/>
      <c r="C1" s="716"/>
      <c r="D1" s="716"/>
      <c r="E1" s="716"/>
      <c r="F1" s="716"/>
      <c r="G1" s="716"/>
      <c r="H1" s="716"/>
      <c r="I1" s="716"/>
      <c r="J1" s="716"/>
      <c r="K1" s="648"/>
      <c r="L1" s="716"/>
      <c r="M1" s="716"/>
      <c r="N1" s="716"/>
      <c r="O1" s="716"/>
      <c r="P1" s="716"/>
      <c r="Q1" s="716"/>
      <c r="R1" s="716"/>
      <c r="S1" s="716"/>
      <c r="T1" s="716"/>
      <c r="U1" s="648"/>
      <c r="V1" s="648"/>
      <c r="W1" s="648"/>
      <c r="X1" s="648"/>
      <c r="Y1" s="648"/>
      <c r="Z1" s="648"/>
      <c r="AA1" s="648"/>
      <c r="AB1" s="648"/>
      <c r="AC1" s="648"/>
      <c r="AD1" s="648"/>
      <c r="AE1" s="648"/>
      <c r="AF1" s="648"/>
      <c r="AG1" s="648"/>
      <c r="AH1" s="648"/>
      <c r="AI1" s="648"/>
      <c r="AJ1" s="648"/>
    </row>
    <row r="2" spans="1:36" ht="54" customHeight="1" x14ac:dyDescent="0.7">
      <c r="A2" s="648"/>
      <c r="B2" s="928" t="s">
        <v>231</v>
      </c>
      <c r="C2" s="928"/>
      <c r="D2" s="928"/>
      <c r="E2" s="928"/>
      <c r="F2" s="928"/>
      <c r="G2" s="928"/>
      <c r="H2" s="928"/>
      <c r="I2" s="928"/>
      <c r="J2" s="928"/>
      <c r="K2" s="648"/>
      <c r="L2" s="928" t="s">
        <v>231</v>
      </c>
      <c r="M2" s="928"/>
      <c r="N2" s="928"/>
      <c r="O2" s="928"/>
      <c r="P2" s="928"/>
      <c r="Q2" s="928"/>
      <c r="R2" s="928"/>
      <c r="S2" s="928"/>
      <c r="T2" s="928"/>
      <c r="U2" s="648"/>
      <c r="V2" s="928" t="s">
        <v>231</v>
      </c>
      <c r="W2" s="928"/>
      <c r="X2" s="928"/>
      <c r="Y2" s="928"/>
      <c r="Z2" s="928"/>
      <c r="AA2" s="928"/>
      <c r="AB2" s="928"/>
      <c r="AC2" s="928"/>
      <c r="AD2" s="928"/>
      <c r="AE2" s="928"/>
      <c r="AF2" s="928"/>
      <c r="AG2" s="928"/>
      <c r="AH2" s="928"/>
      <c r="AI2" s="928"/>
      <c r="AJ2" s="928"/>
    </row>
    <row r="3" spans="1:36" ht="54" customHeight="1" x14ac:dyDescent="0.7">
      <c r="A3" s="648"/>
      <c r="B3" s="928" t="s">
        <v>730</v>
      </c>
      <c r="C3" s="928"/>
      <c r="D3" s="928"/>
      <c r="E3" s="928"/>
      <c r="F3" s="928"/>
      <c r="G3" s="928"/>
      <c r="H3" s="928"/>
      <c r="I3" s="928"/>
      <c r="J3" s="928"/>
      <c r="K3" s="648"/>
      <c r="L3" s="928" t="s">
        <v>730</v>
      </c>
      <c r="M3" s="928"/>
      <c r="N3" s="928"/>
      <c r="O3" s="928"/>
      <c r="P3" s="928"/>
      <c r="Q3" s="928"/>
      <c r="R3" s="928"/>
      <c r="S3" s="928"/>
      <c r="T3" s="928"/>
      <c r="U3" s="648"/>
      <c r="V3" s="928" t="s">
        <v>730</v>
      </c>
      <c r="W3" s="928"/>
      <c r="X3" s="928"/>
      <c r="Y3" s="928"/>
      <c r="Z3" s="928"/>
      <c r="AA3" s="928"/>
      <c r="AB3" s="928"/>
      <c r="AC3" s="928"/>
      <c r="AD3" s="928"/>
      <c r="AE3" s="928"/>
      <c r="AF3" s="928"/>
      <c r="AG3" s="928"/>
      <c r="AH3" s="928"/>
      <c r="AI3" s="928"/>
      <c r="AJ3" s="928"/>
    </row>
    <row r="4" spans="1:36" ht="62.25" customHeight="1" thickBot="1" x14ac:dyDescent="0.75">
      <c r="A4" s="648"/>
      <c r="B4" s="716"/>
      <c r="C4" s="716"/>
      <c r="D4" s="716"/>
      <c r="E4" s="716"/>
      <c r="F4" s="716"/>
      <c r="G4" s="716"/>
      <c r="H4" s="716"/>
      <c r="I4" s="716"/>
      <c r="J4" s="716"/>
      <c r="K4" s="648"/>
      <c r="L4" s="716"/>
      <c r="M4" s="716"/>
      <c r="N4" s="716"/>
      <c r="O4" s="716"/>
      <c r="P4" s="716"/>
      <c r="Q4" s="716"/>
      <c r="R4" s="716"/>
      <c r="S4" s="716"/>
      <c r="T4" s="716"/>
      <c r="U4" s="648"/>
      <c r="V4" s="648"/>
      <c r="W4" s="648"/>
      <c r="X4" s="648"/>
      <c r="Y4" s="648"/>
      <c r="Z4" s="648"/>
      <c r="AA4" s="648"/>
      <c r="AB4" s="648"/>
      <c r="AC4" s="648"/>
      <c r="AD4" s="648"/>
      <c r="AE4" s="648"/>
      <c r="AF4" s="648"/>
      <c r="AG4" s="648"/>
      <c r="AH4" s="648"/>
      <c r="AI4" s="648"/>
      <c r="AJ4" s="648"/>
    </row>
    <row r="5" spans="1:36" s="719" customFormat="1" ht="55.5" customHeight="1" x14ac:dyDescent="0.6">
      <c r="A5" s="949" t="s">
        <v>731</v>
      </c>
      <c r="B5" s="940" t="s">
        <v>264</v>
      </c>
      <c r="C5" s="941"/>
      <c r="D5" s="942"/>
      <c r="E5" s="940" t="s">
        <v>265</v>
      </c>
      <c r="F5" s="941"/>
      <c r="G5" s="942"/>
      <c r="H5" s="940" t="s">
        <v>266</v>
      </c>
      <c r="I5" s="941"/>
      <c r="J5" s="942"/>
      <c r="K5" s="949" t="s">
        <v>731</v>
      </c>
      <c r="L5" s="940" t="s">
        <v>267</v>
      </c>
      <c r="M5" s="941"/>
      <c r="N5" s="942"/>
      <c r="O5" s="940" t="s">
        <v>342</v>
      </c>
      <c r="P5" s="941"/>
      <c r="Q5" s="942"/>
      <c r="R5" s="940" t="s">
        <v>248</v>
      </c>
      <c r="S5" s="941"/>
      <c r="T5" s="942"/>
      <c r="U5" s="949" t="s">
        <v>731</v>
      </c>
      <c r="V5" s="951" t="s">
        <v>732</v>
      </c>
      <c r="W5" s="952"/>
      <c r="X5" s="953"/>
      <c r="Y5" s="951" t="s">
        <v>733</v>
      </c>
      <c r="Z5" s="952"/>
      <c r="AA5" s="953"/>
      <c r="AB5" s="951" t="s">
        <v>270</v>
      </c>
      <c r="AC5" s="952"/>
      <c r="AD5" s="953"/>
      <c r="AE5" s="951" t="s">
        <v>249</v>
      </c>
      <c r="AF5" s="952"/>
      <c r="AG5" s="953"/>
      <c r="AH5" s="951" t="s">
        <v>734</v>
      </c>
      <c r="AI5" s="952"/>
      <c r="AJ5" s="953"/>
    </row>
    <row r="6" spans="1:36" s="719" customFormat="1" ht="54" customHeight="1" x14ac:dyDescent="0.6">
      <c r="A6" s="950"/>
      <c r="B6" s="943"/>
      <c r="C6" s="944"/>
      <c r="D6" s="945"/>
      <c r="E6" s="943"/>
      <c r="F6" s="944"/>
      <c r="G6" s="945"/>
      <c r="H6" s="943"/>
      <c r="I6" s="944"/>
      <c r="J6" s="945"/>
      <c r="K6" s="950"/>
      <c r="L6" s="943"/>
      <c r="M6" s="944"/>
      <c r="N6" s="945"/>
      <c r="O6" s="943"/>
      <c r="P6" s="944"/>
      <c r="Q6" s="945"/>
      <c r="R6" s="943"/>
      <c r="S6" s="944"/>
      <c r="T6" s="945"/>
      <c r="U6" s="950"/>
      <c r="V6" s="954"/>
      <c r="W6" s="955"/>
      <c r="X6" s="956"/>
      <c r="Y6" s="954"/>
      <c r="Z6" s="955"/>
      <c r="AA6" s="956"/>
      <c r="AB6" s="954"/>
      <c r="AC6" s="955"/>
      <c r="AD6" s="956"/>
      <c r="AE6" s="954"/>
      <c r="AF6" s="955"/>
      <c r="AG6" s="956"/>
      <c r="AH6" s="954"/>
      <c r="AI6" s="955"/>
      <c r="AJ6" s="956"/>
    </row>
    <row r="7" spans="1:36" s="721" customFormat="1" ht="94.5" customHeight="1" thickBot="1" x14ac:dyDescent="0.65">
      <c r="A7" s="685" t="s">
        <v>688</v>
      </c>
      <c r="B7" s="946"/>
      <c r="C7" s="947"/>
      <c r="D7" s="948"/>
      <c r="E7" s="946"/>
      <c r="F7" s="947"/>
      <c r="G7" s="948"/>
      <c r="H7" s="946"/>
      <c r="I7" s="947"/>
      <c r="J7" s="948"/>
      <c r="K7" s="685" t="s">
        <v>688</v>
      </c>
      <c r="L7" s="946"/>
      <c r="M7" s="947"/>
      <c r="N7" s="948"/>
      <c r="O7" s="946"/>
      <c r="P7" s="947"/>
      <c r="Q7" s="948"/>
      <c r="R7" s="946"/>
      <c r="S7" s="947"/>
      <c r="T7" s="948"/>
      <c r="U7" s="685" t="s">
        <v>688</v>
      </c>
      <c r="V7" s="957"/>
      <c r="W7" s="958"/>
      <c r="X7" s="959"/>
      <c r="Y7" s="957"/>
      <c r="Z7" s="958"/>
      <c r="AA7" s="959"/>
      <c r="AB7" s="957"/>
      <c r="AC7" s="958"/>
      <c r="AD7" s="959"/>
      <c r="AE7" s="957"/>
      <c r="AF7" s="958"/>
      <c r="AG7" s="959"/>
      <c r="AH7" s="957"/>
      <c r="AI7" s="958"/>
      <c r="AJ7" s="959"/>
    </row>
    <row r="8" spans="1:36" s="721" customFormat="1" ht="148.5" customHeight="1" thickBot="1" x14ac:dyDescent="0.65">
      <c r="A8" s="722"/>
      <c r="B8" s="665" t="s">
        <v>691</v>
      </c>
      <c r="C8" s="665" t="s">
        <v>692</v>
      </c>
      <c r="D8" s="665" t="s">
        <v>693</v>
      </c>
      <c r="E8" s="665" t="s">
        <v>691</v>
      </c>
      <c r="F8" s="665" t="s">
        <v>692</v>
      </c>
      <c r="G8" s="665" t="s">
        <v>693</v>
      </c>
      <c r="H8" s="665" t="s">
        <v>691</v>
      </c>
      <c r="I8" s="665" t="s">
        <v>692</v>
      </c>
      <c r="J8" s="665" t="s">
        <v>693</v>
      </c>
      <c r="K8" s="722"/>
      <c r="L8" s="665" t="s">
        <v>691</v>
      </c>
      <c r="M8" s="665" t="s">
        <v>692</v>
      </c>
      <c r="N8" s="665" t="s">
        <v>693</v>
      </c>
      <c r="O8" s="665" t="s">
        <v>691</v>
      </c>
      <c r="P8" s="665" t="s">
        <v>692</v>
      </c>
      <c r="Q8" s="665" t="s">
        <v>693</v>
      </c>
      <c r="R8" s="665" t="s">
        <v>691</v>
      </c>
      <c r="S8" s="665" t="s">
        <v>692</v>
      </c>
      <c r="T8" s="665" t="s">
        <v>693</v>
      </c>
      <c r="U8" s="722"/>
      <c r="V8" s="665" t="s">
        <v>691</v>
      </c>
      <c r="W8" s="665" t="s">
        <v>692</v>
      </c>
      <c r="X8" s="665" t="s">
        <v>693</v>
      </c>
      <c r="Y8" s="665" t="s">
        <v>691</v>
      </c>
      <c r="Z8" s="665" t="s">
        <v>692</v>
      </c>
      <c r="AA8" s="665" t="s">
        <v>693</v>
      </c>
      <c r="AB8" s="665" t="s">
        <v>691</v>
      </c>
      <c r="AC8" s="665" t="s">
        <v>692</v>
      </c>
      <c r="AD8" s="665" t="s">
        <v>693</v>
      </c>
      <c r="AE8" s="665" t="s">
        <v>691</v>
      </c>
      <c r="AF8" s="665" t="s">
        <v>692</v>
      </c>
      <c r="AG8" s="665" t="s">
        <v>693</v>
      </c>
      <c r="AH8" s="665" t="s">
        <v>691</v>
      </c>
      <c r="AI8" s="665" t="s">
        <v>692</v>
      </c>
      <c r="AJ8" s="665" t="s">
        <v>693</v>
      </c>
    </row>
    <row r="9" spans="1:36" s="718" customFormat="1" ht="45.75" customHeight="1" x14ac:dyDescent="0.7">
      <c r="A9" s="667" t="s">
        <v>694</v>
      </c>
      <c r="B9" s="668"/>
      <c r="C9" s="668"/>
      <c r="D9" s="668"/>
      <c r="E9" s="668"/>
      <c r="F9" s="668"/>
      <c r="G9" s="668"/>
      <c r="H9" s="668"/>
      <c r="I9" s="668"/>
      <c r="J9" s="668"/>
      <c r="K9" s="667" t="s">
        <v>694</v>
      </c>
      <c r="L9" s="668"/>
      <c r="M9" s="668"/>
      <c r="N9" s="668"/>
      <c r="O9" s="668"/>
      <c r="P9" s="668"/>
      <c r="Q9" s="668"/>
      <c r="R9" s="668"/>
      <c r="S9" s="668"/>
      <c r="T9" s="668"/>
      <c r="U9" s="667" t="s">
        <v>694</v>
      </c>
      <c r="V9" s="667"/>
      <c r="W9" s="667"/>
      <c r="X9" s="667"/>
      <c r="Y9" s="667"/>
      <c r="Z9" s="667"/>
      <c r="AA9" s="667"/>
      <c r="AB9" s="668"/>
      <c r="AC9" s="668"/>
      <c r="AD9" s="668"/>
      <c r="AE9" s="667"/>
      <c r="AF9" s="667"/>
      <c r="AG9" s="667"/>
      <c r="AH9" s="667"/>
      <c r="AI9" s="667"/>
      <c r="AJ9" s="667"/>
    </row>
    <row r="10" spans="1:36" s="718" customFormat="1" ht="48.75" customHeight="1" x14ac:dyDescent="0.7">
      <c r="A10" s="670" t="s">
        <v>695</v>
      </c>
      <c r="B10" s="671">
        <f>'[4]int.kiadások RM II'!D10</f>
        <v>210413</v>
      </c>
      <c r="C10" s="723">
        <v>-952</v>
      </c>
      <c r="D10" s="671">
        <f>SUM(B10:C10)</f>
        <v>209461</v>
      </c>
      <c r="E10" s="671">
        <f>'[4]int.kiadások RM II'!G10</f>
        <v>31277</v>
      </c>
      <c r="F10" s="671">
        <v>-125</v>
      </c>
      <c r="G10" s="671">
        <f t="shared" ref="G10:G27" si="0">SUM(E10:F10)</f>
        <v>31152</v>
      </c>
      <c r="H10" s="671">
        <f>'[4]int.kiadások RM II'!J10</f>
        <v>5763</v>
      </c>
      <c r="I10" s="671">
        <f>1006+100</f>
        <v>1106</v>
      </c>
      <c r="J10" s="671">
        <f>SUM(H10:I10)</f>
        <v>6869</v>
      </c>
      <c r="K10" s="670" t="s">
        <v>695</v>
      </c>
      <c r="L10" s="671">
        <f>'[4]int.kiadások RM II'!N10</f>
        <v>0</v>
      </c>
      <c r="M10" s="671"/>
      <c r="N10" s="671">
        <f>SUM(L10:M10)</f>
        <v>0</v>
      </c>
      <c r="O10" s="671">
        <f>'[4]int.kiadások RM II'!Q10</f>
        <v>0</v>
      </c>
      <c r="P10" s="671"/>
      <c r="Q10" s="671">
        <f>SUM(O10:P10)</f>
        <v>0</v>
      </c>
      <c r="R10" s="672">
        <f>B10+E10+H10+L10+O10</f>
        <v>247453</v>
      </c>
      <c r="S10" s="672">
        <f>C10+F10+I10+M10+P10</f>
        <v>29</v>
      </c>
      <c r="T10" s="672">
        <f>D10+G10+J10+N10+Q10</f>
        <v>247482</v>
      </c>
      <c r="U10" s="670" t="s">
        <v>695</v>
      </c>
      <c r="V10" s="671">
        <f>'[4]int.kiadások RM II'!X10</f>
        <v>1591</v>
      </c>
      <c r="W10" s="671">
        <v>188</v>
      </c>
      <c r="X10" s="671">
        <f>SUM(V10:W10)</f>
        <v>1779</v>
      </c>
      <c r="Y10" s="671">
        <f>'[4]int.kiadások RM II'!AA10</f>
        <v>1694</v>
      </c>
      <c r="Z10" s="671"/>
      <c r="AA10" s="671">
        <f>SUM(Y10:Z10)</f>
        <v>1694</v>
      </c>
      <c r="AB10" s="671">
        <f>'[4]int.kiadások RM II'!AD10</f>
        <v>0</v>
      </c>
      <c r="AC10" s="671"/>
      <c r="AD10" s="671">
        <f>SUM(AB10:AC10)</f>
        <v>0</v>
      </c>
      <c r="AE10" s="672">
        <f>V10+Y10+AB10</f>
        <v>3285</v>
      </c>
      <c r="AF10" s="672">
        <f>W10+Z10+AC10</f>
        <v>188</v>
      </c>
      <c r="AG10" s="672">
        <f>X10+AA10+AD10</f>
        <v>3473</v>
      </c>
      <c r="AH10" s="672">
        <f t="shared" ref="AH10:AJ29" si="1">R10+AE10</f>
        <v>250738</v>
      </c>
      <c r="AI10" s="672">
        <f t="shared" si="1"/>
        <v>217</v>
      </c>
      <c r="AJ10" s="672">
        <f t="shared" si="1"/>
        <v>250955</v>
      </c>
    </row>
    <row r="11" spans="1:36" s="718" customFormat="1" ht="48.75" customHeight="1" x14ac:dyDescent="0.7">
      <c r="A11" s="673" t="s">
        <v>696</v>
      </c>
      <c r="B11" s="671">
        <f>'[4]int.kiadások RM II'!D11</f>
        <v>141856</v>
      </c>
      <c r="C11" s="671">
        <v>2584</v>
      </c>
      <c r="D11" s="671">
        <f t="shared" ref="D11:D36" si="2">SUM(B11:C11)</f>
        <v>144440</v>
      </c>
      <c r="E11" s="671">
        <f>'[4]int.kiadások RM II'!G11</f>
        <v>18292</v>
      </c>
      <c r="F11" s="671">
        <v>336</v>
      </c>
      <c r="G11" s="671">
        <f t="shared" si="0"/>
        <v>18628</v>
      </c>
      <c r="H11" s="671">
        <f>'[4]int.kiadások RM II'!J11</f>
        <v>5653</v>
      </c>
      <c r="I11" s="671">
        <f>-309+150</f>
        <v>-159</v>
      </c>
      <c r="J11" s="671">
        <f t="shared" ref="J11:J27" si="3">SUM(H11:I11)</f>
        <v>5494</v>
      </c>
      <c r="K11" s="673" t="s">
        <v>696</v>
      </c>
      <c r="L11" s="671">
        <f>'[4]int.kiadások RM II'!N11</f>
        <v>0</v>
      </c>
      <c r="M11" s="671"/>
      <c r="N11" s="671">
        <f t="shared" ref="N11:N27" si="4">SUM(L11:M11)</f>
        <v>0</v>
      </c>
      <c r="O11" s="671">
        <f>'[4]int.kiadások RM II'!Q11</f>
        <v>0</v>
      </c>
      <c r="P11" s="671"/>
      <c r="Q11" s="671">
        <f t="shared" ref="Q11:Q27" si="5">SUM(O11:P11)</f>
        <v>0</v>
      </c>
      <c r="R11" s="672">
        <f t="shared" ref="R11:T27" si="6">B11+E11+H11+L11+O11</f>
        <v>165801</v>
      </c>
      <c r="S11" s="672">
        <f t="shared" si="6"/>
        <v>2761</v>
      </c>
      <c r="T11" s="672">
        <f t="shared" si="6"/>
        <v>168562</v>
      </c>
      <c r="U11" s="673" t="s">
        <v>696</v>
      </c>
      <c r="V11" s="671">
        <f>'[4]int.kiadások RM II'!X11</f>
        <v>512</v>
      </c>
      <c r="W11" s="671">
        <v>333</v>
      </c>
      <c r="X11" s="671">
        <f t="shared" ref="X11:X29" si="7">SUM(V11:W11)</f>
        <v>845</v>
      </c>
      <c r="Y11" s="671">
        <f>'[4]int.kiadások RM II'!AA11</f>
        <v>0</v>
      </c>
      <c r="Z11" s="671"/>
      <c r="AA11" s="671">
        <f t="shared" ref="AA11:AA27" si="8">SUM(Y11:Z11)</f>
        <v>0</v>
      </c>
      <c r="AB11" s="671">
        <f>'[4]int.kiadások RM II'!AD11</f>
        <v>0</v>
      </c>
      <c r="AC11" s="671"/>
      <c r="AD11" s="671">
        <f t="shared" ref="AD11:AD27" si="9">SUM(AB11:AC11)</f>
        <v>0</v>
      </c>
      <c r="AE11" s="672">
        <f t="shared" ref="AE11:AG27" si="10">V11+Y11+AB11</f>
        <v>512</v>
      </c>
      <c r="AF11" s="672">
        <f t="shared" si="10"/>
        <v>333</v>
      </c>
      <c r="AG11" s="672">
        <f t="shared" si="10"/>
        <v>845</v>
      </c>
      <c r="AH11" s="672">
        <f t="shared" si="1"/>
        <v>166313</v>
      </c>
      <c r="AI11" s="672">
        <f t="shared" si="1"/>
        <v>3094</v>
      </c>
      <c r="AJ11" s="672">
        <f t="shared" si="1"/>
        <v>169407</v>
      </c>
    </row>
    <row r="12" spans="1:36" s="718" customFormat="1" ht="48.75" customHeight="1" x14ac:dyDescent="0.7">
      <c r="A12" s="673" t="s">
        <v>697</v>
      </c>
      <c r="B12" s="671">
        <f>'[4]int.kiadások RM II'!D12</f>
        <v>155896</v>
      </c>
      <c r="C12" s="671">
        <f>-770+552</f>
        <v>-218</v>
      </c>
      <c r="D12" s="671">
        <f t="shared" si="2"/>
        <v>155678</v>
      </c>
      <c r="E12" s="671">
        <f>'[4]int.kiadások RM II'!G12</f>
        <v>20504</v>
      </c>
      <c r="F12" s="671">
        <f>-100+72</f>
        <v>-28</v>
      </c>
      <c r="G12" s="671">
        <f t="shared" si="0"/>
        <v>20476</v>
      </c>
      <c r="H12" s="671">
        <f>'[4]int.kiadások RM II'!J12</f>
        <v>4949</v>
      </c>
      <c r="I12" s="671">
        <f>959+100</f>
        <v>1059</v>
      </c>
      <c r="J12" s="671">
        <f t="shared" si="3"/>
        <v>6008</v>
      </c>
      <c r="K12" s="673" t="s">
        <v>697</v>
      </c>
      <c r="L12" s="671">
        <f>'[4]int.kiadások RM II'!N12</f>
        <v>0</v>
      </c>
      <c r="M12" s="671"/>
      <c r="N12" s="671">
        <f t="shared" si="4"/>
        <v>0</v>
      </c>
      <c r="O12" s="671">
        <f>'[4]int.kiadások RM II'!Q12</f>
        <v>0</v>
      </c>
      <c r="P12" s="671"/>
      <c r="Q12" s="671">
        <f t="shared" si="5"/>
        <v>0</v>
      </c>
      <c r="R12" s="672">
        <f t="shared" si="6"/>
        <v>181349</v>
      </c>
      <c r="S12" s="672">
        <f t="shared" si="6"/>
        <v>813</v>
      </c>
      <c r="T12" s="672">
        <f t="shared" si="6"/>
        <v>182162</v>
      </c>
      <c r="U12" s="673" t="s">
        <v>697</v>
      </c>
      <c r="V12" s="671">
        <f>'[4]int.kiadások RM II'!X12</f>
        <v>218</v>
      </c>
      <c r="W12" s="671">
        <v>336</v>
      </c>
      <c r="X12" s="671">
        <f t="shared" si="7"/>
        <v>554</v>
      </c>
      <c r="Y12" s="671">
        <f>'[4]int.kiadások RM II'!AA12</f>
        <v>0</v>
      </c>
      <c r="Z12" s="671"/>
      <c r="AA12" s="671">
        <f t="shared" si="8"/>
        <v>0</v>
      </c>
      <c r="AB12" s="671">
        <f>'[4]int.kiadások RM II'!AD12</f>
        <v>0</v>
      </c>
      <c r="AC12" s="671"/>
      <c r="AD12" s="671">
        <f t="shared" si="9"/>
        <v>0</v>
      </c>
      <c r="AE12" s="672">
        <f t="shared" si="10"/>
        <v>218</v>
      </c>
      <c r="AF12" s="672">
        <f t="shared" si="10"/>
        <v>336</v>
      </c>
      <c r="AG12" s="672">
        <f t="shared" si="10"/>
        <v>554</v>
      </c>
      <c r="AH12" s="672">
        <f t="shared" si="1"/>
        <v>181567</v>
      </c>
      <c r="AI12" s="672">
        <f t="shared" si="1"/>
        <v>1149</v>
      </c>
      <c r="AJ12" s="672">
        <f t="shared" si="1"/>
        <v>182716</v>
      </c>
    </row>
    <row r="13" spans="1:36" s="718" customFormat="1" ht="48.75" customHeight="1" x14ac:dyDescent="0.7">
      <c r="A13" s="673" t="s">
        <v>698</v>
      </c>
      <c r="B13" s="671">
        <f>'[4]int.kiadások RM II'!D13</f>
        <v>170692</v>
      </c>
      <c r="C13" s="671">
        <f>-828+2944</f>
        <v>2116</v>
      </c>
      <c r="D13" s="671">
        <f t="shared" si="2"/>
        <v>172808</v>
      </c>
      <c r="E13" s="671">
        <f>'[4]int.kiadások RM II'!G13</f>
        <v>25593</v>
      </c>
      <c r="F13" s="671">
        <f>-108+383</f>
        <v>275</v>
      </c>
      <c r="G13" s="671">
        <f t="shared" si="0"/>
        <v>25868</v>
      </c>
      <c r="H13" s="671">
        <f>'[4]int.kiadások RM II'!J13</f>
        <v>3429</v>
      </c>
      <c r="I13" s="671">
        <f>1138+100</f>
        <v>1238</v>
      </c>
      <c r="J13" s="671">
        <f t="shared" si="3"/>
        <v>4667</v>
      </c>
      <c r="K13" s="673" t="s">
        <v>698</v>
      </c>
      <c r="L13" s="671">
        <f>'[4]int.kiadások RM II'!N13</f>
        <v>0</v>
      </c>
      <c r="M13" s="671"/>
      <c r="N13" s="671">
        <f t="shared" si="4"/>
        <v>0</v>
      </c>
      <c r="O13" s="671">
        <f>'[4]int.kiadások RM II'!Q13</f>
        <v>0</v>
      </c>
      <c r="P13" s="671"/>
      <c r="Q13" s="671">
        <f t="shared" si="5"/>
        <v>0</v>
      </c>
      <c r="R13" s="672">
        <f t="shared" si="6"/>
        <v>199714</v>
      </c>
      <c r="S13" s="672">
        <f t="shared" si="6"/>
        <v>3629</v>
      </c>
      <c r="T13" s="672">
        <f t="shared" si="6"/>
        <v>203343</v>
      </c>
      <c r="U13" s="673" t="s">
        <v>698</v>
      </c>
      <c r="V13" s="671">
        <f>'[4]int.kiadások RM II'!X13</f>
        <v>0</v>
      </c>
      <c r="W13" s="671"/>
      <c r="X13" s="671">
        <f t="shared" si="7"/>
        <v>0</v>
      </c>
      <c r="Y13" s="671">
        <f>'[4]int.kiadások RM II'!AA13</f>
        <v>0</v>
      </c>
      <c r="Z13" s="671"/>
      <c r="AA13" s="671">
        <f t="shared" si="8"/>
        <v>0</v>
      </c>
      <c r="AB13" s="671">
        <f>'[4]int.kiadások RM II'!AD13</f>
        <v>0</v>
      </c>
      <c r="AC13" s="671"/>
      <c r="AD13" s="671">
        <f t="shared" si="9"/>
        <v>0</v>
      </c>
      <c r="AE13" s="672">
        <f t="shared" si="10"/>
        <v>0</v>
      </c>
      <c r="AF13" s="672">
        <f t="shared" si="10"/>
        <v>0</v>
      </c>
      <c r="AG13" s="672">
        <f t="shared" si="10"/>
        <v>0</v>
      </c>
      <c r="AH13" s="672">
        <f t="shared" si="1"/>
        <v>199714</v>
      </c>
      <c r="AI13" s="672">
        <f t="shared" si="1"/>
        <v>3629</v>
      </c>
      <c r="AJ13" s="672">
        <f t="shared" si="1"/>
        <v>203343</v>
      </c>
    </row>
    <row r="14" spans="1:36" s="718" customFormat="1" ht="48.75" customHeight="1" x14ac:dyDescent="0.7">
      <c r="A14" s="673" t="s">
        <v>699</v>
      </c>
      <c r="B14" s="671">
        <f>'[4]int.kiadások RM II'!D14</f>
        <v>169203</v>
      </c>
      <c r="C14" s="671">
        <f>-1170+148</f>
        <v>-1022</v>
      </c>
      <c r="D14" s="671">
        <f t="shared" si="2"/>
        <v>168181</v>
      </c>
      <c r="E14" s="671">
        <f>'[4]int.kiadások RM II'!G14</f>
        <v>24990</v>
      </c>
      <c r="F14" s="671">
        <f>-152+19</f>
        <v>-133</v>
      </c>
      <c r="G14" s="671">
        <f t="shared" si="0"/>
        <v>24857</v>
      </c>
      <c r="H14" s="671">
        <f>'[4]int.kiadások RM II'!J14</f>
        <v>4857</v>
      </c>
      <c r="I14" s="671">
        <f>1304+100</f>
        <v>1404</v>
      </c>
      <c r="J14" s="671">
        <f t="shared" si="3"/>
        <v>6261</v>
      </c>
      <c r="K14" s="673" t="s">
        <v>699</v>
      </c>
      <c r="L14" s="671">
        <f>'[4]int.kiadások RM II'!N14</f>
        <v>0</v>
      </c>
      <c r="M14" s="671"/>
      <c r="N14" s="671">
        <f t="shared" si="4"/>
        <v>0</v>
      </c>
      <c r="O14" s="671">
        <f>'[4]int.kiadások RM II'!Q14</f>
        <v>0</v>
      </c>
      <c r="P14" s="671"/>
      <c r="Q14" s="671">
        <f t="shared" si="5"/>
        <v>0</v>
      </c>
      <c r="R14" s="672">
        <f t="shared" si="6"/>
        <v>199050</v>
      </c>
      <c r="S14" s="672">
        <f t="shared" si="6"/>
        <v>249</v>
      </c>
      <c r="T14" s="672">
        <f t="shared" si="6"/>
        <v>199299</v>
      </c>
      <c r="U14" s="673" t="s">
        <v>699</v>
      </c>
      <c r="V14" s="671">
        <f>'[4]int.kiadások RM II'!X14</f>
        <v>460</v>
      </c>
      <c r="W14" s="671">
        <v>686</v>
      </c>
      <c r="X14" s="671">
        <f t="shared" si="7"/>
        <v>1146</v>
      </c>
      <c r="Y14" s="671">
        <f>'[4]int.kiadások RM II'!AA14</f>
        <v>0</v>
      </c>
      <c r="Z14" s="671"/>
      <c r="AA14" s="671">
        <f t="shared" si="8"/>
        <v>0</v>
      </c>
      <c r="AB14" s="671">
        <f>'[4]int.kiadások RM II'!AD14</f>
        <v>0</v>
      </c>
      <c r="AC14" s="671"/>
      <c r="AD14" s="671">
        <f t="shared" si="9"/>
        <v>0</v>
      </c>
      <c r="AE14" s="672">
        <f t="shared" si="10"/>
        <v>460</v>
      </c>
      <c r="AF14" s="672">
        <f t="shared" si="10"/>
        <v>686</v>
      </c>
      <c r="AG14" s="672">
        <f t="shared" si="10"/>
        <v>1146</v>
      </c>
      <c r="AH14" s="672">
        <f t="shared" si="1"/>
        <v>199510</v>
      </c>
      <c r="AI14" s="672">
        <f t="shared" si="1"/>
        <v>935</v>
      </c>
      <c r="AJ14" s="672">
        <f t="shared" si="1"/>
        <v>200445</v>
      </c>
    </row>
    <row r="15" spans="1:36" s="718" customFormat="1" ht="48.75" customHeight="1" x14ac:dyDescent="0.7">
      <c r="A15" s="673" t="s">
        <v>700</v>
      </c>
      <c r="B15" s="671">
        <f>'[4]int.kiadások RM II'!D15</f>
        <v>150894</v>
      </c>
      <c r="C15" s="671">
        <f>-352+200</f>
        <v>-152</v>
      </c>
      <c r="D15" s="671">
        <f t="shared" si="2"/>
        <v>150742</v>
      </c>
      <c r="E15" s="671">
        <f>'[4]int.kiadások RM II'!G15</f>
        <v>19792</v>
      </c>
      <c r="F15" s="671">
        <f>-46+25</f>
        <v>-21</v>
      </c>
      <c r="G15" s="671">
        <f t="shared" si="0"/>
        <v>19771</v>
      </c>
      <c r="H15" s="671">
        <f>'[4]int.kiadások RM II'!J15</f>
        <v>4402</v>
      </c>
      <c r="I15" s="671">
        <f>704+100</f>
        <v>804</v>
      </c>
      <c r="J15" s="671">
        <f t="shared" si="3"/>
        <v>5206</v>
      </c>
      <c r="K15" s="673" t="s">
        <v>700</v>
      </c>
      <c r="L15" s="671">
        <f>'[4]int.kiadások RM II'!N15</f>
        <v>0</v>
      </c>
      <c r="M15" s="671"/>
      <c r="N15" s="671">
        <f t="shared" si="4"/>
        <v>0</v>
      </c>
      <c r="O15" s="671">
        <f>'[4]int.kiadások RM II'!Q15</f>
        <v>0</v>
      </c>
      <c r="P15" s="671"/>
      <c r="Q15" s="671">
        <f t="shared" si="5"/>
        <v>0</v>
      </c>
      <c r="R15" s="672">
        <f t="shared" si="6"/>
        <v>175088</v>
      </c>
      <c r="S15" s="672">
        <f t="shared" si="6"/>
        <v>631</v>
      </c>
      <c r="T15" s="672">
        <f t="shared" si="6"/>
        <v>175719</v>
      </c>
      <c r="U15" s="673" t="s">
        <v>700</v>
      </c>
      <c r="V15" s="671">
        <f>'[4]int.kiadások RM II'!X15</f>
        <v>2594</v>
      </c>
      <c r="W15" s="671">
        <v>732</v>
      </c>
      <c r="X15" s="671">
        <f t="shared" si="7"/>
        <v>3326</v>
      </c>
      <c r="Y15" s="671">
        <f>'[4]int.kiadások RM II'!AA15</f>
        <v>0</v>
      </c>
      <c r="Z15" s="671"/>
      <c r="AA15" s="671">
        <f t="shared" si="8"/>
        <v>0</v>
      </c>
      <c r="AB15" s="671">
        <f>'[4]int.kiadások RM II'!AD15</f>
        <v>0</v>
      </c>
      <c r="AC15" s="671"/>
      <c r="AD15" s="671">
        <f t="shared" si="9"/>
        <v>0</v>
      </c>
      <c r="AE15" s="672">
        <f t="shared" si="10"/>
        <v>2594</v>
      </c>
      <c r="AF15" s="672">
        <f t="shared" si="10"/>
        <v>732</v>
      </c>
      <c r="AG15" s="672">
        <f t="shared" si="10"/>
        <v>3326</v>
      </c>
      <c r="AH15" s="672">
        <f t="shared" si="1"/>
        <v>177682</v>
      </c>
      <c r="AI15" s="672">
        <f t="shared" si="1"/>
        <v>1363</v>
      </c>
      <c r="AJ15" s="672">
        <f t="shared" si="1"/>
        <v>179045</v>
      </c>
    </row>
    <row r="16" spans="1:36" s="718" customFormat="1" ht="48.75" customHeight="1" x14ac:dyDescent="0.7">
      <c r="A16" s="673" t="s">
        <v>702</v>
      </c>
      <c r="B16" s="671">
        <f>'[4]int.kiadások RM II'!D16</f>
        <v>117645</v>
      </c>
      <c r="C16" s="671">
        <v>1537</v>
      </c>
      <c r="D16" s="671">
        <f t="shared" si="2"/>
        <v>119182</v>
      </c>
      <c r="E16" s="671">
        <f>'[4]int.kiadások RM II'!G16</f>
        <v>15339</v>
      </c>
      <c r="F16" s="671">
        <v>199</v>
      </c>
      <c r="G16" s="671">
        <f t="shared" si="0"/>
        <v>15538</v>
      </c>
      <c r="H16" s="671">
        <f>'[4]int.kiadások RM II'!J16</f>
        <v>4617</v>
      </c>
      <c r="I16" s="671">
        <f>815+100</f>
        <v>915</v>
      </c>
      <c r="J16" s="671">
        <f t="shared" si="3"/>
        <v>5532</v>
      </c>
      <c r="K16" s="673" t="s">
        <v>702</v>
      </c>
      <c r="L16" s="671">
        <f>'[4]int.kiadások RM II'!N16</f>
        <v>0</v>
      </c>
      <c r="M16" s="671"/>
      <c r="N16" s="671">
        <f t="shared" si="4"/>
        <v>0</v>
      </c>
      <c r="O16" s="671">
        <f>'[4]int.kiadások RM II'!Q16</f>
        <v>0</v>
      </c>
      <c r="P16" s="671"/>
      <c r="Q16" s="671">
        <f t="shared" si="5"/>
        <v>0</v>
      </c>
      <c r="R16" s="672">
        <f t="shared" si="6"/>
        <v>137601</v>
      </c>
      <c r="S16" s="672">
        <f t="shared" si="6"/>
        <v>2651</v>
      </c>
      <c r="T16" s="672">
        <f t="shared" si="6"/>
        <v>140252</v>
      </c>
      <c r="U16" s="673" t="s">
        <v>702</v>
      </c>
      <c r="V16" s="671">
        <f>'[4]int.kiadások RM II'!X16</f>
        <v>82</v>
      </c>
      <c r="W16" s="671">
        <v>122</v>
      </c>
      <c r="X16" s="671">
        <f t="shared" si="7"/>
        <v>204</v>
      </c>
      <c r="Y16" s="671">
        <f>'[4]int.kiadások RM II'!AA16</f>
        <v>0</v>
      </c>
      <c r="Z16" s="671"/>
      <c r="AA16" s="671">
        <f t="shared" si="8"/>
        <v>0</v>
      </c>
      <c r="AB16" s="671">
        <f>'[4]int.kiadások RM II'!AD16</f>
        <v>0</v>
      </c>
      <c r="AC16" s="671"/>
      <c r="AD16" s="671">
        <f t="shared" si="9"/>
        <v>0</v>
      </c>
      <c r="AE16" s="672">
        <f t="shared" si="10"/>
        <v>82</v>
      </c>
      <c r="AF16" s="672">
        <f t="shared" si="10"/>
        <v>122</v>
      </c>
      <c r="AG16" s="672">
        <f t="shared" si="10"/>
        <v>204</v>
      </c>
      <c r="AH16" s="672">
        <f t="shared" si="1"/>
        <v>137683</v>
      </c>
      <c r="AI16" s="672">
        <f t="shared" si="1"/>
        <v>2773</v>
      </c>
      <c r="AJ16" s="672">
        <f t="shared" si="1"/>
        <v>140456</v>
      </c>
    </row>
    <row r="17" spans="1:36" s="718" customFormat="1" ht="48.75" customHeight="1" x14ac:dyDescent="0.7">
      <c r="A17" s="673" t="s">
        <v>703</v>
      </c>
      <c r="B17" s="671">
        <f>'[4]int.kiadások RM II'!D17</f>
        <v>128355</v>
      </c>
      <c r="C17" s="671">
        <f>-2050+1577</f>
        <v>-473</v>
      </c>
      <c r="D17" s="671">
        <f t="shared" si="2"/>
        <v>127882</v>
      </c>
      <c r="E17" s="671">
        <f>'[4]int.kiadások RM II'!G17</f>
        <v>16816</v>
      </c>
      <c r="F17" s="671">
        <f>-267+205</f>
        <v>-62</v>
      </c>
      <c r="G17" s="671">
        <f t="shared" si="0"/>
        <v>16754</v>
      </c>
      <c r="H17" s="671">
        <f>'[4]int.kiadások RM II'!J17</f>
        <v>2748</v>
      </c>
      <c r="I17" s="671">
        <f>1438+160</f>
        <v>1598</v>
      </c>
      <c r="J17" s="671">
        <f t="shared" si="3"/>
        <v>4346</v>
      </c>
      <c r="K17" s="673" t="s">
        <v>703</v>
      </c>
      <c r="L17" s="671">
        <f>'[4]int.kiadások RM II'!N17</f>
        <v>0</v>
      </c>
      <c r="M17" s="671"/>
      <c r="N17" s="671">
        <f t="shared" si="4"/>
        <v>0</v>
      </c>
      <c r="O17" s="671">
        <f>'[4]int.kiadások RM II'!Q17</f>
        <v>0</v>
      </c>
      <c r="P17" s="671"/>
      <c r="Q17" s="671">
        <f t="shared" si="5"/>
        <v>0</v>
      </c>
      <c r="R17" s="672">
        <f t="shared" si="6"/>
        <v>147919</v>
      </c>
      <c r="S17" s="672">
        <f t="shared" si="6"/>
        <v>1063</v>
      </c>
      <c r="T17" s="672">
        <f t="shared" si="6"/>
        <v>148982</v>
      </c>
      <c r="U17" s="673" t="s">
        <v>703</v>
      </c>
      <c r="V17" s="671">
        <f>'[4]int.kiadások RM II'!X17</f>
        <v>1181</v>
      </c>
      <c r="W17" s="671">
        <v>2078</v>
      </c>
      <c r="X17" s="671">
        <f t="shared" si="7"/>
        <v>3259</v>
      </c>
      <c r="Y17" s="671">
        <f>'[4]int.kiadások RM II'!AA17</f>
        <v>0</v>
      </c>
      <c r="Z17" s="671"/>
      <c r="AA17" s="671">
        <f t="shared" si="8"/>
        <v>0</v>
      </c>
      <c r="AB17" s="671">
        <f>'[4]int.kiadások RM II'!AD17</f>
        <v>0</v>
      </c>
      <c r="AC17" s="671"/>
      <c r="AD17" s="671">
        <f t="shared" si="9"/>
        <v>0</v>
      </c>
      <c r="AE17" s="672">
        <f t="shared" si="10"/>
        <v>1181</v>
      </c>
      <c r="AF17" s="672">
        <f t="shared" si="10"/>
        <v>2078</v>
      </c>
      <c r="AG17" s="672">
        <f t="shared" si="10"/>
        <v>3259</v>
      </c>
      <c r="AH17" s="672">
        <f t="shared" si="1"/>
        <v>149100</v>
      </c>
      <c r="AI17" s="672">
        <f t="shared" si="1"/>
        <v>3141</v>
      </c>
      <c r="AJ17" s="672">
        <f t="shared" si="1"/>
        <v>152241</v>
      </c>
    </row>
    <row r="18" spans="1:36" s="718" customFormat="1" ht="48.75" customHeight="1" x14ac:dyDescent="0.7">
      <c r="A18" s="673" t="s">
        <v>704</v>
      </c>
      <c r="B18" s="671">
        <f>'[4]int.kiadások RM II'!D18</f>
        <v>162304</v>
      </c>
      <c r="C18" s="671">
        <f>-635+3599</f>
        <v>2964</v>
      </c>
      <c r="D18" s="671">
        <f t="shared" si="2"/>
        <v>165268</v>
      </c>
      <c r="E18" s="671">
        <f>'[4]int.kiadások RM II'!G18</f>
        <v>24342</v>
      </c>
      <c r="F18" s="671">
        <f>635+468</f>
        <v>1103</v>
      </c>
      <c r="G18" s="671">
        <f t="shared" si="0"/>
        <v>25445</v>
      </c>
      <c r="H18" s="671">
        <f>'[4]int.kiadások RM II'!J18</f>
        <v>4485</v>
      </c>
      <c r="I18" s="671">
        <f>-418+100</f>
        <v>-318</v>
      </c>
      <c r="J18" s="671">
        <f t="shared" si="3"/>
        <v>4167</v>
      </c>
      <c r="K18" s="673" t="s">
        <v>704</v>
      </c>
      <c r="L18" s="671">
        <f>'[4]int.kiadások RM II'!N18</f>
        <v>0</v>
      </c>
      <c r="M18" s="671"/>
      <c r="N18" s="671">
        <f t="shared" si="4"/>
        <v>0</v>
      </c>
      <c r="O18" s="671">
        <f>'[4]int.kiadások RM II'!Q18</f>
        <v>0</v>
      </c>
      <c r="P18" s="671"/>
      <c r="Q18" s="671">
        <f t="shared" si="5"/>
        <v>0</v>
      </c>
      <c r="R18" s="672">
        <f t="shared" si="6"/>
        <v>191131</v>
      </c>
      <c r="S18" s="672">
        <f t="shared" si="6"/>
        <v>3749</v>
      </c>
      <c r="T18" s="672">
        <f t="shared" si="6"/>
        <v>194880</v>
      </c>
      <c r="U18" s="673" t="s">
        <v>704</v>
      </c>
      <c r="V18" s="671">
        <f>'[4]int.kiadások RM II'!X18</f>
        <v>3164</v>
      </c>
      <c r="W18" s="671">
        <v>10</v>
      </c>
      <c r="X18" s="671">
        <f t="shared" si="7"/>
        <v>3174</v>
      </c>
      <c r="Y18" s="671">
        <f>'[4]int.kiadások RM II'!AA18</f>
        <v>288</v>
      </c>
      <c r="Z18" s="671"/>
      <c r="AA18" s="671">
        <f t="shared" si="8"/>
        <v>288</v>
      </c>
      <c r="AB18" s="671">
        <f>'[4]int.kiadások RM II'!AD18</f>
        <v>0</v>
      </c>
      <c r="AC18" s="671"/>
      <c r="AD18" s="671">
        <f t="shared" si="9"/>
        <v>0</v>
      </c>
      <c r="AE18" s="672">
        <f t="shared" si="10"/>
        <v>3452</v>
      </c>
      <c r="AF18" s="672">
        <f t="shared" si="10"/>
        <v>10</v>
      </c>
      <c r="AG18" s="672">
        <f t="shared" si="10"/>
        <v>3462</v>
      </c>
      <c r="AH18" s="672">
        <f t="shared" si="1"/>
        <v>194583</v>
      </c>
      <c r="AI18" s="672">
        <f t="shared" si="1"/>
        <v>3759</v>
      </c>
      <c r="AJ18" s="672">
        <f t="shared" si="1"/>
        <v>198342</v>
      </c>
    </row>
    <row r="19" spans="1:36" s="718" customFormat="1" ht="48.75" customHeight="1" x14ac:dyDescent="0.7">
      <c r="A19" s="673" t="s">
        <v>705</v>
      </c>
      <c r="B19" s="671">
        <f>'[4]int.kiadások RM II'!D19</f>
        <v>204708</v>
      </c>
      <c r="C19" s="671">
        <v>8438</v>
      </c>
      <c r="D19" s="671">
        <f t="shared" si="2"/>
        <v>213146</v>
      </c>
      <c r="E19" s="671">
        <f>'[4]int.kiadások RM II'!G19</f>
        <v>29999</v>
      </c>
      <c r="F19" s="671">
        <v>1097</v>
      </c>
      <c r="G19" s="671">
        <f t="shared" si="0"/>
        <v>31096</v>
      </c>
      <c r="H19" s="671">
        <f>'[4]int.kiadások RM II'!J19</f>
        <v>6057</v>
      </c>
      <c r="I19" s="671">
        <f>459+100</f>
        <v>559</v>
      </c>
      <c r="J19" s="671">
        <f t="shared" si="3"/>
        <v>6616</v>
      </c>
      <c r="K19" s="673" t="s">
        <v>705</v>
      </c>
      <c r="L19" s="671">
        <f>'[4]int.kiadások RM II'!N19</f>
        <v>0</v>
      </c>
      <c r="M19" s="671"/>
      <c r="N19" s="671">
        <f t="shared" si="4"/>
        <v>0</v>
      </c>
      <c r="O19" s="671">
        <f>'[4]int.kiadások RM II'!Q19</f>
        <v>0</v>
      </c>
      <c r="P19" s="671"/>
      <c r="Q19" s="671">
        <f t="shared" si="5"/>
        <v>0</v>
      </c>
      <c r="R19" s="672">
        <f t="shared" si="6"/>
        <v>240764</v>
      </c>
      <c r="S19" s="672">
        <f t="shared" si="6"/>
        <v>10094</v>
      </c>
      <c r="T19" s="672">
        <f t="shared" si="6"/>
        <v>250858</v>
      </c>
      <c r="U19" s="673" t="s">
        <v>705</v>
      </c>
      <c r="V19" s="671">
        <f>'[4]int.kiadások RM II'!X19</f>
        <v>0</v>
      </c>
      <c r="W19" s="671">
        <v>1283</v>
      </c>
      <c r="X19" s="671">
        <f t="shared" si="7"/>
        <v>1283</v>
      </c>
      <c r="Y19" s="671">
        <f>'[4]int.kiadások RM II'!AA19</f>
        <v>0</v>
      </c>
      <c r="Z19" s="671"/>
      <c r="AA19" s="671">
        <f t="shared" si="8"/>
        <v>0</v>
      </c>
      <c r="AB19" s="671">
        <f>'[4]int.kiadások RM II'!AD19</f>
        <v>0</v>
      </c>
      <c r="AC19" s="671"/>
      <c r="AD19" s="671">
        <f t="shared" si="9"/>
        <v>0</v>
      </c>
      <c r="AE19" s="672">
        <f t="shared" si="10"/>
        <v>0</v>
      </c>
      <c r="AF19" s="672">
        <f t="shared" si="10"/>
        <v>1283</v>
      </c>
      <c r="AG19" s="672">
        <f t="shared" si="10"/>
        <v>1283</v>
      </c>
      <c r="AH19" s="672">
        <f t="shared" si="1"/>
        <v>240764</v>
      </c>
      <c r="AI19" s="672">
        <f t="shared" si="1"/>
        <v>11377</v>
      </c>
      <c r="AJ19" s="672">
        <f t="shared" si="1"/>
        <v>252141</v>
      </c>
    </row>
    <row r="20" spans="1:36" s="718" customFormat="1" ht="48.75" customHeight="1" x14ac:dyDescent="0.7">
      <c r="A20" s="673" t="s">
        <v>706</v>
      </c>
      <c r="B20" s="671">
        <f>'[4]int.kiadások RM II'!D20</f>
        <v>100624</v>
      </c>
      <c r="C20" s="671">
        <v>523</v>
      </c>
      <c r="D20" s="671">
        <f t="shared" si="2"/>
        <v>101147</v>
      </c>
      <c r="E20" s="671">
        <f>'[4]int.kiadások RM II'!G20</f>
        <v>13115</v>
      </c>
      <c r="F20" s="671">
        <v>68</v>
      </c>
      <c r="G20" s="671">
        <f t="shared" si="0"/>
        <v>13183</v>
      </c>
      <c r="H20" s="671">
        <f>'[4]int.kiadások RM II'!J20</f>
        <v>7655</v>
      </c>
      <c r="I20" s="671">
        <f>-2559+100</f>
        <v>-2459</v>
      </c>
      <c r="J20" s="671">
        <f t="shared" si="3"/>
        <v>5196</v>
      </c>
      <c r="K20" s="673" t="s">
        <v>706</v>
      </c>
      <c r="L20" s="671">
        <f>'[4]int.kiadások RM II'!N20</f>
        <v>0</v>
      </c>
      <c r="M20" s="671"/>
      <c r="N20" s="671">
        <f t="shared" si="4"/>
        <v>0</v>
      </c>
      <c r="O20" s="671">
        <f>'[4]int.kiadások RM II'!Q20</f>
        <v>0</v>
      </c>
      <c r="P20" s="671"/>
      <c r="Q20" s="671">
        <f t="shared" si="5"/>
        <v>0</v>
      </c>
      <c r="R20" s="672">
        <f t="shared" si="6"/>
        <v>121394</v>
      </c>
      <c r="S20" s="672">
        <f t="shared" si="6"/>
        <v>-1868</v>
      </c>
      <c r="T20" s="672">
        <f t="shared" si="6"/>
        <v>119526</v>
      </c>
      <c r="U20" s="673" t="s">
        <v>706</v>
      </c>
      <c r="V20" s="671">
        <f>'[4]int.kiadások RM II'!X20</f>
        <v>334</v>
      </c>
      <c r="W20" s="671">
        <v>2966</v>
      </c>
      <c r="X20" s="671">
        <f t="shared" si="7"/>
        <v>3300</v>
      </c>
      <c r="Y20" s="671">
        <f>'[4]int.kiadások RM II'!AA20</f>
        <v>0</v>
      </c>
      <c r="Z20" s="671"/>
      <c r="AA20" s="671">
        <f t="shared" si="8"/>
        <v>0</v>
      </c>
      <c r="AB20" s="671">
        <f>'[4]int.kiadások RM II'!AD20</f>
        <v>0</v>
      </c>
      <c r="AC20" s="671"/>
      <c r="AD20" s="671">
        <f t="shared" si="9"/>
        <v>0</v>
      </c>
      <c r="AE20" s="672">
        <f t="shared" si="10"/>
        <v>334</v>
      </c>
      <c r="AF20" s="672">
        <f t="shared" si="10"/>
        <v>2966</v>
      </c>
      <c r="AG20" s="672">
        <f t="shared" si="10"/>
        <v>3300</v>
      </c>
      <c r="AH20" s="672">
        <f t="shared" si="1"/>
        <v>121728</v>
      </c>
      <c r="AI20" s="672">
        <f t="shared" si="1"/>
        <v>1098</v>
      </c>
      <c r="AJ20" s="672">
        <f t="shared" si="1"/>
        <v>122826</v>
      </c>
    </row>
    <row r="21" spans="1:36" s="718" customFormat="1" ht="48.75" customHeight="1" x14ac:dyDescent="0.7">
      <c r="A21" s="673" t="s">
        <v>707</v>
      </c>
      <c r="B21" s="671">
        <f>'[4]int.kiadások RM II'!D21</f>
        <v>100003</v>
      </c>
      <c r="C21" s="671">
        <f>-1375-1641</f>
        <v>-3016</v>
      </c>
      <c r="D21" s="671">
        <f t="shared" si="2"/>
        <v>96987</v>
      </c>
      <c r="E21" s="671">
        <f>'[4]int.kiadások RM II'!G21</f>
        <v>13105</v>
      </c>
      <c r="F21" s="671">
        <f>326-213</f>
        <v>113</v>
      </c>
      <c r="G21" s="671">
        <f t="shared" si="0"/>
        <v>13218</v>
      </c>
      <c r="H21" s="671">
        <f>'[4]int.kiadások RM II'!J21</f>
        <v>4203</v>
      </c>
      <c r="I21" s="671">
        <f>1057+100</f>
        <v>1157</v>
      </c>
      <c r="J21" s="671">
        <f t="shared" si="3"/>
        <v>5360</v>
      </c>
      <c r="K21" s="673" t="s">
        <v>707</v>
      </c>
      <c r="L21" s="671">
        <f>'[4]int.kiadások RM II'!N21</f>
        <v>0</v>
      </c>
      <c r="M21" s="671"/>
      <c r="N21" s="671">
        <f t="shared" si="4"/>
        <v>0</v>
      </c>
      <c r="O21" s="671">
        <f>'[4]int.kiadások RM II'!Q21</f>
        <v>0</v>
      </c>
      <c r="P21" s="671"/>
      <c r="Q21" s="671">
        <f t="shared" si="5"/>
        <v>0</v>
      </c>
      <c r="R21" s="672">
        <f t="shared" si="6"/>
        <v>117311</v>
      </c>
      <c r="S21" s="672">
        <f t="shared" si="6"/>
        <v>-1746</v>
      </c>
      <c r="T21" s="672">
        <f t="shared" si="6"/>
        <v>115565</v>
      </c>
      <c r="U21" s="673" t="s">
        <v>707</v>
      </c>
      <c r="V21" s="671">
        <f>'[4]int.kiadások RM II'!X21</f>
        <v>250</v>
      </c>
      <c r="W21" s="671">
        <v>192</v>
      </c>
      <c r="X21" s="671">
        <f t="shared" si="7"/>
        <v>442</v>
      </c>
      <c r="Y21" s="671">
        <f>'[4]int.kiadások RM II'!AA21</f>
        <v>0</v>
      </c>
      <c r="Z21" s="671"/>
      <c r="AA21" s="671">
        <f t="shared" si="8"/>
        <v>0</v>
      </c>
      <c r="AB21" s="671">
        <f>'[4]int.kiadások RM II'!AD21</f>
        <v>0</v>
      </c>
      <c r="AC21" s="671"/>
      <c r="AD21" s="671">
        <f t="shared" si="9"/>
        <v>0</v>
      </c>
      <c r="AE21" s="672">
        <f t="shared" si="10"/>
        <v>250</v>
      </c>
      <c r="AF21" s="672">
        <f t="shared" si="10"/>
        <v>192</v>
      </c>
      <c r="AG21" s="672">
        <f t="shared" si="10"/>
        <v>442</v>
      </c>
      <c r="AH21" s="672">
        <f t="shared" si="1"/>
        <v>117561</v>
      </c>
      <c r="AI21" s="672">
        <f t="shared" si="1"/>
        <v>-1554</v>
      </c>
      <c r="AJ21" s="672">
        <f t="shared" si="1"/>
        <v>116007</v>
      </c>
    </row>
    <row r="22" spans="1:36" s="718" customFormat="1" ht="48.75" customHeight="1" x14ac:dyDescent="0.7">
      <c r="A22" s="673" t="s">
        <v>708</v>
      </c>
      <c r="B22" s="671">
        <f>'[4]int.kiadások RM II'!D22</f>
        <v>125367</v>
      </c>
      <c r="C22" s="671">
        <f>-306+1996</f>
        <v>1690</v>
      </c>
      <c r="D22" s="671">
        <f t="shared" si="2"/>
        <v>127057</v>
      </c>
      <c r="E22" s="671">
        <f>'[4]int.kiadások RM II'!G22</f>
        <v>16250</v>
      </c>
      <c r="F22" s="671">
        <f>-40+259</f>
        <v>219</v>
      </c>
      <c r="G22" s="671">
        <f t="shared" si="0"/>
        <v>16469</v>
      </c>
      <c r="H22" s="671">
        <f>'[4]int.kiadások RM II'!J22</f>
        <v>4526</v>
      </c>
      <c r="I22" s="671">
        <f>-499+100</f>
        <v>-399</v>
      </c>
      <c r="J22" s="671">
        <f t="shared" si="3"/>
        <v>4127</v>
      </c>
      <c r="K22" s="673" t="s">
        <v>708</v>
      </c>
      <c r="L22" s="671">
        <f>'[4]int.kiadások RM II'!N22</f>
        <v>0</v>
      </c>
      <c r="M22" s="671"/>
      <c r="N22" s="671">
        <f t="shared" si="4"/>
        <v>0</v>
      </c>
      <c r="O22" s="671">
        <f>'[4]int.kiadások RM II'!Q22</f>
        <v>0</v>
      </c>
      <c r="P22" s="671"/>
      <c r="Q22" s="671">
        <f t="shared" si="5"/>
        <v>0</v>
      </c>
      <c r="R22" s="672">
        <f t="shared" si="6"/>
        <v>146143</v>
      </c>
      <c r="S22" s="672">
        <f t="shared" si="6"/>
        <v>1510</v>
      </c>
      <c r="T22" s="672">
        <f t="shared" si="6"/>
        <v>147653</v>
      </c>
      <c r="U22" s="673" t="s">
        <v>708</v>
      </c>
      <c r="V22" s="671">
        <f>'[4]int.kiadások RM II'!X22</f>
        <v>3116</v>
      </c>
      <c r="W22" s="671">
        <v>-2253</v>
      </c>
      <c r="X22" s="671">
        <f t="shared" si="7"/>
        <v>863</v>
      </c>
      <c r="Y22" s="671">
        <f>'[4]int.kiadások RM II'!AA22</f>
        <v>0</v>
      </c>
      <c r="Z22" s="671">
        <v>3458</v>
      </c>
      <c r="AA22" s="671">
        <f t="shared" si="8"/>
        <v>3458</v>
      </c>
      <c r="AB22" s="671">
        <f>'[4]int.kiadások RM II'!AD22</f>
        <v>0</v>
      </c>
      <c r="AC22" s="671"/>
      <c r="AD22" s="671">
        <f t="shared" si="9"/>
        <v>0</v>
      </c>
      <c r="AE22" s="672">
        <f t="shared" si="10"/>
        <v>3116</v>
      </c>
      <c r="AF22" s="672">
        <f t="shared" si="10"/>
        <v>1205</v>
      </c>
      <c r="AG22" s="672">
        <f t="shared" si="10"/>
        <v>4321</v>
      </c>
      <c r="AH22" s="672">
        <f t="shared" si="1"/>
        <v>149259</v>
      </c>
      <c r="AI22" s="672">
        <f t="shared" si="1"/>
        <v>2715</v>
      </c>
      <c r="AJ22" s="672">
        <f t="shared" si="1"/>
        <v>151974</v>
      </c>
    </row>
    <row r="23" spans="1:36" s="718" customFormat="1" ht="48.75" customHeight="1" x14ac:dyDescent="0.7">
      <c r="A23" s="673" t="s">
        <v>709</v>
      </c>
      <c r="B23" s="671">
        <f>'[4]int.kiadások RM II'!D23</f>
        <v>137681</v>
      </c>
      <c r="C23" s="671">
        <f>-1712+2506</f>
        <v>794</v>
      </c>
      <c r="D23" s="671">
        <f t="shared" si="2"/>
        <v>138475</v>
      </c>
      <c r="E23" s="671">
        <f>'[4]int.kiadások RM II'!G23</f>
        <v>18036</v>
      </c>
      <c r="F23" s="671">
        <f>-222+326</f>
        <v>104</v>
      </c>
      <c r="G23" s="671">
        <f t="shared" si="0"/>
        <v>18140</v>
      </c>
      <c r="H23" s="671">
        <f>'[4]int.kiadások RM II'!J23</f>
        <v>2692</v>
      </c>
      <c r="I23" s="671">
        <f>3356+170</f>
        <v>3526</v>
      </c>
      <c r="J23" s="671">
        <f t="shared" si="3"/>
        <v>6218</v>
      </c>
      <c r="K23" s="673" t="s">
        <v>709</v>
      </c>
      <c r="L23" s="671">
        <f>'[4]int.kiadások RM II'!N23</f>
        <v>0</v>
      </c>
      <c r="M23" s="671"/>
      <c r="N23" s="671">
        <f t="shared" si="4"/>
        <v>0</v>
      </c>
      <c r="O23" s="671">
        <f>'[4]int.kiadások RM II'!Q23</f>
        <v>0</v>
      </c>
      <c r="P23" s="671"/>
      <c r="Q23" s="671">
        <f t="shared" si="5"/>
        <v>0</v>
      </c>
      <c r="R23" s="672">
        <f t="shared" si="6"/>
        <v>158409</v>
      </c>
      <c r="S23" s="672">
        <f t="shared" si="6"/>
        <v>4424</v>
      </c>
      <c r="T23" s="672">
        <f t="shared" si="6"/>
        <v>162833</v>
      </c>
      <c r="U23" s="673" t="s">
        <v>709</v>
      </c>
      <c r="V23" s="671">
        <f>'[4]int.kiadások RM II'!X23</f>
        <v>1822</v>
      </c>
      <c r="W23" s="671">
        <v>-594</v>
      </c>
      <c r="X23" s="671">
        <f t="shared" si="7"/>
        <v>1228</v>
      </c>
      <c r="Y23" s="671">
        <f>'[4]int.kiadások RM II'!AA23</f>
        <v>4904</v>
      </c>
      <c r="Z23" s="671"/>
      <c r="AA23" s="671">
        <f t="shared" si="8"/>
        <v>4904</v>
      </c>
      <c r="AB23" s="671">
        <f>'[4]int.kiadások RM II'!AD23</f>
        <v>0</v>
      </c>
      <c r="AC23" s="671"/>
      <c r="AD23" s="671">
        <f t="shared" si="9"/>
        <v>0</v>
      </c>
      <c r="AE23" s="672">
        <f t="shared" si="10"/>
        <v>6726</v>
      </c>
      <c r="AF23" s="672">
        <f t="shared" si="10"/>
        <v>-594</v>
      </c>
      <c r="AG23" s="672">
        <f t="shared" si="10"/>
        <v>6132</v>
      </c>
      <c r="AH23" s="672">
        <f t="shared" si="1"/>
        <v>165135</v>
      </c>
      <c r="AI23" s="672">
        <f t="shared" si="1"/>
        <v>3830</v>
      </c>
      <c r="AJ23" s="672">
        <f t="shared" si="1"/>
        <v>168965</v>
      </c>
    </row>
    <row r="24" spans="1:36" s="718" customFormat="1" ht="48.75" customHeight="1" x14ac:dyDescent="0.7">
      <c r="A24" s="673" t="s">
        <v>710</v>
      </c>
      <c r="B24" s="671">
        <f>'[4]int.kiadások RM II'!D24</f>
        <v>194343</v>
      </c>
      <c r="C24" s="671">
        <v>-1769</v>
      </c>
      <c r="D24" s="671">
        <f t="shared" si="2"/>
        <v>192574</v>
      </c>
      <c r="E24" s="671">
        <f>'[4]int.kiadások RM II'!G24</f>
        <v>28775</v>
      </c>
      <c r="F24" s="671">
        <v>-226</v>
      </c>
      <c r="G24" s="671">
        <f t="shared" si="0"/>
        <v>28549</v>
      </c>
      <c r="H24" s="671">
        <f>'[4]int.kiadások RM II'!J24</f>
        <v>3803</v>
      </c>
      <c r="I24" s="671">
        <f>675+100</f>
        <v>775</v>
      </c>
      <c r="J24" s="671">
        <f t="shared" si="3"/>
        <v>4578</v>
      </c>
      <c r="K24" s="673" t="s">
        <v>710</v>
      </c>
      <c r="L24" s="671">
        <f>'[4]int.kiadások RM II'!N24</f>
        <v>0</v>
      </c>
      <c r="M24" s="671"/>
      <c r="N24" s="671">
        <f t="shared" si="4"/>
        <v>0</v>
      </c>
      <c r="O24" s="671">
        <f>'[4]int.kiadások RM II'!Q24</f>
        <v>0</v>
      </c>
      <c r="P24" s="671"/>
      <c r="Q24" s="671">
        <f t="shared" si="5"/>
        <v>0</v>
      </c>
      <c r="R24" s="672">
        <f t="shared" si="6"/>
        <v>226921</v>
      </c>
      <c r="S24" s="672">
        <f t="shared" si="6"/>
        <v>-1220</v>
      </c>
      <c r="T24" s="672">
        <f t="shared" si="6"/>
        <v>225701</v>
      </c>
      <c r="U24" s="673" t="s">
        <v>710</v>
      </c>
      <c r="V24" s="671">
        <f>'[4]int.kiadások RM II'!X24</f>
        <v>1635</v>
      </c>
      <c r="W24" s="671">
        <v>-8</v>
      </c>
      <c r="X24" s="671">
        <f t="shared" si="7"/>
        <v>1627</v>
      </c>
      <c r="Y24" s="671">
        <f>'[4]int.kiadások RM II'!AA24</f>
        <v>1492</v>
      </c>
      <c r="Z24" s="671"/>
      <c r="AA24" s="671">
        <f t="shared" si="8"/>
        <v>1492</v>
      </c>
      <c r="AB24" s="671">
        <f>'[4]int.kiadások RM II'!AD24</f>
        <v>0</v>
      </c>
      <c r="AC24" s="671"/>
      <c r="AD24" s="671">
        <f t="shared" si="9"/>
        <v>0</v>
      </c>
      <c r="AE24" s="672">
        <f t="shared" si="10"/>
        <v>3127</v>
      </c>
      <c r="AF24" s="672">
        <f t="shared" si="10"/>
        <v>-8</v>
      </c>
      <c r="AG24" s="672">
        <f t="shared" si="10"/>
        <v>3119</v>
      </c>
      <c r="AH24" s="672">
        <f t="shared" si="1"/>
        <v>230048</v>
      </c>
      <c r="AI24" s="672">
        <f t="shared" si="1"/>
        <v>-1228</v>
      </c>
      <c r="AJ24" s="672">
        <f t="shared" si="1"/>
        <v>228820</v>
      </c>
    </row>
    <row r="25" spans="1:36" s="718" customFormat="1" ht="48.75" customHeight="1" x14ac:dyDescent="0.7">
      <c r="A25" s="673" t="s">
        <v>711</v>
      </c>
      <c r="B25" s="671">
        <f>'[4]int.kiadások RM II'!D25</f>
        <v>156886</v>
      </c>
      <c r="C25" s="671">
        <f>-1481-338</f>
        <v>-1819</v>
      </c>
      <c r="D25" s="671">
        <f t="shared" si="2"/>
        <v>155067</v>
      </c>
      <c r="E25" s="671">
        <f>'[4]int.kiadások RM II'!G25</f>
        <v>20502</v>
      </c>
      <c r="F25" s="671">
        <f>-192-44</f>
        <v>-236</v>
      </c>
      <c r="G25" s="671">
        <f t="shared" si="0"/>
        <v>20266</v>
      </c>
      <c r="H25" s="671">
        <f>'[4]int.kiadások RM II'!J25</f>
        <v>3959</v>
      </c>
      <c r="I25" s="671">
        <f>990+1100</f>
        <v>2090</v>
      </c>
      <c r="J25" s="671">
        <f t="shared" si="3"/>
        <v>6049</v>
      </c>
      <c r="K25" s="673" t="s">
        <v>711</v>
      </c>
      <c r="L25" s="671">
        <f>'[4]int.kiadások RM II'!N25</f>
        <v>0</v>
      </c>
      <c r="M25" s="671"/>
      <c r="N25" s="671">
        <f t="shared" si="4"/>
        <v>0</v>
      </c>
      <c r="O25" s="671">
        <f>'[4]int.kiadások RM II'!Q25</f>
        <v>0</v>
      </c>
      <c r="P25" s="671"/>
      <c r="Q25" s="671">
        <f t="shared" si="5"/>
        <v>0</v>
      </c>
      <c r="R25" s="672">
        <f t="shared" si="6"/>
        <v>181347</v>
      </c>
      <c r="S25" s="672">
        <f t="shared" si="6"/>
        <v>35</v>
      </c>
      <c r="T25" s="672">
        <f t="shared" si="6"/>
        <v>181382</v>
      </c>
      <c r="U25" s="673" t="s">
        <v>711</v>
      </c>
      <c r="V25" s="671">
        <f>'[4]int.kiadások RM II'!X25</f>
        <v>6078</v>
      </c>
      <c r="W25" s="671">
        <v>608</v>
      </c>
      <c r="X25" s="671">
        <f t="shared" si="7"/>
        <v>6686</v>
      </c>
      <c r="Y25" s="671">
        <f>'[4]int.kiadások RM II'!AA25</f>
        <v>0</v>
      </c>
      <c r="Z25" s="671"/>
      <c r="AA25" s="671">
        <f t="shared" si="8"/>
        <v>0</v>
      </c>
      <c r="AB25" s="671">
        <f>'[4]int.kiadások RM II'!AD25</f>
        <v>0</v>
      </c>
      <c r="AC25" s="671"/>
      <c r="AD25" s="671">
        <f t="shared" si="9"/>
        <v>0</v>
      </c>
      <c r="AE25" s="672">
        <f t="shared" si="10"/>
        <v>6078</v>
      </c>
      <c r="AF25" s="672">
        <f t="shared" si="10"/>
        <v>608</v>
      </c>
      <c r="AG25" s="672">
        <f t="shared" si="10"/>
        <v>6686</v>
      </c>
      <c r="AH25" s="672">
        <f t="shared" si="1"/>
        <v>187425</v>
      </c>
      <c r="AI25" s="672">
        <f t="shared" si="1"/>
        <v>643</v>
      </c>
      <c r="AJ25" s="672">
        <f t="shared" si="1"/>
        <v>188068</v>
      </c>
    </row>
    <row r="26" spans="1:36" s="718" customFormat="1" ht="48.75" customHeight="1" x14ac:dyDescent="0.7">
      <c r="A26" s="670" t="s">
        <v>712</v>
      </c>
      <c r="B26" s="671">
        <f>'[4]int.kiadások RM II'!D26</f>
        <v>112109</v>
      </c>
      <c r="C26" s="671">
        <v>4020</v>
      </c>
      <c r="D26" s="671">
        <f t="shared" si="2"/>
        <v>116129</v>
      </c>
      <c r="E26" s="671">
        <f>'[4]int.kiadások RM II'!G26</f>
        <v>14659</v>
      </c>
      <c r="F26" s="671">
        <v>522</v>
      </c>
      <c r="G26" s="671">
        <f t="shared" si="0"/>
        <v>15181</v>
      </c>
      <c r="H26" s="671">
        <f>'[4]int.kiadások RM II'!J26</f>
        <v>5210</v>
      </c>
      <c r="I26" s="671">
        <f>-256+100</f>
        <v>-156</v>
      </c>
      <c r="J26" s="671">
        <f t="shared" si="3"/>
        <v>5054</v>
      </c>
      <c r="K26" s="670" t="s">
        <v>712</v>
      </c>
      <c r="L26" s="671">
        <f>'[4]int.kiadások RM II'!N26</f>
        <v>0</v>
      </c>
      <c r="M26" s="671"/>
      <c r="N26" s="671">
        <f t="shared" si="4"/>
        <v>0</v>
      </c>
      <c r="O26" s="671">
        <f>'[4]int.kiadások RM II'!Q26</f>
        <v>0</v>
      </c>
      <c r="P26" s="671"/>
      <c r="Q26" s="671">
        <f t="shared" si="5"/>
        <v>0</v>
      </c>
      <c r="R26" s="672">
        <f t="shared" si="6"/>
        <v>131978</v>
      </c>
      <c r="S26" s="672">
        <f t="shared" si="6"/>
        <v>4386</v>
      </c>
      <c r="T26" s="672">
        <f t="shared" si="6"/>
        <v>136364</v>
      </c>
      <c r="U26" s="670" t="s">
        <v>712</v>
      </c>
      <c r="V26" s="671">
        <f>'[4]int.kiadások RM II'!X26</f>
        <v>2509</v>
      </c>
      <c r="W26" s="671">
        <v>772</v>
      </c>
      <c r="X26" s="671">
        <f t="shared" si="7"/>
        <v>3281</v>
      </c>
      <c r="Y26" s="671">
        <f>'[4]int.kiadások RM II'!AA26</f>
        <v>0</v>
      </c>
      <c r="Z26" s="671"/>
      <c r="AA26" s="671">
        <f t="shared" si="8"/>
        <v>0</v>
      </c>
      <c r="AB26" s="671">
        <f>'[4]int.kiadások RM II'!AD26</f>
        <v>0</v>
      </c>
      <c r="AC26" s="671"/>
      <c r="AD26" s="671">
        <f t="shared" si="9"/>
        <v>0</v>
      </c>
      <c r="AE26" s="672">
        <f t="shared" si="10"/>
        <v>2509</v>
      </c>
      <c r="AF26" s="672">
        <f t="shared" si="10"/>
        <v>772</v>
      </c>
      <c r="AG26" s="672">
        <f t="shared" si="10"/>
        <v>3281</v>
      </c>
      <c r="AH26" s="672">
        <f t="shared" si="1"/>
        <v>134487</v>
      </c>
      <c r="AI26" s="672">
        <f t="shared" si="1"/>
        <v>5158</v>
      </c>
      <c r="AJ26" s="672">
        <f t="shared" si="1"/>
        <v>139645</v>
      </c>
    </row>
    <row r="27" spans="1:36" s="718" customFormat="1" ht="48.75" customHeight="1" thickBot="1" x14ac:dyDescent="0.75">
      <c r="A27" s="674" t="s">
        <v>713</v>
      </c>
      <c r="B27" s="671">
        <f>'[4]int.kiadások RM II'!D27</f>
        <v>81997</v>
      </c>
      <c r="C27" s="671">
        <f>-756-1396</f>
        <v>-2152</v>
      </c>
      <c r="D27" s="675">
        <f>SUM(B27:C27)</f>
        <v>79845</v>
      </c>
      <c r="E27" s="671">
        <f>'[4]int.kiadások RM II'!G27</f>
        <v>10662</v>
      </c>
      <c r="F27" s="675">
        <f>-98-182</f>
        <v>-280</v>
      </c>
      <c r="G27" s="675">
        <f t="shared" si="0"/>
        <v>10382</v>
      </c>
      <c r="H27" s="671">
        <f>'[4]int.kiadások RM II'!J27</f>
        <v>4739</v>
      </c>
      <c r="I27" s="675">
        <f>-102+100</f>
        <v>-2</v>
      </c>
      <c r="J27" s="675">
        <f t="shared" si="3"/>
        <v>4737</v>
      </c>
      <c r="K27" s="674" t="s">
        <v>713</v>
      </c>
      <c r="L27" s="675">
        <f>'[4]int.kiadások RM II'!N27</f>
        <v>0</v>
      </c>
      <c r="M27" s="675"/>
      <c r="N27" s="675">
        <f t="shared" si="4"/>
        <v>0</v>
      </c>
      <c r="O27" s="675">
        <f>'[4]int.kiadások RM II'!Q27</f>
        <v>0</v>
      </c>
      <c r="P27" s="675"/>
      <c r="Q27" s="675">
        <f t="shared" si="5"/>
        <v>0</v>
      </c>
      <c r="R27" s="672">
        <f t="shared" si="6"/>
        <v>97398</v>
      </c>
      <c r="S27" s="672">
        <f t="shared" si="6"/>
        <v>-2434</v>
      </c>
      <c r="T27" s="672">
        <f t="shared" si="6"/>
        <v>94964</v>
      </c>
      <c r="U27" s="674" t="s">
        <v>713</v>
      </c>
      <c r="V27" s="675">
        <f>'[4]int.kiadások RM II'!X27</f>
        <v>19</v>
      </c>
      <c r="W27" s="675">
        <v>682</v>
      </c>
      <c r="X27" s="671">
        <f t="shared" si="7"/>
        <v>701</v>
      </c>
      <c r="Y27" s="675">
        <f>'[4]int.kiadások RM II'!AA27</f>
        <v>0</v>
      </c>
      <c r="Z27" s="675">
        <v>172</v>
      </c>
      <c r="AA27" s="675">
        <f t="shared" si="8"/>
        <v>172</v>
      </c>
      <c r="AB27" s="675">
        <f>'[4]int.kiadások RM II'!AD27</f>
        <v>0</v>
      </c>
      <c r="AC27" s="675"/>
      <c r="AD27" s="675">
        <f t="shared" si="9"/>
        <v>0</v>
      </c>
      <c r="AE27" s="672">
        <f t="shared" si="10"/>
        <v>19</v>
      </c>
      <c r="AF27" s="672">
        <f t="shared" si="10"/>
        <v>854</v>
      </c>
      <c r="AG27" s="676">
        <f t="shared" si="10"/>
        <v>873</v>
      </c>
      <c r="AH27" s="672">
        <f t="shared" si="1"/>
        <v>97417</v>
      </c>
      <c r="AI27" s="672">
        <f t="shared" si="1"/>
        <v>-1580</v>
      </c>
      <c r="AJ27" s="672">
        <f t="shared" si="1"/>
        <v>95837</v>
      </c>
    </row>
    <row r="28" spans="1:36" s="718" customFormat="1" ht="57.75" customHeight="1" thickBot="1" x14ac:dyDescent="0.75">
      <c r="A28" s="677" t="s">
        <v>714</v>
      </c>
      <c r="B28" s="678">
        <f t="shared" ref="B28:J28" si="11">SUM(B10:B27)</f>
        <v>2620976</v>
      </c>
      <c r="C28" s="678">
        <f>SUM(C10:C27)</f>
        <v>13093</v>
      </c>
      <c r="D28" s="678">
        <f t="shared" si="11"/>
        <v>2634069</v>
      </c>
      <c r="E28" s="678">
        <f t="shared" si="11"/>
        <v>362048</v>
      </c>
      <c r="F28" s="678">
        <f t="shared" si="11"/>
        <v>2925</v>
      </c>
      <c r="G28" s="678">
        <f t="shared" si="11"/>
        <v>364973</v>
      </c>
      <c r="H28" s="678">
        <f t="shared" si="11"/>
        <v>83747</v>
      </c>
      <c r="I28" s="678">
        <f t="shared" si="11"/>
        <v>12738</v>
      </c>
      <c r="J28" s="678">
        <f t="shared" si="11"/>
        <v>96485</v>
      </c>
      <c r="K28" s="677" t="s">
        <v>714</v>
      </c>
      <c r="L28" s="678">
        <f t="shared" ref="L28:T28" si="12">SUM(L10:L27)</f>
        <v>0</v>
      </c>
      <c r="M28" s="678">
        <f t="shared" si="12"/>
        <v>0</v>
      </c>
      <c r="N28" s="678">
        <f t="shared" si="12"/>
        <v>0</v>
      </c>
      <c r="O28" s="678">
        <f t="shared" si="12"/>
        <v>0</v>
      </c>
      <c r="P28" s="678">
        <f t="shared" si="12"/>
        <v>0</v>
      </c>
      <c r="Q28" s="678">
        <f t="shared" si="12"/>
        <v>0</v>
      </c>
      <c r="R28" s="678">
        <f t="shared" si="12"/>
        <v>3066771</v>
      </c>
      <c r="S28" s="678">
        <f t="shared" si="12"/>
        <v>28756</v>
      </c>
      <c r="T28" s="678">
        <f t="shared" si="12"/>
        <v>3095527</v>
      </c>
      <c r="U28" s="677" t="s">
        <v>714</v>
      </c>
      <c r="V28" s="678">
        <f t="shared" ref="V28:AG28" si="13">SUM(V10:V27)</f>
        <v>25565</v>
      </c>
      <c r="W28" s="678">
        <f t="shared" si="13"/>
        <v>8133</v>
      </c>
      <c r="X28" s="678">
        <f t="shared" si="13"/>
        <v>33698</v>
      </c>
      <c r="Y28" s="678">
        <f t="shared" si="13"/>
        <v>8378</v>
      </c>
      <c r="Z28" s="678">
        <f t="shared" si="13"/>
        <v>3630</v>
      </c>
      <c r="AA28" s="678">
        <f t="shared" si="13"/>
        <v>12008</v>
      </c>
      <c r="AB28" s="678">
        <f>SUM(AB10:AB27)</f>
        <v>0</v>
      </c>
      <c r="AC28" s="678">
        <f>SUM(AC10:AC27)</f>
        <v>0</v>
      </c>
      <c r="AD28" s="678">
        <f>SUM(AD10:AD27)</f>
        <v>0</v>
      </c>
      <c r="AE28" s="678">
        <f t="shared" si="13"/>
        <v>33943</v>
      </c>
      <c r="AF28" s="678">
        <f t="shared" si="13"/>
        <v>11763</v>
      </c>
      <c r="AG28" s="690">
        <f t="shared" si="13"/>
        <v>45706</v>
      </c>
      <c r="AH28" s="678">
        <f>SUM(AH10:AH27)</f>
        <v>3100714</v>
      </c>
      <c r="AI28" s="678">
        <f>SUM(AI10:AI27)</f>
        <v>40519</v>
      </c>
      <c r="AJ28" s="678">
        <f>SUM(AJ10:AJ27)</f>
        <v>3141233</v>
      </c>
    </row>
    <row r="29" spans="1:36" s="718" customFormat="1" ht="63.75" customHeight="1" thickBot="1" x14ac:dyDescent="0.75">
      <c r="A29" s="680" t="s">
        <v>715</v>
      </c>
      <c r="B29" s="671">
        <f>'[4]int.kiadások RM II'!D29</f>
        <v>332226</v>
      </c>
      <c r="C29" s="681">
        <f>-8011-23820</f>
        <v>-31831</v>
      </c>
      <c r="D29" s="671">
        <f t="shared" si="2"/>
        <v>300395</v>
      </c>
      <c r="E29" s="671">
        <f>'[4]int.kiadások RM II'!G29</f>
        <v>48453</v>
      </c>
      <c r="F29" s="681">
        <f>-4770-3097</f>
        <v>-7867</v>
      </c>
      <c r="G29" s="681">
        <f>SUM(E29:F29)</f>
        <v>40586</v>
      </c>
      <c r="H29" s="671">
        <f>'[4]int.kiadások RM II'!J29</f>
        <v>1988460</v>
      </c>
      <c r="I29" s="681">
        <v>-11397</v>
      </c>
      <c r="J29" s="681">
        <f>SUM(H29:I29)</f>
        <v>1977063</v>
      </c>
      <c r="K29" s="680" t="s">
        <v>715</v>
      </c>
      <c r="L29" s="681">
        <f>'[4]int.kiadások RM II'!N29</f>
        <v>0</v>
      </c>
      <c r="M29" s="681"/>
      <c r="N29" s="681">
        <f>SUM(L29:M29)</f>
        <v>0</v>
      </c>
      <c r="O29" s="681">
        <f>'[4]int.kiadások RM II'!Q29</f>
        <v>0</v>
      </c>
      <c r="P29" s="681"/>
      <c r="Q29" s="681">
        <f>SUM(O29:P29)</f>
        <v>0</v>
      </c>
      <c r="R29" s="672">
        <f>B29+E29+H29+L29+O29</f>
        <v>2369139</v>
      </c>
      <c r="S29" s="672">
        <f>C29+F29+I29+M29+P29</f>
        <v>-51095</v>
      </c>
      <c r="T29" s="672">
        <f>D29+G29+J29+N29+Q29</f>
        <v>2318044</v>
      </c>
      <c r="U29" s="680" t="s">
        <v>715</v>
      </c>
      <c r="V29" s="681">
        <f>'[4]int.kiadások RM II'!X29</f>
        <v>50938</v>
      </c>
      <c r="W29" s="681">
        <v>-13992</v>
      </c>
      <c r="X29" s="681">
        <f t="shared" si="7"/>
        <v>36946</v>
      </c>
      <c r="Y29" s="681">
        <f>'[4]int.kiadások RM II'!AA29</f>
        <v>23974</v>
      </c>
      <c r="Z29" s="681">
        <f>5842+28106</f>
        <v>33948</v>
      </c>
      <c r="AA29" s="681">
        <f>SUM(Y29:Z29)</f>
        <v>57922</v>
      </c>
      <c r="AB29" s="681">
        <f>'[4]int.kiadások RM II'!AD29</f>
        <v>0</v>
      </c>
      <c r="AC29" s="681"/>
      <c r="AD29" s="681">
        <f>SUM(AB29:AC29)</f>
        <v>0</v>
      </c>
      <c r="AE29" s="672">
        <f>V29+Y29+AB29</f>
        <v>74912</v>
      </c>
      <c r="AF29" s="672">
        <f>W29+Z29+AC29</f>
        <v>19956</v>
      </c>
      <c r="AG29" s="672">
        <f>X29+AA29+AD29</f>
        <v>94868</v>
      </c>
      <c r="AH29" s="672">
        <f t="shared" si="1"/>
        <v>2444051</v>
      </c>
      <c r="AI29" s="672">
        <f>S29+AF29</f>
        <v>-31139</v>
      </c>
      <c r="AJ29" s="672">
        <f>T29+AG29</f>
        <v>2412912</v>
      </c>
    </row>
    <row r="30" spans="1:36" s="718" customFormat="1" ht="67.5" customHeight="1" thickBot="1" x14ac:dyDescent="0.75">
      <c r="A30" s="694" t="s">
        <v>716</v>
      </c>
      <c r="B30" s="678">
        <f>SUM(B28:B29)</f>
        <v>2953202</v>
      </c>
      <c r="C30" s="678">
        <f>SUM(C28:C29)</f>
        <v>-18738</v>
      </c>
      <c r="D30" s="678">
        <f>SUM(D28:D29)</f>
        <v>2934464</v>
      </c>
      <c r="E30" s="678">
        <f t="shared" ref="E30:J30" si="14">SUM(E28:E29)</f>
        <v>410501</v>
      </c>
      <c r="F30" s="678">
        <f t="shared" si="14"/>
        <v>-4942</v>
      </c>
      <c r="G30" s="678">
        <f t="shared" si="14"/>
        <v>405559</v>
      </c>
      <c r="H30" s="678">
        <f t="shared" si="14"/>
        <v>2072207</v>
      </c>
      <c r="I30" s="678">
        <f t="shared" si="14"/>
        <v>1341</v>
      </c>
      <c r="J30" s="678">
        <f t="shared" si="14"/>
        <v>2073548</v>
      </c>
      <c r="K30" s="683" t="s">
        <v>716</v>
      </c>
      <c r="L30" s="678">
        <f t="shared" ref="L30:T30" si="15">SUM(L28:L29)</f>
        <v>0</v>
      </c>
      <c r="M30" s="678">
        <f t="shared" si="15"/>
        <v>0</v>
      </c>
      <c r="N30" s="678">
        <f t="shared" si="15"/>
        <v>0</v>
      </c>
      <c r="O30" s="678">
        <f t="shared" si="15"/>
        <v>0</v>
      </c>
      <c r="P30" s="678">
        <f t="shared" si="15"/>
        <v>0</v>
      </c>
      <c r="Q30" s="678">
        <f t="shared" si="15"/>
        <v>0</v>
      </c>
      <c r="R30" s="678">
        <f t="shared" si="15"/>
        <v>5435910</v>
      </c>
      <c r="S30" s="678">
        <f t="shared" si="15"/>
        <v>-22339</v>
      </c>
      <c r="T30" s="678">
        <f t="shared" si="15"/>
        <v>5413571</v>
      </c>
      <c r="U30" s="683" t="s">
        <v>716</v>
      </c>
      <c r="V30" s="678">
        <f t="shared" ref="V30:AA30" si="16">SUM(V28:V29)</f>
        <v>76503</v>
      </c>
      <c r="W30" s="678">
        <f t="shared" si="16"/>
        <v>-5859</v>
      </c>
      <c r="X30" s="678">
        <f t="shared" si="16"/>
        <v>70644</v>
      </c>
      <c r="Y30" s="678">
        <f t="shared" si="16"/>
        <v>32352</v>
      </c>
      <c r="Z30" s="678">
        <f t="shared" si="16"/>
        <v>37578</v>
      </c>
      <c r="AA30" s="678">
        <f t="shared" si="16"/>
        <v>69930</v>
      </c>
      <c r="AB30" s="678">
        <f>SUM(AB28:AB29)</f>
        <v>0</v>
      </c>
      <c r="AC30" s="678">
        <f>SUM(AC28:AC29)</f>
        <v>0</v>
      </c>
      <c r="AD30" s="678">
        <f>SUM(AD28:AD29)</f>
        <v>0</v>
      </c>
      <c r="AE30" s="678">
        <f t="shared" ref="AE30:AJ30" si="17">SUM(AE28:AE29)</f>
        <v>108855</v>
      </c>
      <c r="AF30" s="678">
        <f t="shared" si="17"/>
        <v>31719</v>
      </c>
      <c r="AG30" s="678">
        <f t="shared" si="17"/>
        <v>140574</v>
      </c>
      <c r="AH30" s="678">
        <f t="shared" si="17"/>
        <v>5544765</v>
      </c>
      <c r="AI30" s="678">
        <f t="shared" si="17"/>
        <v>9380</v>
      </c>
      <c r="AJ30" s="678">
        <f t="shared" si="17"/>
        <v>5554145</v>
      </c>
    </row>
    <row r="31" spans="1:36" s="718" customFormat="1" ht="48.75" customHeight="1" x14ac:dyDescent="0.7">
      <c r="A31" s="720" t="s">
        <v>717</v>
      </c>
      <c r="B31" s="684"/>
      <c r="C31" s="684"/>
      <c r="D31" s="684"/>
      <c r="E31" s="684"/>
      <c r="F31" s="684"/>
      <c r="G31" s="684"/>
      <c r="H31" s="684"/>
      <c r="I31" s="684"/>
      <c r="J31" s="684"/>
      <c r="K31" s="685" t="s">
        <v>717</v>
      </c>
      <c r="L31" s="684"/>
      <c r="M31" s="684"/>
      <c r="N31" s="684"/>
      <c r="O31" s="684"/>
      <c r="P31" s="684"/>
      <c r="Q31" s="684"/>
      <c r="R31" s="684"/>
      <c r="S31" s="684"/>
      <c r="T31" s="684"/>
      <c r="U31" s="685" t="s">
        <v>717</v>
      </c>
      <c r="V31" s="684"/>
      <c r="W31" s="684"/>
      <c r="X31" s="684"/>
      <c r="Y31" s="684"/>
      <c r="Z31" s="684"/>
      <c r="AA31" s="684"/>
      <c r="AB31" s="684"/>
      <c r="AC31" s="684"/>
      <c r="AD31" s="684"/>
      <c r="AE31" s="684"/>
      <c r="AF31" s="684"/>
      <c r="AG31" s="684"/>
      <c r="AH31" s="684"/>
      <c r="AI31" s="684"/>
      <c r="AJ31" s="684"/>
    </row>
    <row r="32" spans="1:36" s="718" customFormat="1" ht="48.75" customHeight="1" x14ac:dyDescent="0.7">
      <c r="A32" s="688" t="s">
        <v>718</v>
      </c>
      <c r="B32" s="684"/>
      <c r="C32" s="684"/>
      <c r="D32" s="684"/>
      <c r="E32" s="684"/>
      <c r="F32" s="684"/>
      <c r="G32" s="684"/>
      <c r="H32" s="684"/>
      <c r="I32" s="684"/>
      <c r="J32" s="684"/>
      <c r="K32" s="688" t="s">
        <v>718</v>
      </c>
      <c r="L32" s="684"/>
      <c r="M32" s="684"/>
      <c r="N32" s="684"/>
      <c r="O32" s="684"/>
      <c r="P32" s="684"/>
      <c r="Q32" s="684"/>
      <c r="R32" s="684"/>
      <c r="S32" s="684"/>
      <c r="T32" s="684"/>
      <c r="U32" s="688" t="s">
        <v>718</v>
      </c>
      <c r="V32" s="684"/>
      <c r="W32" s="684"/>
      <c r="X32" s="684"/>
      <c r="Y32" s="684"/>
      <c r="Z32" s="684"/>
      <c r="AA32" s="684"/>
      <c r="AB32" s="684"/>
      <c r="AC32" s="684"/>
      <c r="AD32" s="684"/>
      <c r="AE32" s="684"/>
      <c r="AF32" s="684"/>
      <c r="AG32" s="684"/>
      <c r="AH32" s="684"/>
      <c r="AI32" s="684"/>
      <c r="AJ32" s="684"/>
    </row>
    <row r="33" spans="1:36" s="718" customFormat="1" ht="48.75" customHeight="1" x14ac:dyDescent="0.7">
      <c r="A33" s="689" t="s">
        <v>105</v>
      </c>
      <c r="B33" s="671">
        <f>'[4]int.kiadások RM II'!D33</f>
        <v>146751</v>
      </c>
      <c r="C33" s="671">
        <v>10708</v>
      </c>
      <c r="D33" s="671">
        <f t="shared" si="2"/>
        <v>157459</v>
      </c>
      <c r="E33" s="671">
        <f>'[4]int.kiadások RM II'!G33</f>
        <v>18529</v>
      </c>
      <c r="F33" s="671"/>
      <c r="G33" s="671">
        <f>SUM(E33:F33)</f>
        <v>18529</v>
      </c>
      <c r="H33" s="671">
        <f>'[4]int.kiadások RM II'!J33</f>
        <v>50401</v>
      </c>
      <c r="I33" s="671">
        <f>44074+300</f>
        <v>44374</v>
      </c>
      <c r="J33" s="671">
        <f>SUM(H33:I33)</f>
        <v>94775</v>
      </c>
      <c r="K33" s="670" t="s">
        <v>105</v>
      </c>
      <c r="L33" s="671">
        <f>'[4]int.kiadások RM II'!N33</f>
        <v>0</v>
      </c>
      <c r="M33" s="671"/>
      <c r="N33" s="671">
        <f>SUM(L33:M33)</f>
        <v>0</v>
      </c>
      <c r="O33" s="671">
        <f>'[4]int.kiadások RM II'!Q33</f>
        <v>0</v>
      </c>
      <c r="P33" s="671"/>
      <c r="Q33" s="671">
        <f>SUM(O33:P33)</f>
        <v>0</v>
      </c>
      <c r="R33" s="672">
        <f>B33+E33+H33+L33+O33</f>
        <v>215681</v>
      </c>
      <c r="S33" s="672">
        <f t="shared" ref="S33:T36" si="18">C33+F33+I33+M33+P33</f>
        <v>55082</v>
      </c>
      <c r="T33" s="672">
        <f t="shared" si="18"/>
        <v>270763</v>
      </c>
      <c r="U33" s="689" t="s">
        <v>105</v>
      </c>
      <c r="V33" s="671">
        <f>'[4]int.kiadások RM II'!X33</f>
        <v>501</v>
      </c>
      <c r="W33" s="671">
        <v>151</v>
      </c>
      <c r="X33" s="671">
        <f>SUM(V33:W33)</f>
        <v>652</v>
      </c>
      <c r="Y33" s="671">
        <f>'[4]int.kiadások RM II'!AA33</f>
        <v>0</v>
      </c>
      <c r="Z33" s="671"/>
      <c r="AA33" s="671">
        <f>SUM(Y33:Z33)</f>
        <v>0</v>
      </c>
      <c r="AB33" s="671">
        <f>'[4]int.kiadások RM II'!AD33</f>
        <v>0</v>
      </c>
      <c r="AC33" s="671"/>
      <c r="AD33" s="671">
        <f>SUM(AB33:AC33)</f>
        <v>0</v>
      </c>
      <c r="AE33" s="672">
        <f t="shared" ref="AE33:AG36" si="19">V33+Y33+AB33</f>
        <v>501</v>
      </c>
      <c r="AF33" s="672">
        <f t="shared" si="19"/>
        <v>151</v>
      </c>
      <c r="AG33" s="672">
        <f t="shared" si="19"/>
        <v>652</v>
      </c>
      <c r="AH33" s="672">
        <f>R33+AE33</f>
        <v>216182</v>
      </c>
      <c r="AI33" s="672">
        <f t="shared" ref="AI33:AJ36" si="20">S33+AF33</f>
        <v>55233</v>
      </c>
      <c r="AJ33" s="672">
        <f t="shared" si="20"/>
        <v>271415</v>
      </c>
    </row>
    <row r="34" spans="1:36" s="718" customFormat="1" ht="48.75" customHeight="1" x14ac:dyDescent="0.7">
      <c r="A34" s="673" t="s">
        <v>719</v>
      </c>
      <c r="B34" s="671">
        <f>'[4]int.kiadások RM II'!D34</f>
        <v>599325</v>
      </c>
      <c r="C34" s="691">
        <v>5000</v>
      </c>
      <c r="D34" s="691">
        <f t="shared" si="2"/>
        <v>604325</v>
      </c>
      <c r="E34" s="671">
        <f>'[4]int.kiadások RM II'!G34</f>
        <v>76337</v>
      </c>
      <c r="F34" s="691">
        <v>650</v>
      </c>
      <c r="G34" s="691">
        <f>SUM(E34:F34)</f>
        <v>76987</v>
      </c>
      <c r="H34" s="671">
        <f>'[4]int.kiadások RM II'!J34</f>
        <v>339020</v>
      </c>
      <c r="I34" s="691">
        <v>26481</v>
      </c>
      <c r="J34" s="691">
        <f>SUM(H34:I34)</f>
        <v>365501</v>
      </c>
      <c r="K34" s="673" t="s">
        <v>719</v>
      </c>
      <c r="L34" s="691">
        <f>'[4]int.kiadások RM II'!N34</f>
        <v>0</v>
      </c>
      <c r="M34" s="691"/>
      <c r="N34" s="691">
        <f>SUM(L34:M34)</f>
        <v>0</v>
      </c>
      <c r="O34" s="691">
        <f>'[4]int.kiadások RM II'!Q34</f>
        <v>0</v>
      </c>
      <c r="P34" s="691"/>
      <c r="Q34" s="691">
        <f>SUM(O34:P34)</f>
        <v>0</v>
      </c>
      <c r="R34" s="672">
        <f>B34+E34+H34+L34+O34</f>
        <v>1014682</v>
      </c>
      <c r="S34" s="672">
        <f t="shared" si="18"/>
        <v>32131</v>
      </c>
      <c r="T34" s="672">
        <f t="shared" si="18"/>
        <v>1046813</v>
      </c>
      <c r="U34" s="673" t="s">
        <v>719</v>
      </c>
      <c r="V34" s="691">
        <f>'[4]int.kiadások RM II'!X34</f>
        <v>64282</v>
      </c>
      <c r="W34" s="691">
        <v>10280</v>
      </c>
      <c r="X34" s="691">
        <f>SUM(V34:W34)</f>
        <v>74562</v>
      </c>
      <c r="Y34" s="671">
        <f>'[4]int.kiadások RM II'!AA34</f>
        <v>0</v>
      </c>
      <c r="Z34" s="691"/>
      <c r="AA34" s="691">
        <f>SUM(Y34:Z34)</f>
        <v>0</v>
      </c>
      <c r="AB34" s="691">
        <f>'[4]int.kiadások RM II'!AD34</f>
        <v>0</v>
      </c>
      <c r="AC34" s="691"/>
      <c r="AD34" s="691">
        <f>SUM(AB34:AC34)</f>
        <v>0</v>
      </c>
      <c r="AE34" s="672">
        <f t="shared" si="19"/>
        <v>64282</v>
      </c>
      <c r="AF34" s="672">
        <f t="shared" si="19"/>
        <v>10280</v>
      </c>
      <c r="AG34" s="672">
        <f t="shared" si="19"/>
        <v>74562</v>
      </c>
      <c r="AH34" s="672">
        <f>R34+AE34</f>
        <v>1078964</v>
      </c>
      <c r="AI34" s="672">
        <f t="shared" si="20"/>
        <v>42411</v>
      </c>
      <c r="AJ34" s="672">
        <f t="shared" si="20"/>
        <v>1121375</v>
      </c>
    </row>
    <row r="35" spans="1:36" s="718" customFormat="1" ht="48.75" customHeight="1" x14ac:dyDescent="0.7">
      <c r="A35" s="673" t="s">
        <v>720</v>
      </c>
      <c r="B35" s="671">
        <f>'[4]int.kiadások RM II'!D35</f>
        <v>298658</v>
      </c>
      <c r="C35" s="691">
        <v>-19000</v>
      </c>
      <c r="D35" s="691">
        <f t="shared" si="2"/>
        <v>279658</v>
      </c>
      <c r="E35" s="671">
        <f>'[4]int.kiadások RM II'!G35</f>
        <v>38720</v>
      </c>
      <c r="F35" s="691"/>
      <c r="G35" s="691">
        <f>SUM(E35:F35)</f>
        <v>38720</v>
      </c>
      <c r="H35" s="671">
        <f>'[4]int.kiadások RM II'!J35</f>
        <v>202714</v>
      </c>
      <c r="I35" s="691">
        <f>43270+5112</f>
        <v>48382</v>
      </c>
      <c r="J35" s="691">
        <f>SUM(H35:I35)</f>
        <v>251096</v>
      </c>
      <c r="K35" s="673" t="s">
        <v>720</v>
      </c>
      <c r="L35" s="691">
        <f>'[4]int.kiadások RM II'!N35</f>
        <v>0</v>
      </c>
      <c r="M35" s="691"/>
      <c r="N35" s="691">
        <f>SUM(L35:M35)</f>
        <v>0</v>
      </c>
      <c r="O35" s="691">
        <f>'[4]int.kiadások RM II'!Q35</f>
        <v>0</v>
      </c>
      <c r="P35" s="691"/>
      <c r="Q35" s="691">
        <f>SUM(O35:P35)</f>
        <v>0</v>
      </c>
      <c r="R35" s="672">
        <f>B35+E35+H35+L35+O35</f>
        <v>540092</v>
      </c>
      <c r="S35" s="672">
        <f t="shared" si="18"/>
        <v>29382</v>
      </c>
      <c r="T35" s="672">
        <f t="shared" si="18"/>
        <v>569474</v>
      </c>
      <c r="U35" s="673" t="s">
        <v>720</v>
      </c>
      <c r="V35" s="691">
        <f>'[4]int.kiadások RM II'!X35</f>
        <v>16311</v>
      </c>
      <c r="W35" s="691">
        <f>131+600</f>
        <v>731</v>
      </c>
      <c r="X35" s="691">
        <f>SUM(V35:W35)</f>
        <v>17042</v>
      </c>
      <c r="Y35" s="671">
        <f>'[4]int.kiadások RM II'!AA35</f>
        <v>0</v>
      </c>
      <c r="Z35" s="691"/>
      <c r="AA35" s="691">
        <f>SUM(Y35:Z35)</f>
        <v>0</v>
      </c>
      <c r="AB35" s="691">
        <f>'[4]int.kiadások RM II'!AD35</f>
        <v>0</v>
      </c>
      <c r="AC35" s="691"/>
      <c r="AD35" s="691">
        <f>SUM(AB35:AC35)</f>
        <v>0</v>
      </c>
      <c r="AE35" s="672">
        <f t="shared" si="19"/>
        <v>16311</v>
      </c>
      <c r="AF35" s="672">
        <f t="shared" si="19"/>
        <v>731</v>
      </c>
      <c r="AG35" s="672">
        <f t="shared" si="19"/>
        <v>17042</v>
      </c>
      <c r="AH35" s="672">
        <f>R35+AE35</f>
        <v>556403</v>
      </c>
      <c r="AI35" s="672">
        <f t="shared" si="20"/>
        <v>30113</v>
      </c>
      <c r="AJ35" s="672">
        <f t="shared" si="20"/>
        <v>586516</v>
      </c>
    </row>
    <row r="36" spans="1:36" s="718" customFormat="1" ht="48.75" customHeight="1" thickBot="1" x14ac:dyDescent="0.75">
      <c r="A36" s="692" t="s">
        <v>617</v>
      </c>
      <c r="B36" s="671">
        <f>'[4]int.kiadások RM II'!D36</f>
        <v>556733</v>
      </c>
      <c r="C36" s="691">
        <v>5000</v>
      </c>
      <c r="D36" s="691">
        <f t="shared" si="2"/>
        <v>561733</v>
      </c>
      <c r="E36" s="671">
        <f>'[4]int.kiadások RM II'!G36</f>
        <v>71680</v>
      </c>
      <c r="F36" s="691">
        <v>585</v>
      </c>
      <c r="G36" s="691">
        <f>SUM(E36:F36)</f>
        <v>72265</v>
      </c>
      <c r="H36" s="671">
        <f>'[4]int.kiadások RM II'!J36</f>
        <v>282134</v>
      </c>
      <c r="I36" s="691">
        <v>98479</v>
      </c>
      <c r="J36" s="691">
        <f>SUM(H36:I36)</f>
        <v>380613</v>
      </c>
      <c r="K36" s="692" t="s">
        <v>617</v>
      </c>
      <c r="L36" s="691">
        <f>'[4]int.kiadások RM II'!N36</f>
        <v>0</v>
      </c>
      <c r="M36" s="691"/>
      <c r="N36" s="691">
        <f>SUM(L36:M36)</f>
        <v>0</v>
      </c>
      <c r="O36" s="691">
        <f>'[4]int.kiadások RM II'!Q36</f>
        <v>0</v>
      </c>
      <c r="P36" s="691"/>
      <c r="Q36" s="691">
        <f>SUM(O36:P36)</f>
        <v>0</v>
      </c>
      <c r="R36" s="672">
        <f>B36+E36+H36+L36+O36</f>
        <v>910547</v>
      </c>
      <c r="S36" s="672">
        <f t="shared" si="18"/>
        <v>104064</v>
      </c>
      <c r="T36" s="672">
        <f t="shared" si="18"/>
        <v>1014611</v>
      </c>
      <c r="U36" s="692" t="s">
        <v>617</v>
      </c>
      <c r="V36" s="691">
        <f>'[4]int.kiadások RM II'!X36</f>
        <v>12395</v>
      </c>
      <c r="W36" s="691">
        <v>5176</v>
      </c>
      <c r="X36" s="691">
        <f>SUM(V36:W36)</f>
        <v>17571</v>
      </c>
      <c r="Y36" s="671">
        <f>'[4]int.kiadások RM II'!AA36</f>
        <v>0</v>
      </c>
      <c r="Z36" s="691"/>
      <c r="AA36" s="691">
        <f>SUM(Y36:Z36)</f>
        <v>0</v>
      </c>
      <c r="AB36" s="691">
        <f>'[4]int.kiadások RM II'!AD36</f>
        <v>0</v>
      </c>
      <c r="AC36" s="691"/>
      <c r="AD36" s="691">
        <f>SUM(AB36:AC36)</f>
        <v>0</v>
      </c>
      <c r="AE36" s="672">
        <f t="shared" si="19"/>
        <v>12395</v>
      </c>
      <c r="AF36" s="672">
        <f t="shared" si="19"/>
        <v>5176</v>
      </c>
      <c r="AG36" s="672">
        <f t="shared" si="19"/>
        <v>17571</v>
      </c>
      <c r="AH36" s="672">
        <f>R36+AE36</f>
        <v>922942</v>
      </c>
      <c r="AI36" s="672">
        <f t="shared" si="20"/>
        <v>109240</v>
      </c>
      <c r="AJ36" s="672">
        <f t="shared" si="20"/>
        <v>1032182</v>
      </c>
    </row>
    <row r="37" spans="1:36" s="718" customFormat="1" ht="61.5" customHeight="1" thickBot="1" x14ac:dyDescent="0.75">
      <c r="A37" s="694" t="s">
        <v>721</v>
      </c>
      <c r="B37" s="678">
        <f t="shared" ref="B37:J37" si="21">SUM(B33:B36)</f>
        <v>1601467</v>
      </c>
      <c r="C37" s="678">
        <f t="shared" si="21"/>
        <v>1708</v>
      </c>
      <c r="D37" s="678">
        <f t="shared" si="21"/>
        <v>1603175</v>
      </c>
      <c r="E37" s="678">
        <f t="shared" si="21"/>
        <v>205266</v>
      </c>
      <c r="F37" s="678">
        <f t="shared" si="21"/>
        <v>1235</v>
      </c>
      <c r="G37" s="678">
        <f t="shared" si="21"/>
        <v>206501</v>
      </c>
      <c r="H37" s="678">
        <f t="shared" si="21"/>
        <v>874269</v>
      </c>
      <c r="I37" s="678">
        <f t="shared" si="21"/>
        <v>217716</v>
      </c>
      <c r="J37" s="678">
        <f t="shared" si="21"/>
        <v>1091985</v>
      </c>
      <c r="K37" s="694" t="s">
        <v>721</v>
      </c>
      <c r="L37" s="678">
        <f t="shared" ref="L37:T37" si="22">SUM(L33:L36)</f>
        <v>0</v>
      </c>
      <c r="M37" s="678">
        <f t="shared" si="22"/>
        <v>0</v>
      </c>
      <c r="N37" s="678">
        <f t="shared" si="22"/>
        <v>0</v>
      </c>
      <c r="O37" s="678">
        <f t="shared" si="22"/>
        <v>0</v>
      </c>
      <c r="P37" s="678">
        <f t="shared" si="22"/>
        <v>0</v>
      </c>
      <c r="Q37" s="678">
        <f t="shared" si="22"/>
        <v>0</v>
      </c>
      <c r="R37" s="678">
        <f t="shared" si="22"/>
        <v>2681002</v>
      </c>
      <c r="S37" s="678">
        <f t="shared" si="22"/>
        <v>220659</v>
      </c>
      <c r="T37" s="678">
        <f t="shared" si="22"/>
        <v>2901661</v>
      </c>
      <c r="U37" s="694" t="s">
        <v>721</v>
      </c>
      <c r="V37" s="678">
        <f t="shared" ref="V37:AJ37" si="23">SUM(V33:V36)</f>
        <v>93489</v>
      </c>
      <c r="W37" s="678">
        <f t="shared" si="23"/>
        <v>16338</v>
      </c>
      <c r="X37" s="678">
        <f t="shared" si="23"/>
        <v>109827</v>
      </c>
      <c r="Y37" s="678">
        <f t="shared" si="23"/>
        <v>0</v>
      </c>
      <c r="Z37" s="678">
        <f t="shared" si="23"/>
        <v>0</v>
      </c>
      <c r="AA37" s="678">
        <f t="shared" si="23"/>
        <v>0</v>
      </c>
      <c r="AB37" s="678">
        <f t="shared" si="23"/>
        <v>0</v>
      </c>
      <c r="AC37" s="678">
        <f t="shared" si="23"/>
        <v>0</v>
      </c>
      <c r="AD37" s="678">
        <f t="shared" si="23"/>
        <v>0</v>
      </c>
      <c r="AE37" s="678">
        <f t="shared" si="23"/>
        <v>93489</v>
      </c>
      <c r="AF37" s="678">
        <f t="shared" si="23"/>
        <v>16338</v>
      </c>
      <c r="AG37" s="678">
        <f t="shared" si="23"/>
        <v>109827</v>
      </c>
      <c r="AH37" s="678">
        <f t="shared" si="23"/>
        <v>2774491</v>
      </c>
      <c r="AI37" s="678">
        <f t="shared" si="23"/>
        <v>236997</v>
      </c>
      <c r="AJ37" s="678">
        <f t="shared" si="23"/>
        <v>3011488</v>
      </c>
    </row>
    <row r="38" spans="1:36" s="718" customFormat="1" ht="48.75" customHeight="1" x14ac:dyDescent="0.7">
      <c r="A38" s="695" t="s">
        <v>722</v>
      </c>
      <c r="B38" s="668"/>
      <c r="C38" s="668"/>
      <c r="D38" s="668"/>
      <c r="E38" s="668"/>
      <c r="F38" s="668"/>
      <c r="G38" s="668"/>
      <c r="H38" s="668"/>
      <c r="I38" s="668"/>
      <c r="J38" s="668"/>
      <c r="K38" s="695" t="s">
        <v>735</v>
      </c>
      <c r="L38" s="668"/>
      <c r="M38" s="668"/>
      <c r="N38" s="668"/>
      <c r="O38" s="668"/>
      <c r="P38" s="668"/>
      <c r="Q38" s="668"/>
      <c r="R38" s="668"/>
      <c r="S38" s="668"/>
      <c r="T38" s="668"/>
      <c r="U38" s="695" t="s">
        <v>735</v>
      </c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</row>
    <row r="39" spans="1:36" s="721" customFormat="1" ht="88.5" customHeight="1" thickBot="1" x14ac:dyDescent="0.75">
      <c r="A39" s="689" t="s">
        <v>551</v>
      </c>
      <c r="B39" s="696">
        <f>'[4]int.kiadások RM II'!D39</f>
        <v>1013550</v>
      </c>
      <c r="C39" s="696">
        <f>5127+47194</f>
        <v>52321</v>
      </c>
      <c r="D39" s="696">
        <f>SUM(B39:C39)</f>
        <v>1065871</v>
      </c>
      <c r="E39" s="696">
        <f>'[4]int.kiadások RM II'!G39</f>
        <v>156288</v>
      </c>
      <c r="F39" s="696">
        <f>-10000+5565</f>
        <v>-4435</v>
      </c>
      <c r="G39" s="696">
        <f>SUM(E39:F39)</f>
        <v>151853</v>
      </c>
      <c r="H39" s="696">
        <f>'[4]int.kiadások RM II'!J39</f>
        <v>630734</v>
      </c>
      <c r="I39" s="696">
        <f>-5623+885</f>
        <v>-4738</v>
      </c>
      <c r="J39" s="696">
        <f>SUM(H39:I39)</f>
        <v>625996</v>
      </c>
      <c r="K39" s="689" t="s">
        <v>551</v>
      </c>
      <c r="L39" s="696">
        <f>'[4]int.kiadások RM II'!N39</f>
        <v>0</v>
      </c>
      <c r="M39" s="696"/>
      <c r="N39" s="696">
        <f>SUM(L39:M39)</f>
        <v>0</v>
      </c>
      <c r="O39" s="696">
        <f>'[4]int.kiadások RM II'!Q39</f>
        <v>70</v>
      </c>
      <c r="P39" s="696"/>
      <c r="Q39" s="696">
        <f>SUM(O39:P39)</f>
        <v>70</v>
      </c>
      <c r="R39" s="690">
        <f>B39+E39+H39+L39+O39</f>
        <v>1800642</v>
      </c>
      <c r="S39" s="690">
        <f>C39+F39+I39+M39+P39</f>
        <v>43148</v>
      </c>
      <c r="T39" s="690">
        <f>D39+G39+J39+N39+Q39</f>
        <v>1843790</v>
      </c>
      <c r="U39" s="689" t="s">
        <v>551</v>
      </c>
      <c r="V39" s="696">
        <f>'[4]int.kiadások RM II'!X39</f>
        <v>22996</v>
      </c>
      <c r="W39" s="696">
        <f>4183+600</f>
        <v>4783</v>
      </c>
      <c r="X39" s="696">
        <f>SUM(V39:W39)</f>
        <v>27779</v>
      </c>
      <c r="Y39" s="696">
        <f>'[4]int.kiadások RM II'!AA39</f>
        <v>62394</v>
      </c>
      <c r="Z39" s="696">
        <v>19707</v>
      </c>
      <c r="AA39" s="696">
        <f>SUM(Y39:Z39)</f>
        <v>82101</v>
      </c>
      <c r="AB39" s="696">
        <f>'[4]int.kiadások RM II'!AD39</f>
        <v>0</v>
      </c>
      <c r="AC39" s="696"/>
      <c r="AD39" s="696">
        <f>SUM(AB39:AC39)</f>
        <v>0</v>
      </c>
      <c r="AE39" s="690">
        <f>V39+Y39+AB39</f>
        <v>85390</v>
      </c>
      <c r="AF39" s="690">
        <f>W39+Z39+AC39</f>
        <v>24490</v>
      </c>
      <c r="AG39" s="690">
        <f>X39+AA39+AD39</f>
        <v>109880</v>
      </c>
      <c r="AH39" s="690">
        <f>R39+AE39</f>
        <v>1886032</v>
      </c>
      <c r="AI39" s="690">
        <f>S39+AF39</f>
        <v>67638</v>
      </c>
      <c r="AJ39" s="690">
        <f>T39+AG39</f>
        <v>1953670</v>
      </c>
    </row>
    <row r="40" spans="1:36" s="718" customFormat="1" ht="48.75" customHeight="1" x14ac:dyDescent="0.7">
      <c r="A40" s="695" t="s">
        <v>723</v>
      </c>
      <c r="B40" s="668"/>
      <c r="C40" s="668"/>
      <c r="D40" s="668"/>
      <c r="E40" s="668"/>
      <c r="F40" s="668"/>
      <c r="G40" s="668"/>
      <c r="H40" s="668"/>
      <c r="I40" s="668"/>
      <c r="J40" s="668"/>
      <c r="K40" s="695" t="s">
        <v>723</v>
      </c>
      <c r="L40" s="668"/>
      <c r="M40" s="668"/>
      <c r="N40" s="668"/>
      <c r="O40" s="668"/>
      <c r="P40" s="668"/>
      <c r="Q40" s="668"/>
      <c r="R40" s="668"/>
      <c r="S40" s="668"/>
      <c r="T40" s="668"/>
      <c r="U40" s="695" t="s">
        <v>723</v>
      </c>
      <c r="V40" s="668"/>
      <c r="W40" s="668"/>
      <c r="X40" s="668"/>
      <c r="Y40" s="668"/>
      <c r="Z40" s="668"/>
      <c r="AA40" s="668"/>
      <c r="AB40" s="668"/>
      <c r="AC40" s="668"/>
      <c r="AD40" s="668"/>
      <c r="AE40" s="668"/>
      <c r="AF40" s="668"/>
      <c r="AG40" s="668"/>
      <c r="AH40" s="668"/>
      <c r="AI40" s="668"/>
      <c r="AJ40" s="668"/>
    </row>
    <row r="41" spans="1:36" s="718" customFormat="1" ht="49.5" customHeight="1" thickBot="1" x14ac:dyDescent="0.75">
      <c r="A41" s="702" t="s">
        <v>724</v>
      </c>
      <c r="B41" s="696">
        <f>'[4]int.kiadások RM II'!D41</f>
        <v>660863</v>
      </c>
      <c r="C41" s="696">
        <v>18370</v>
      </c>
      <c r="D41" s="696">
        <f>SUM(B41:C41)</f>
        <v>679233</v>
      </c>
      <c r="E41" s="696">
        <f>'[4]int.kiadások RM II'!G41</f>
        <v>99168</v>
      </c>
      <c r="F41" s="696">
        <v>2399</v>
      </c>
      <c r="G41" s="696">
        <f>SUM(E41:F41)</f>
        <v>101567</v>
      </c>
      <c r="H41" s="696">
        <f>'[4]int.kiadások RM II'!J41</f>
        <v>325002</v>
      </c>
      <c r="I41" s="696">
        <v>2728</v>
      </c>
      <c r="J41" s="696">
        <f>SUM(H41:I41)</f>
        <v>327730</v>
      </c>
      <c r="K41" s="702" t="s">
        <v>724</v>
      </c>
      <c r="L41" s="696">
        <f>'[4]int.kiadások RM II'!N41</f>
        <v>0</v>
      </c>
      <c r="M41" s="696"/>
      <c r="N41" s="696">
        <f>SUM(L41:M41)</f>
        <v>0</v>
      </c>
      <c r="O41" s="696">
        <f>'[4]int.kiadások RM II'!Q41</f>
        <v>0</v>
      </c>
      <c r="P41" s="696"/>
      <c r="Q41" s="696">
        <f>SUM(O41:P41)</f>
        <v>0</v>
      </c>
      <c r="R41" s="690">
        <f>B41+E41+H41+L41+O41</f>
        <v>1085033</v>
      </c>
      <c r="S41" s="690">
        <f>C41+F41+I41+M41+P41</f>
        <v>23497</v>
      </c>
      <c r="T41" s="690">
        <f>D41+G41+J41+N41+Q41</f>
        <v>1108530</v>
      </c>
      <c r="U41" s="702" t="s">
        <v>724</v>
      </c>
      <c r="V41" s="696">
        <f>'[4]int.kiadások RM II'!X41</f>
        <v>6381</v>
      </c>
      <c r="W41" s="696">
        <v>22</v>
      </c>
      <c r="X41" s="696">
        <f>SUM(V41:W41)</f>
        <v>6403</v>
      </c>
      <c r="Y41" s="696">
        <f>'[4]int.kiadások RM II'!AA41</f>
        <v>0</v>
      </c>
      <c r="Z41" s="696"/>
      <c r="AA41" s="696">
        <f>SUM(Y41:Z41)</f>
        <v>0</v>
      </c>
      <c r="AB41" s="696">
        <f>'[4]int.kiadások RM II'!AD41</f>
        <v>0</v>
      </c>
      <c r="AC41" s="696"/>
      <c r="AD41" s="696">
        <f>SUM(AB41:AC41)</f>
        <v>0</v>
      </c>
      <c r="AE41" s="690">
        <f>V41+Y41+AB41</f>
        <v>6381</v>
      </c>
      <c r="AF41" s="690">
        <f>W41+Z41+AC41</f>
        <v>22</v>
      </c>
      <c r="AG41" s="690">
        <f>X41+AA41+AD41</f>
        <v>6403</v>
      </c>
      <c r="AH41" s="690">
        <f>R41+AE41</f>
        <v>1091414</v>
      </c>
      <c r="AI41" s="690">
        <f>S41+AF41</f>
        <v>23519</v>
      </c>
      <c r="AJ41" s="690">
        <f>T41+AG41</f>
        <v>1114933</v>
      </c>
    </row>
    <row r="42" spans="1:36" s="718" customFormat="1" ht="48" customHeight="1" x14ac:dyDescent="0.7">
      <c r="A42" s="688" t="s">
        <v>725</v>
      </c>
      <c r="B42" s="684"/>
      <c r="C42" s="684"/>
      <c r="D42" s="684"/>
      <c r="E42" s="684"/>
      <c r="F42" s="684"/>
      <c r="G42" s="684"/>
      <c r="H42" s="684"/>
      <c r="I42" s="684"/>
      <c r="J42" s="684"/>
      <c r="K42" s="688" t="s">
        <v>725</v>
      </c>
      <c r="L42" s="684"/>
      <c r="M42" s="684"/>
      <c r="N42" s="684"/>
      <c r="O42" s="684"/>
      <c r="P42" s="684"/>
      <c r="Q42" s="684"/>
      <c r="R42" s="684"/>
      <c r="S42" s="684"/>
      <c r="T42" s="684"/>
      <c r="U42" s="688" t="s">
        <v>725</v>
      </c>
      <c r="V42" s="684"/>
      <c r="W42" s="684"/>
      <c r="X42" s="684"/>
      <c r="Y42" s="684"/>
      <c r="Z42" s="684"/>
      <c r="AA42" s="684"/>
      <c r="AB42" s="684"/>
      <c r="AC42" s="684"/>
      <c r="AD42" s="684"/>
      <c r="AE42" s="684"/>
      <c r="AF42" s="684"/>
      <c r="AG42" s="684"/>
      <c r="AH42" s="684"/>
      <c r="AI42" s="684"/>
      <c r="AJ42" s="684"/>
    </row>
    <row r="43" spans="1:36" s="718" customFormat="1" ht="48.75" customHeight="1" thickBot="1" x14ac:dyDescent="0.75">
      <c r="A43" s="704" t="s">
        <v>619</v>
      </c>
      <c r="B43" s="671">
        <f>'[4]int.kiadások RM II'!D43</f>
        <v>1320697</v>
      </c>
      <c r="C43" s="675">
        <f>-14011+7171</f>
        <v>-6840</v>
      </c>
      <c r="D43" s="675">
        <f>SUM(B43:C43)</f>
        <v>1313857</v>
      </c>
      <c r="E43" s="671">
        <f>'[4]int.kiadások RM II'!G43</f>
        <v>210956</v>
      </c>
      <c r="F43" s="675">
        <v>932</v>
      </c>
      <c r="G43" s="675">
        <f>SUM(E43:F43)</f>
        <v>211888</v>
      </c>
      <c r="H43" s="671">
        <f>'[4]int.kiadások RM II'!J43</f>
        <v>233165</v>
      </c>
      <c r="I43" s="675">
        <f>19857+400</f>
        <v>20257</v>
      </c>
      <c r="J43" s="675">
        <f>SUM(H43:I43)</f>
        <v>253422</v>
      </c>
      <c r="K43" s="704" t="s">
        <v>552</v>
      </c>
      <c r="L43" s="675">
        <f>'[4]int.kiadások RM II'!N43</f>
        <v>0</v>
      </c>
      <c r="M43" s="675"/>
      <c r="N43" s="675">
        <f>SUM(L43:M43)</f>
        <v>0</v>
      </c>
      <c r="O43" s="675">
        <f>'[4]int.kiadások RM II'!Q43</f>
        <v>0</v>
      </c>
      <c r="P43" s="675"/>
      <c r="Q43" s="675">
        <f>SUM(O43:P43)</f>
        <v>0</v>
      </c>
      <c r="R43" s="672">
        <f>B43+E43+H43+L43+O43</f>
        <v>1764818</v>
      </c>
      <c r="S43" s="672">
        <f>C43+F43+I43+M43+P43</f>
        <v>14349</v>
      </c>
      <c r="T43" s="672">
        <f>D43+G43+J43+N43+Q43</f>
        <v>1779167</v>
      </c>
      <c r="U43" s="704" t="s">
        <v>619</v>
      </c>
      <c r="V43" s="675">
        <f>'[4]int.kiadások RM II'!X43</f>
        <v>11989</v>
      </c>
      <c r="W43" s="675">
        <f>10111+400</f>
        <v>10511</v>
      </c>
      <c r="X43" s="675">
        <f>SUM(V43:W43)</f>
        <v>22500</v>
      </c>
      <c r="Y43" s="675">
        <f>'[4]int.kiadások RM II'!AA43</f>
        <v>60625</v>
      </c>
      <c r="Z43" s="675">
        <v>-561</v>
      </c>
      <c r="AA43" s="675">
        <f>SUM(Y43:Z43)</f>
        <v>60064</v>
      </c>
      <c r="AB43" s="675">
        <f>'[4]int.kiadások RM II'!AD43</f>
        <v>0</v>
      </c>
      <c r="AC43" s="675"/>
      <c r="AD43" s="675">
        <f>SUM(AB43:AC43)</f>
        <v>0</v>
      </c>
      <c r="AE43" s="672">
        <f>V43+Y43+AB43</f>
        <v>72614</v>
      </c>
      <c r="AF43" s="672">
        <f>W43+Z43+AC43</f>
        <v>9950</v>
      </c>
      <c r="AG43" s="672">
        <f>X43+AA43+AD43</f>
        <v>82564</v>
      </c>
      <c r="AH43" s="672">
        <f>R43+AE43</f>
        <v>1837432</v>
      </c>
      <c r="AI43" s="672">
        <f>S43+AF43</f>
        <v>24299</v>
      </c>
      <c r="AJ43" s="672">
        <f>T43+AG43</f>
        <v>1861731</v>
      </c>
    </row>
    <row r="44" spans="1:36" s="718" customFormat="1" ht="48" customHeight="1" x14ac:dyDescent="0.7">
      <c r="A44" s="695" t="s">
        <v>726</v>
      </c>
      <c r="B44" s="668"/>
      <c r="C44" s="668"/>
      <c r="D44" s="668"/>
      <c r="E44" s="668"/>
      <c r="F44" s="668"/>
      <c r="G44" s="668"/>
      <c r="H44" s="668"/>
      <c r="I44" s="668"/>
      <c r="J44" s="668"/>
      <c r="K44" s="695" t="s">
        <v>736</v>
      </c>
      <c r="L44" s="668"/>
      <c r="M44" s="668"/>
      <c r="N44" s="668"/>
      <c r="O44" s="668"/>
      <c r="P44" s="668"/>
      <c r="Q44" s="668"/>
      <c r="R44" s="668"/>
      <c r="S44" s="668"/>
      <c r="T44" s="668"/>
      <c r="U44" s="695" t="s">
        <v>736</v>
      </c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</row>
    <row r="45" spans="1:36" s="718" customFormat="1" ht="48.75" customHeight="1" x14ac:dyDescent="0.7">
      <c r="A45" s="670" t="s">
        <v>553</v>
      </c>
      <c r="B45" s="671">
        <f>'[4]int.kiadások RM II'!D45</f>
        <v>78937</v>
      </c>
      <c r="C45" s="671">
        <v>-16205</v>
      </c>
      <c r="D45" s="671">
        <f>SUM(B45:C45)</f>
        <v>62732</v>
      </c>
      <c r="E45" s="671">
        <f>'[4]int.kiadások RM II'!G45</f>
        <v>10396</v>
      </c>
      <c r="F45" s="671">
        <v>-2051</v>
      </c>
      <c r="G45" s="671">
        <f>SUM(E45:F45)</f>
        <v>8345</v>
      </c>
      <c r="H45" s="671">
        <f>'[4]int.kiadások RM II'!J45</f>
        <v>134244</v>
      </c>
      <c r="I45" s="671">
        <f>10347+3000</f>
        <v>13347</v>
      </c>
      <c r="J45" s="671">
        <f>SUM(H45:I45)</f>
        <v>147591</v>
      </c>
      <c r="K45" s="670" t="s">
        <v>553</v>
      </c>
      <c r="L45" s="671">
        <f>'[4]int.kiadások RM II'!N45</f>
        <v>0</v>
      </c>
      <c r="M45" s="671"/>
      <c r="N45" s="671">
        <f>SUM(L45:M45)</f>
        <v>0</v>
      </c>
      <c r="O45" s="671">
        <f>'[4]int.kiadások RM II'!Q45</f>
        <v>0</v>
      </c>
      <c r="P45" s="724"/>
      <c r="Q45" s="671">
        <f>SUM(O45:P45)</f>
        <v>0</v>
      </c>
      <c r="R45" s="672">
        <f t="shared" ref="R45:T46" si="24">B45+E45+H45+L45+O45</f>
        <v>223577</v>
      </c>
      <c r="S45" s="672">
        <f t="shared" si="24"/>
        <v>-4909</v>
      </c>
      <c r="T45" s="672">
        <f t="shared" si="24"/>
        <v>218668</v>
      </c>
      <c r="U45" s="670" t="s">
        <v>553</v>
      </c>
      <c r="V45" s="671">
        <f>'[4]int.kiadások RM II'!X45</f>
        <v>6270</v>
      </c>
      <c r="W45" s="671">
        <v>4800</v>
      </c>
      <c r="X45" s="671">
        <f>SUM(V45:W45)</f>
        <v>11070</v>
      </c>
      <c r="Y45" s="671">
        <f>'[4]int.kiadások RM II'!AA45</f>
        <v>2055</v>
      </c>
      <c r="Z45" s="671"/>
      <c r="AA45" s="671">
        <f>SUM(Y45:Z45)</f>
        <v>2055</v>
      </c>
      <c r="AB45" s="671">
        <f>'[4]int.kiadások RM II'!AD45</f>
        <v>0</v>
      </c>
      <c r="AC45" s="671"/>
      <c r="AD45" s="671">
        <f>SUM(AB45:AC45)</f>
        <v>0</v>
      </c>
      <c r="AE45" s="672">
        <f t="shared" ref="AE45:AG46" si="25">V45+Y45+AB45</f>
        <v>8325</v>
      </c>
      <c r="AF45" s="672">
        <f t="shared" si="25"/>
        <v>4800</v>
      </c>
      <c r="AG45" s="672">
        <f t="shared" si="25"/>
        <v>13125</v>
      </c>
      <c r="AH45" s="672">
        <f t="shared" ref="AH45:AJ46" si="26">R45+AE45</f>
        <v>231902</v>
      </c>
      <c r="AI45" s="672">
        <f t="shared" si="26"/>
        <v>-109</v>
      </c>
      <c r="AJ45" s="672">
        <f t="shared" si="26"/>
        <v>231793</v>
      </c>
    </row>
    <row r="46" spans="1:36" s="726" customFormat="1" ht="49.5" customHeight="1" thickBot="1" x14ac:dyDescent="0.75">
      <c r="A46" s="706" t="s">
        <v>4</v>
      </c>
      <c r="B46" s="707">
        <f>'[4]int.kiadások RM II'!D46</f>
        <v>2385031</v>
      </c>
      <c r="C46" s="707">
        <f>2045+22780</f>
        <v>24825</v>
      </c>
      <c r="D46" s="707">
        <f>SUM(B46:C46)</f>
        <v>2409856</v>
      </c>
      <c r="E46" s="707">
        <f>'[4]int.kiadások RM II'!G46</f>
        <v>358679</v>
      </c>
      <c r="F46" s="707">
        <f>465+2945</f>
        <v>3410</v>
      </c>
      <c r="G46" s="708">
        <f>SUM(E46:F46)</f>
        <v>362089</v>
      </c>
      <c r="H46" s="707">
        <f>'[4]int.kiadások RM II'!J46</f>
        <v>494309</v>
      </c>
      <c r="I46" s="708">
        <f>4303+2256</f>
        <v>6559</v>
      </c>
      <c r="J46" s="707">
        <f>SUM(H46:I46)</f>
        <v>500868</v>
      </c>
      <c r="K46" s="706" t="s">
        <v>4</v>
      </c>
      <c r="L46" s="707">
        <f>'[4]int.kiadások RM II'!N46</f>
        <v>0</v>
      </c>
      <c r="M46" s="708"/>
      <c r="N46" s="707">
        <f>SUM(L46:M46)</f>
        <v>0</v>
      </c>
      <c r="O46" s="708">
        <f>'[4]int.kiadások RM II'!Q46</f>
        <v>5000</v>
      </c>
      <c r="P46" s="707"/>
      <c r="Q46" s="725">
        <f>SUM(O46:P46)</f>
        <v>5000</v>
      </c>
      <c r="R46" s="676">
        <f t="shared" si="24"/>
        <v>3243019</v>
      </c>
      <c r="S46" s="709">
        <f t="shared" si="24"/>
        <v>34794</v>
      </c>
      <c r="T46" s="676">
        <f t="shared" si="24"/>
        <v>3277813</v>
      </c>
      <c r="U46" s="706" t="s">
        <v>4</v>
      </c>
      <c r="V46" s="707">
        <f>'[4]int.kiadások RM II'!X46</f>
        <v>206325</v>
      </c>
      <c r="W46" s="708">
        <v>9034</v>
      </c>
      <c r="X46" s="707">
        <f>SUM(V46:W46)</f>
        <v>215359</v>
      </c>
      <c r="Y46" s="708">
        <f>'[4]int.kiadások RM II'!AA46</f>
        <v>6909</v>
      </c>
      <c r="Z46" s="707">
        <v>-6680</v>
      </c>
      <c r="AA46" s="708">
        <f>SUM(Y46:Z46)</f>
        <v>229</v>
      </c>
      <c r="AB46" s="707">
        <f>'[4]int.kiadások RM II'!AD46</f>
        <v>0</v>
      </c>
      <c r="AC46" s="708"/>
      <c r="AD46" s="725">
        <f>SUM(AB46:AC46)</f>
        <v>0</v>
      </c>
      <c r="AE46" s="676">
        <f t="shared" si="25"/>
        <v>213234</v>
      </c>
      <c r="AF46" s="709">
        <f t="shared" si="25"/>
        <v>2354</v>
      </c>
      <c r="AG46" s="676">
        <f t="shared" si="25"/>
        <v>215588</v>
      </c>
      <c r="AH46" s="709">
        <f t="shared" si="26"/>
        <v>3456253</v>
      </c>
      <c r="AI46" s="676">
        <f t="shared" si="26"/>
        <v>37148</v>
      </c>
      <c r="AJ46" s="676">
        <f t="shared" si="26"/>
        <v>3493401</v>
      </c>
    </row>
    <row r="47" spans="1:36" s="718" customFormat="1" ht="61.5" customHeight="1" thickBot="1" x14ac:dyDescent="0.75">
      <c r="A47" s="727" t="s">
        <v>727</v>
      </c>
      <c r="B47" s="690">
        <f t="shared" ref="B47:J47" si="27">SUM(B45:B46)</f>
        <v>2463968</v>
      </c>
      <c r="C47" s="690">
        <f t="shared" si="27"/>
        <v>8620</v>
      </c>
      <c r="D47" s="690">
        <f t="shared" si="27"/>
        <v>2472588</v>
      </c>
      <c r="E47" s="690">
        <f t="shared" si="27"/>
        <v>369075</v>
      </c>
      <c r="F47" s="690">
        <f t="shared" si="27"/>
        <v>1359</v>
      </c>
      <c r="G47" s="690">
        <f t="shared" si="27"/>
        <v>370434</v>
      </c>
      <c r="H47" s="690">
        <f t="shared" si="27"/>
        <v>628553</v>
      </c>
      <c r="I47" s="690">
        <f t="shared" si="27"/>
        <v>19906</v>
      </c>
      <c r="J47" s="690">
        <f t="shared" si="27"/>
        <v>648459</v>
      </c>
      <c r="K47" s="727" t="s">
        <v>727</v>
      </c>
      <c r="L47" s="690">
        <f t="shared" ref="L47:T47" si="28">SUM(L45:L46)</f>
        <v>0</v>
      </c>
      <c r="M47" s="690">
        <f t="shared" si="28"/>
        <v>0</v>
      </c>
      <c r="N47" s="690">
        <f t="shared" si="28"/>
        <v>0</v>
      </c>
      <c r="O47" s="690">
        <f t="shared" si="28"/>
        <v>5000</v>
      </c>
      <c r="P47" s="690">
        <f t="shared" si="28"/>
        <v>0</v>
      </c>
      <c r="Q47" s="690">
        <f t="shared" si="28"/>
        <v>5000</v>
      </c>
      <c r="R47" s="690">
        <f t="shared" si="28"/>
        <v>3466596</v>
      </c>
      <c r="S47" s="690">
        <f t="shared" si="28"/>
        <v>29885</v>
      </c>
      <c r="T47" s="690">
        <f t="shared" si="28"/>
        <v>3496481</v>
      </c>
      <c r="U47" s="727" t="s">
        <v>727</v>
      </c>
      <c r="V47" s="690">
        <f t="shared" ref="V47:AJ47" si="29">SUM(V45:V46)</f>
        <v>212595</v>
      </c>
      <c r="W47" s="690">
        <f t="shared" si="29"/>
        <v>13834</v>
      </c>
      <c r="X47" s="690">
        <f t="shared" si="29"/>
        <v>226429</v>
      </c>
      <c r="Y47" s="690">
        <f t="shared" si="29"/>
        <v>8964</v>
      </c>
      <c r="Z47" s="690">
        <f t="shared" si="29"/>
        <v>-6680</v>
      </c>
      <c r="AA47" s="690">
        <f t="shared" si="29"/>
        <v>2284</v>
      </c>
      <c r="AB47" s="690">
        <f t="shared" si="29"/>
        <v>0</v>
      </c>
      <c r="AC47" s="690">
        <f t="shared" si="29"/>
        <v>0</v>
      </c>
      <c r="AD47" s="690">
        <f t="shared" si="29"/>
        <v>0</v>
      </c>
      <c r="AE47" s="690">
        <f t="shared" si="29"/>
        <v>221559</v>
      </c>
      <c r="AF47" s="690">
        <f t="shared" si="29"/>
        <v>7154</v>
      </c>
      <c r="AG47" s="690">
        <f t="shared" si="29"/>
        <v>228713</v>
      </c>
      <c r="AH47" s="690">
        <f t="shared" si="29"/>
        <v>3688155</v>
      </c>
      <c r="AI47" s="690">
        <f t="shared" si="29"/>
        <v>37039</v>
      </c>
      <c r="AJ47" s="690">
        <f t="shared" si="29"/>
        <v>3725194</v>
      </c>
    </row>
    <row r="48" spans="1:36" s="718" customFormat="1" ht="61.5" customHeight="1" thickBot="1" x14ac:dyDescent="0.75">
      <c r="A48" s="727" t="s">
        <v>728</v>
      </c>
      <c r="B48" s="676">
        <f t="shared" ref="B48:J48" si="30">B37+B39+B41+B43+B47</f>
        <v>7060545</v>
      </c>
      <c r="C48" s="676">
        <f t="shared" si="30"/>
        <v>74179</v>
      </c>
      <c r="D48" s="676">
        <f t="shared" si="30"/>
        <v>7134724</v>
      </c>
      <c r="E48" s="676">
        <f t="shared" si="30"/>
        <v>1040753</v>
      </c>
      <c r="F48" s="676">
        <f t="shared" si="30"/>
        <v>1490</v>
      </c>
      <c r="G48" s="676">
        <f t="shared" si="30"/>
        <v>1042243</v>
      </c>
      <c r="H48" s="676">
        <f t="shared" si="30"/>
        <v>2691723</v>
      </c>
      <c r="I48" s="676">
        <f t="shared" si="30"/>
        <v>255869</v>
      </c>
      <c r="J48" s="676">
        <f t="shared" si="30"/>
        <v>2947592</v>
      </c>
      <c r="K48" s="727" t="s">
        <v>728</v>
      </c>
      <c r="L48" s="676">
        <f t="shared" ref="L48:T48" si="31">L37+L39+L41+L43+L47</f>
        <v>0</v>
      </c>
      <c r="M48" s="676">
        <f t="shared" si="31"/>
        <v>0</v>
      </c>
      <c r="N48" s="676">
        <f t="shared" si="31"/>
        <v>0</v>
      </c>
      <c r="O48" s="676">
        <f t="shared" si="31"/>
        <v>5070</v>
      </c>
      <c r="P48" s="676">
        <f t="shared" si="31"/>
        <v>0</v>
      </c>
      <c r="Q48" s="676">
        <f t="shared" si="31"/>
        <v>5070</v>
      </c>
      <c r="R48" s="676">
        <f t="shared" si="31"/>
        <v>10798091</v>
      </c>
      <c r="S48" s="676">
        <f t="shared" si="31"/>
        <v>331538</v>
      </c>
      <c r="T48" s="676">
        <f t="shared" si="31"/>
        <v>11129629</v>
      </c>
      <c r="U48" s="727" t="s">
        <v>728</v>
      </c>
      <c r="V48" s="676">
        <f t="shared" ref="V48:AJ48" si="32">V37+V39+V41+V43+V47</f>
        <v>347450</v>
      </c>
      <c r="W48" s="676">
        <f t="shared" si="32"/>
        <v>45488</v>
      </c>
      <c r="X48" s="676">
        <f t="shared" si="32"/>
        <v>392938</v>
      </c>
      <c r="Y48" s="676">
        <f t="shared" si="32"/>
        <v>131983</v>
      </c>
      <c r="Z48" s="676">
        <f t="shared" si="32"/>
        <v>12466</v>
      </c>
      <c r="AA48" s="676">
        <f t="shared" si="32"/>
        <v>144449</v>
      </c>
      <c r="AB48" s="676">
        <f t="shared" si="32"/>
        <v>0</v>
      </c>
      <c r="AC48" s="676">
        <f t="shared" si="32"/>
        <v>0</v>
      </c>
      <c r="AD48" s="676">
        <f t="shared" si="32"/>
        <v>0</v>
      </c>
      <c r="AE48" s="676">
        <f t="shared" si="32"/>
        <v>479433</v>
      </c>
      <c r="AF48" s="676">
        <f t="shared" si="32"/>
        <v>57954</v>
      </c>
      <c r="AG48" s="676">
        <f t="shared" si="32"/>
        <v>537387</v>
      </c>
      <c r="AH48" s="676">
        <f t="shared" si="32"/>
        <v>11277524</v>
      </c>
      <c r="AI48" s="676">
        <f t="shared" si="32"/>
        <v>389492</v>
      </c>
      <c r="AJ48" s="676">
        <f t="shared" si="32"/>
        <v>11667016</v>
      </c>
    </row>
    <row r="49" spans="1:36" s="718" customFormat="1" ht="61.5" customHeight="1" thickBot="1" x14ac:dyDescent="0.75">
      <c r="A49" s="712" t="s">
        <v>729</v>
      </c>
      <c r="B49" s="678">
        <f t="shared" ref="B49:J49" si="33">B30+B48</f>
        <v>10013747</v>
      </c>
      <c r="C49" s="678">
        <f t="shared" si="33"/>
        <v>55441</v>
      </c>
      <c r="D49" s="678">
        <f t="shared" si="33"/>
        <v>10069188</v>
      </c>
      <c r="E49" s="678">
        <f t="shared" si="33"/>
        <v>1451254</v>
      </c>
      <c r="F49" s="678">
        <f t="shared" si="33"/>
        <v>-3452</v>
      </c>
      <c r="G49" s="678">
        <f t="shared" si="33"/>
        <v>1447802</v>
      </c>
      <c r="H49" s="678">
        <f t="shared" si="33"/>
        <v>4763930</v>
      </c>
      <c r="I49" s="678">
        <f t="shared" si="33"/>
        <v>257210</v>
      </c>
      <c r="J49" s="678">
        <f t="shared" si="33"/>
        <v>5021140</v>
      </c>
      <c r="K49" s="712" t="s">
        <v>729</v>
      </c>
      <c r="L49" s="678">
        <f t="shared" ref="L49:T49" si="34">L30+L48</f>
        <v>0</v>
      </c>
      <c r="M49" s="678">
        <f t="shared" si="34"/>
        <v>0</v>
      </c>
      <c r="N49" s="678">
        <f t="shared" si="34"/>
        <v>0</v>
      </c>
      <c r="O49" s="678">
        <f t="shared" si="34"/>
        <v>5070</v>
      </c>
      <c r="P49" s="678">
        <f t="shared" si="34"/>
        <v>0</v>
      </c>
      <c r="Q49" s="678">
        <f t="shared" si="34"/>
        <v>5070</v>
      </c>
      <c r="R49" s="678">
        <f t="shared" si="34"/>
        <v>16234001</v>
      </c>
      <c r="S49" s="678">
        <f t="shared" si="34"/>
        <v>309199</v>
      </c>
      <c r="T49" s="678">
        <f t="shared" si="34"/>
        <v>16543200</v>
      </c>
      <c r="U49" s="712" t="s">
        <v>729</v>
      </c>
      <c r="V49" s="678">
        <f t="shared" ref="V49:AJ49" si="35">V30+V48</f>
        <v>423953</v>
      </c>
      <c r="W49" s="678">
        <f t="shared" si="35"/>
        <v>39629</v>
      </c>
      <c r="X49" s="678">
        <f t="shared" si="35"/>
        <v>463582</v>
      </c>
      <c r="Y49" s="678">
        <f t="shared" si="35"/>
        <v>164335</v>
      </c>
      <c r="Z49" s="678">
        <f t="shared" si="35"/>
        <v>50044</v>
      </c>
      <c r="AA49" s="678">
        <f t="shared" si="35"/>
        <v>214379</v>
      </c>
      <c r="AB49" s="678">
        <f t="shared" si="35"/>
        <v>0</v>
      </c>
      <c r="AC49" s="678">
        <f t="shared" si="35"/>
        <v>0</v>
      </c>
      <c r="AD49" s="678">
        <f t="shared" si="35"/>
        <v>0</v>
      </c>
      <c r="AE49" s="678">
        <f t="shared" si="35"/>
        <v>588288</v>
      </c>
      <c r="AF49" s="678">
        <f t="shared" si="35"/>
        <v>89673</v>
      </c>
      <c r="AG49" s="678">
        <f t="shared" si="35"/>
        <v>677961</v>
      </c>
      <c r="AH49" s="678">
        <f t="shared" si="35"/>
        <v>16822289</v>
      </c>
      <c r="AI49" s="678">
        <f t="shared" si="35"/>
        <v>398872</v>
      </c>
      <c r="AJ49" s="678">
        <f t="shared" si="35"/>
        <v>17221161</v>
      </c>
    </row>
    <row r="50" spans="1:36" ht="26.45" customHeight="1" x14ac:dyDescent="0.6">
      <c r="A50" s="715"/>
      <c r="K50" s="715"/>
      <c r="U50" s="715"/>
    </row>
    <row r="51" spans="1:36" ht="26.45" customHeight="1" x14ac:dyDescent="0.6">
      <c r="A51" s="715"/>
      <c r="K51" s="715"/>
      <c r="U51" s="715"/>
    </row>
    <row r="52" spans="1:36" ht="26.45" customHeight="1" x14ac:dyDescent="0.6">
      <c r="A52" s="715"/>
      <c r="K52" s="715"/>
      <c r="U52" s="715"/>
    </row>
    <row r="53" spans="1:36" ht="26.45" customHeight="1" x14ac:dyDescent="0.6">
      <c r="A53" s="715"/>
      <c r="K53" s="715"/>
      <c r="U53" s="715"/>
    </row>
    <row r="54" spans="1:36" ht="26.45" customHeight="1" x14ac:dyDescent="0.6">
      <c r="A54" s="715"/>
      <c r="K54" s="715"/>
      <c r="U54" s="715"/>
    </row>
  </sheetData>
  <mergeCells count="20">
    <mergeCell ref="A5:A6"/>
    <mergeCell ref="B5:D7"/>
    <mergeCell ref="E5:G7"/>
    <mergeCell ref="H5:J7"/>
    <mergeCell ref="K5:K6"/>
    <mergeCell ref="L5:N7"/>
    <mergeCell ref="B2:J2"/>
    <mergeCell ref="L2:T2"/>
    <mergeCell ref="V2:AJ2"/>
    <mergeCell ref="B3:J3"/>
    <mergeCell ref="L3:T3"/>
    <mergeCell ref="V3:AJ3"/>
    <mergeCell ref="AE5:AG7"/>
    <mergeCell ref="AH5:AJ7"/>
    <mergeCell ref="O5:Q7"/>
    <mergeCell ref="R5:T7"/>
    <mergeCell ref="U5:U6"/>
    <mergeCell ref="V5:X7"/>
    <mergeCell ref="Y5:AA7"/>
    <mergeCell ref="AB5:AD7"/>
  </mergeCells>
  <printOptions horizontalCentered="1" verticalCentered="1"/>
  <pageMargins left="0" right="0" top="0" bottom="0.59055118110236227" header="0" footer="0"/>
  <pageSetup paperSize="9" scale="18" orientation="landscape" r:id="rId1"/>
  <headerFooter alignWithMargins="0">
    <oddHeader>&amp;L&amp;14
&amp;F &amp;A&amp;R&amp;"-,Félkövér"&amp;36
 6.  melléklet az 1/2025.(I.31.) önkormányzati rendelethez
"6. melléklet a 8/2024.(III.5.) önkormányzati rendelethez"</oddHeader>
    <oddFooter xml:space="preserve">&amp;C &amp;R
&amp;36 &amp;10
</oddFooter>
  </headerFooter>
  <colBreaks count="2" manualBreakCount="2">
    <brk id="10" max="50" man="1"/>
    <brk id="20" max="5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2"/>
  <sheetViews>
    <sheetView view="pageLayout" topLeftCell="W1" zoomScaleNormal="40" zoomScaleSheetLayoutView="50" workbookViewId="0">
      <selection activeCell="AB8" sqref="AB8"/>
    </sheetView>
  </sheetViews>
  <sheetFormatPr defaultColWidth="12" defaultRowHeight="33.75" x14ac:dyDescent="0.5"/>
  <cols>
    <col min="1" max="1" width="151" style="729" customWidth="1"/>
    <col min="2" max="2" width="60.83203125" style="733" customWidth="1"/>
    <col min="3" max="3" width="50.1640625" style="733" customWidth="1"/>
    <col min="4" max="4" width="45.33203125" style="733" customWidth="1"/>
    <col min="5" max="5" width="45.1640625" style="733" customWidth="1"/>
    <col min="6" max="6" width="60.83203125" style="733" customWidth="1"/>
    <col min="7" max="7" width="50.1640625" style="733" customWidth="1"/>
    <col min="8" max="8" width="60.83203125" style="733" customWidth="1"/>
    <col min="9" max="9" width="61" style="733" customWidth="1"/>
    <col min="10" max="11" width="45.1640625" style="733" customWidth="1"/>
    <col min="12" max="12" width="61" style="733" customWidth="1"/>
    <col min="13" max="13" width="50" style="733" customWidth="1"/>
    <col min="14" max="14" width="58.1640625" style="733" customWidth="1"/>
    <col min="15" max="15" width="52.83203125" style="733" customWidth="1"/>
    <col min="16" max="16" width="12" style="733" customWidth="1"/>
    <col min="17" max="17" width="22.5" style="734" customWidth="1"/>
    <col min="18" max="255" width="12" style="733"/>
    <col min="256" max="256" width="151" style="733" customWidth="1"/>
    <col min="257" max="257" width="60.83203125" style="733" customWidth="1"/>
    <col min="258" max="258" width="50.1640625" style="733" customWidth="1"/>
    <col min="259" max="259" width="45.33203125" style="733" customWidth="1"/>
    <col min="260" max="260" width="45.1640625" style="733" customWidth="1"/>
    <col min="261" max="261" width="60.83203125" style="733" customWidth="1"/>
    <col min="262" max="262" width="50.1640625" style="733" customWidth="1"/>
    <col min="263" max="263" width="60.83203125" style="733" customWidth="1"/>
    <col min="264" max="264" width="61" style="733" customWidth="1"/>
    <col min="265" max="266" width="45.1640625" style="733" customWidth="1"/>
    <col min="267" max="267" width="61" style="733" customWidth="1"/>
    <col min="268" max="268" width="50" style="733" customWidth="1"/>
    <col min="269" max="269" width="58.1640625" style="733" customWidth="1"/>
    <col min="270" max="270" width="52.83203125" style="733" customWidth="1"/>
    <col min="271" max="271" width="151" style="733" customWidth="1"/>
    <col min="272" max="272" width="12" style="733" customWidth="1"/>
    <col min="273" max="273" width="22.5" style="733" customWidth="1"/>
    <col min="274" max="511" width="12" style="733"/>
    <col min="512" max="512" width="151" style="733" customWidth="1"/>
    <col min="513" max="513" width="60.83203125" style="733" customWidth="1"/>
    <col min="514" max="514" width="50.1640625" style="733" customWidth="1"/>
    <col min="515" max="515" width="45.33203125" style="733" customWidth="1"/>
    <col min="516" max="516" width="45.1640625" style="733" customWidth="1"/>
    <col min="517" max="517" width="60.83203125" style="733" customWidth="1"/>
    <col min="518" max="518" width="50.1640625" style="733" customWidth="1"/>
    <col min="519" max="519" width="60.83203125" style="733" customWidth="1"/>
    <col min="520" max="520" width="61" style="733" customWidth="1"/>
    <col min="521" max="522" width="45.1640625" style="733" customWidth="1"/>
    <col min="523" max="523" width="61" style="733" customWidth="1"/>
    <col min="524" max="524" width="50" style="733" customWidth="1"/>
    <col min="525" max="525" width="58.1640625" style="733" customWidth="1"/>
    <col min="526" max="526" width="52.83203125" style="733" customWidth="1"/>
    <col min="527" max="527" width="151" style="733" customWidth="1"/>
    <col min="528" max="528" width="12" style="733" customWidth="1"/>
    <col min="529" max="529" width="22.5" style="733" customWidth="1"/>
    <col min="530" max="767" width="12" style="733"/>
    <col min="768" max="768" width="151" style="733" customWidth="1"/>
    <col min="769" max="769" width="60.83203125" style="733" customWidth="1"/>
    <col min="770" max="770" width="50.1640625" style="733" customWidth="1"/>
    <col min="771" max="771" width="45.33203125" style="733" customWidth="1"/>
    <col min="772" max="772" width="45.1640625" style="733" customWidth="1"/>
    <col min="773" max="773" width="60.83203125" style="733" customWidth="1"/>
    <col min="774" max="774" width="50.1640625" style="733" customWidth="1"/>
    <col min="775" max="775" width="60.83203125" style="733" customWidth="1"/>
    <col min="776" max="776" width="61" style="733" customWidth="1"/>
    <col min="777" max="778" width="45.1640625" style="733" customWidth="1"/>
    <col min="779" max="779" width="61" style="733" customWidth="1"/>
    <col min="780" max="780" width="50" style="733" customWidth="1"/>
    <col min="781" max="781" width="58.1640625" style="733" customWidth="1"/>
    <col min="782" max="782" width="52.83203125" style="733" customWidth="1"/>
    <col min="783" max="783" width="151" style="733" customWidth="1"/>
    <col min="784" max="784" width="12" style="733" customWidth="1"/>
    <col min="785" max="785" width="22.5" style="733" customWidth="1"/>
    <col min="786" max="1023" width="12" style="733"/>
    <col min="1024" max="1024" width="151" style="733" customWidth="1"/>
    <col min="1025" max="1025" width="60.83203125" style="733" customWidth="1"/>
    <col min="1026" max="1026" width="50.1640625" style="733" customWidth="1"/>
    <col min="1027" max="1027" width="45.33203125" style="733" customWidth="1"/>
    <col min="1028" max="1028" width="45.1640625" style="733" customWidth="1"/>
    <col min="1029" max="1029" width="60.83203125" style="733" customWidth="1"/>
    <col min="1030" max="1030" width="50.1640625" style="733" customWidth="1"/>
    <col min="1031" max="1031" width="60.83203125" style="733" customWidth="1"/>
    <col min="1032" max="1032" width="61" style="733" customWidth="1"/>
    <col min="1033" max="1034" width="45.1640625" style="733" customWidth="1"/>
    <col min="1035" max="1035" width="61" style="733" customWidth="1"/>
    <col min="1036" max="1036" width="50" style="733" customWidth="1"/>
    <col min="1037" max="1037" width="58.1640625" style="733" customWidth="1"/>
    <col min="1038" max="1038" width="52.83203125" style="733" customWidth="1"/>
    <col min="1039" max="1039" width="151" style="733" customWidth="1"/>
    <col min="1040" max="1040" width="12" style="733" customWidth="1"/>
    <col min="1041" max="1041" width="22.5" style="733" customWidth="1"/>
    <col min="1042" max="1279" width="12" style="733"/>
    <col min="1280" max="1280" width="151" style="733" customWidth="1"/>
    <col min="1281" max="1281" width="60.83203125" style="733" customWidth="1"/>
    <col min="1282" max="1282" width="50.1640625" style="733" customWidth="1"/>
    <col min="1283" max="1283" width="45.33203125" style="733" customWidth="1"/>
    <col min="1284" max="1284" width="45.1640625" style="733" customWidth="1"/>
    <col min="1285" max="1285" width="60.83203125" style="733" customWidth="1"/>
    <col min="1286" max="1286" width="50.1640625" style="733" customWidth="1"/>
    <col min="1287" max="1287" width="60.83203125" style="733" customWidth="1"/>
    <col min="1288" max="1288" width="61" style="733" customWidth="1"/>
    <col min="1289" max="1290" width="45.1640625" style="733" customWidth="1"/>
    <col min="1291" max="1291" width="61" style="733" customWidth="1"/>
    <col min="1292" max="1292" width="50" style="733" customWidth="1"/>
    <col min="1293" max="1293" width="58.1640625" style="733" customWidth="1"/>
    <col min="1294" max="1294" width="52.83203125" style="733" customWidth="1"/>
    <col min="1295" max="1295" width="151" style="733" customWidth="1"/>
    <col min="1296" max="1296" width="12" style="733" customWidth="1"/>
    <col min="1297" max="1297" width="22.5" style="733" customWidth="1"/>
    <col min="1298" max="1535" width="12" style="733"/>
    <col min="1536" max="1536" width="151" style="733" customWidth="1"/>
    <col min="1537" max="1537" width="60.83203125" style="733" customWidth="1"/>
    <col min="1538" max="1538" width="50.1640625" style="733" customWidth="1"/>
    <col min="1539" max="1539" width="45.33203125" style="733" customWidth="1"/>
    <col min="1540" max="1540" width="45.1640625" style="733" customWidth="1"/>
    <col min="1541" max="1541" width="60.83203125" style="733" customWidth="1"/>
    <col min="1542" max="1542" width="50.1640625" style="733" customWidth="1"/>
    <col min="1543" max="1543" width="60.83203125" style="733" customWidth="1"/>
    <col min="1544" max="1544" width="61" style="733" customWidth="1"/>
    <col min="1545" max="1546" width="45.1640625" style="733" customWidth="1"/>
    <col min="1547" max="1547" width="61" style="733" customWidth="1"/>
    <col min="1548" max="1548" width="50" style="733" customWidth="1"/>
    <col min="1549" max="1549" width="58.1640625" style="733" customWidth="1"/>
    <col min="1550" max="1550" width="52.83203125" style="733" customWidth="1"/>
    <col min="1551" max="1551" width="151" style="733" customWidth="1"/>
    <col min="1552" max="1552" width="12" style="733" customWidth="1"/>
    <col min="1553" max="1553" width="22.5" style="733" customWidth="1"/>
    <col min="1554" max="1791" width="12" style="733"/>
    <col min="1792" max="1792" width="151" style="733" customWidth="1"/>
    <col min="1793" max="1793" width="60.83203125" style="733" customWidth="1"/>
    <col min="1794" max="1794" width="50.1640625" style="733" customWidth="1"/>
    <col min="1795" max="1795" width="45.33203125" style="733" customWidth="1"/>
    <col min="1796" max="1796" width="45.1640625" style="733" customWidth="1"/>
    <col min="1797" max="1797" width="60.83203125" style="733" customWidth="1"/>
    <col min="1798" max="1798" width="50.1640625" style="733" customWidth="1"/>
    <col min="1799" max="1799" width="60.83203125" style="733" customWidth="1"/>
    <col min="1800" max="1800" width="61" style="733" customWidth="1"/>
    <col min="1801" max="1802" width="45.1640625" style="733" customWidth="1"/>
    <col min="1803" max="1803" width="61" style="733" customWidth="1"/>
    <col min="1804" max="1804" width="50" style="733" customWidth="1"/>
    <col min="1805" max="1805" width="58.1640625" style="733" customWidth="1"/>
    <col min="1806" max="1806" width="52.83203125" style="733" customWidth="1"/>
    <col min="1807" max="1807" width="151" style="733" customWidth="1"/>
    <col min="1808" max="1808" width="12" style="733" customWidth="1"/>
    <col min="1809" max="1809" width="22.5" style="733" customWidth="1"/>
    <col min="1810" max="2047" width="12" style="733"/>
    <col min="2048" max="2048" width="151" style="733" customWidth="1"/>
    <col min="2049" max="2049" width="60.83203125" style="733" customWidth="1"/>
    <col min="2050" max="2050" width="50.1640625" style="733" customWidth="1"/>
    <col min="2051" max="2051" width="45.33203125" style="733" customWidth="1"/>
    <col min="2052" max="2052" width="45.1640625" style="733" customWidth="1"/>
    <col min="2053" max="2053" width="60.83203125" style="733" customWidth="1"/>
    <col min="2054" max="2054" width="50.1640625" style="733" customWidth="1"/>
    <col min="2055" max="2055" width="60.83203125" style="733" customWidth="1"/>
    <col min="2056" max="2056" width="61" style="733" customWidth="1"/>
    <col min="2057" max="2058" width="45.1640625" style="733" customWidth="1"/>
    <col min="2059" max="2059" width="61" style="733" customWidth="1"/>
    <col min="2060" max="2060" width="50" style="733" customWidth="1"/>
    <col min="2061" max="2061" width="58.1640625" style="733" customWidth="1"/>
    <col min="2062" max="2062" width="52.83203125" style="733" customWidth="1"/>
    <col min="2063" max="2063" width="151" style="733" customWidth="1"/>
    <col min="2064" max="2064" width="12" style="733" customWidth="1"/>
    <col min="2065" max="2065" width="22.5" style="733" customWidth="1"/>
    <col min="2066" max="2303" width="12" style="733"/>
    <col min="2304" max="2304" width="151" style="733" customWidth="1"/>
    <col min="2305" max="2305" width="60.83203125" style="733" customWidth="1"/>
    <col min="2306" max="2306" width="50.1640625" style="733" customWidth="1"/>
    <col min="2307" max="2307" width="45.33203125" style="733" customWidth="1"/>
    <col min="2308" max="2308" width="45.1640625" style="733" customWidth="1"/>
    <col min="2309" max="2309" width="60.83203125" style="733" customWidth="1"/>
    <col min="2310" max="2310" width="50.1640625" style="733" customWidth="1"/>
    <col min="2311" max="2311" width="60.83203125" style="733" customWidth="1"/>
    <col min="2312" max="2312" width="61" style="733" customWidth="1"/>
    <col min="2313" max="2314" width="45.1640625" style="733" customWidth="1"/>
    <col min="2315" max="2315" width="61" style="733" customWidth="1"/>
    <col min="2316" max="2316" width="50" style="733" customWidth="1"/>
    <col min="2317" max="2317" width="58.1640625" style="733" customWidth="1"/>
    <col min="2318" max="2318" width="52.83203125" style="733" customWidth="1"/>
    <col min="2319" max="2319" width="151" style="733" customWidth="1"/>
    <col min="2320" max="2320" width="12" style="733" customWidth="1"/>
    <col min="2321" max="2321" width="22.5" style="733" customWidth="1"/>
    <col min="2322" max="2559" width="12" style="733"/>
    <col min="2560" max="2560" width="151" style="733" customWidth="1"/>
    <col min="2561" max="2561" width="60.83203125" style="733" customWidth="1"/>
    <col min="2562" max="2562" width="50.1640625" style="733" customWidth="1"/>
    <col min="2563" max="2563" width="45.33203125" style="733" customWidth="1"/>
    <col min="2564" max="2564" width="45.1640625" style="733" customWidth="1"/>
    <col min="2565" max="2565" width="60.83203125" style="733" customWidth="1"/>
    <col min="2566" max="2566" width="50.1640625" style="733" customWidth="1"/>
    <col min="2567" max="2567" width="60.83203125" style="733" customWidth="1"/>
    <col min="2568" max="2568" width="61" style="733" customWidth="1"/>
    <col min="2569" max="2570" width="45.1640625" style="733" customWidth="1"/>
    <col min="2571" max="2571" width="61" style="733" customWidth="1"/>
    <col min="2572" max="2572" width="50" style="733" customWidth="1"/>
    <col min="2573" max="2573" width="58.1640625" style="733" customWidth="1"/>
    <col min="2574" max="2574" width="52.83203125" style="733" customWidth="1"/>
    <col min="2575" max="2575" width="151" style="733" customWidth="1"/>
    <col min="2576" max="2576" width="12" style="733" customWidth="1"/>
    <col min="2577" max="2577" width="22.5" style="733" customWidth="1"/>
    <col min="2578" max="2815" width="12" style="733"/>
    <col min="2816" max="2816" width="151" style="733" customWidth="1"/>
    <col min="2817" max="2817" width="60.83203125" style="733" customWidth="1"/>
    <col min="2818" max="2818" width="50.1640625" style="733" customWidth="1"/>
    <col min="2819" max="2819" width="45.33203125" style="733" customWidth="1"/>
    <col min="2820" max="2820" width="45.1640625" style="733" customWidth="1"/>
    <col min="2821" max="2821" width="60.83203125" style="733" customWidth="1"/>
    <col min="2822" max="2822" width="50.1640625" style="733" customWidth="1"/>
    <col min="2823" max="2823" width="60.83203125" style="733" customWidth="1"/>
    <col min="2824" max="2824" width="61" style="733" customWidth="1"/>
    <col min="2825" max="2826" width="45.1640625" style="733" customWidth="1"/>
    <col min="2827" max="2827" width="61" style="733" customWidth="1"/>
    <col min="2828" max="2828" width="50" style="733" customWidth="1"/>
    <col min="2829" max="2829" width="58.1640625" style="733" customWidth="1"/>
    <col min="2830" max="2830" width="52.83203125" style="733" customWidth="1"/>
    <col min="2831" max="2831" width="151" style="733" customWidth="1"/>
    <col min="2832" max="2832" width="12" style="733" customWidth="1"/>
    <col min="2833" max="2833" width="22.5" style="733" customWidth="1"/>
    <col min="2834" max="3071" width="12" style="733"/>
    <col min="3072" max="3072" width="151" style="733" customWidth="1"/>
    <col min="3073" max="3073" width="60.83203125" style="733" customWidth="1"/>
    <col min="3074" max="3074" width="50.1640625" style="733" customWidth="1"/>
    <col min="3075" max="3075" width="45.33203125" style="733" customWidth="1"/>
    <col min="3076" max="3076" width="45.1640625" style="733" customWidth="1"/>
    <col min="3077" max="3077" width="60.83203125" style="733" customWidth="1"/>
    <col min="3078" max="3078" width="50.1640625" style="733" customWidth="1"/>
    <col min="3079" max="3079" width="60.83203125" style="733" customWidth="1"/>
    <col min="3080" max="3080" width="61" style="733" customWidth="1"/>
    <col min="3081" max="3082" width="45.1640625" style="733" customWidth="1"/>
    <col min="3083" max="3083" width="61" style="733" customWidth="1"/>
    <col min="3084" max="3084" width="50" style="733" customWidth="1"/>
    <col min="3085" max="3085" width="58.1640625" style="733" customWidth="1"/>
    <col min="3086" max="3086" width="52.83203125" style="733" customWidth="1"/>
    <col min="3087" max="3087" width="151" style="733" customWidth="1"/>
    <col min="3088" max="3088" width="12" style="733" customWidth="1"/>
    <col min="3089" max="3089" width="22.5" style="733" customWidth="1"/>
    <col min="3090" max="3327" width="12" style="733"/>
    <col min="3328" max="3328" width="151" style="733" customWidth="1"/>
    <col min="3329" max="3329" width="60.83203125" style="733" customWidth="1"/>
    <col min="3330" max="3330" width="50.1640625" style="733" customWidth="1"/>
    <col min="3331" max="3331" width="45.33203125" style="733" customWidth="1"/>
    <col min="3332" max="3332" width="45.1640625" style="733" customWidth="1"/>
    <col min="3333" max="3333" width="60.83203125" style="733" customWidth="1"/>
    <col min="3334" max="3334" width="50.1640625" style="733" customWidth="1"/>
    <col min="3335" max="3335" width="60.83203125" style="733" customWidth="1"/>
    <col min="3336" max="3336" width="61" style="733" customWidth="1"/>
    <col min="3337" max="3338" width="45.1640625" style="733" customWidth="1"/>
    <col min="3339" max="3339" width="61" style="733" customWidth="1"/>
    <col min="3340" max="3340" width="50" style="733" customWidth="1"/>
    <col min="3341" max="3341" width="58.1640625" style="733" customWidth="1"/>
    <col min="3342" max="3342" width="52.83203125" style="733" customWidth="1"/>
    <col min="3343" max="3343" width="151" style="733" customWidth="1"/>
    <col min="3344" max="3344" width="12" style="733" customWidth="1"/>
    <col min="3345" max="3345" width="22.5" style="733" customWidth="1"/>
    <col min="3346" max="3583" width="12" style="733"/>
    <col min="3584" max="3584" width="151" style="733" customWidth="1"/>
    <col min="3585" max="3585" width="60.83203125" style="733" customWidth="1"/>
    <col min="3586" max="3586" width="50.1640625" style="733" customWidth="1"/>
    <col min="3587" max="3587" width="45.33203125" style="733" customWidth="1"/>
    <col min="3588" max="3588" width="45.1640625" style="733" customWidth="1"/>
    <col min="3589" max="3589" width="60.83203125" style="733" customWidth="1"/>
    <col min="3590" max="3590" width="50.1640625" style="733" customWidth="1"/>
    <col min="3591" max="3591" width="60.83203125" style="733" customWidth="1"/>
    <col min="3592" max="3592" width="61" style="733" customWidth="1"/>
    <col min="3593" max="3594" width="45.1640625" style="733" customWidth="1"/>
    <col min="3595" max="3595" width="61" style="733" customWidth="1"/>
    <col min="3596" max="3596" width="50" style="733" customWidth="1"/>
    <col min="3597" max="3597" width="58.1640625" style="733" customWidth="1"/>
    <col min="3598" max="3598" width="52.83203125" style="733" customWidth="1"/>
    <col min="3599" max="3599" width="151" style="733" customWidth="1"/>
    <col min="3600" max="3600" width="12" style="733" customWidth="1"/>
    <col min="3601" max="3601" width="22.5" style="733" customWidth="1"/>
    <col min="3602" max="3839" width="12" style="733"/>
    <col min="3840" max="3840" width="151" style="733" customWidth="1"/>
    <col min="3841" max="3841" width="60.83203125" style="733" customWidth="1"/>
    <col min="3842" max="3842" width="50.1640625" style="733" customWidth="1"/>
    <col min="3843" max="3843" width="45.33203125" style="733" customWidth="1"/>
    <col min="3844" max="3844" width="45.1640625" style="733" customWidth="1"/>
    <col min="3845" max="3845" width="60.83203125" style="733" customWidth="1"/>
    <col min="3846" max="3846" width="50.1640625" style="733" customWidth="1"/>
    <col min="3847" max="3847" width="60.83203125" style="733" customWidth="1"/>
    <col min="3848" max="3848" width="61" style="733" customWidth="1"/>
    <col min="3849" max="3850" width="45.1640625" style="733" customWidth="1"/>
    <col min="3851" max="3851" width="61" style="733" customWidth="1"/>
    <col min="3852" max="3852" width="50" style="733" customWidth="1"/>
    <col min="3853" max="3853" width="58.1640625" style="733" customWidth="1"/>
    <col min="3854" max="3854" width="52.83203125" style="733" customWidth="1"/>
    <col min="3855" max="3855" width="151" style="733" customWidth="1"/>
    <col min="3856" max="3856" width="12" style="733" customWidth="1"/>
    <col min="3857" max="3857" width="22.5" style="733" customWidth="1"/>
    <col min="3858" max="4095" width="12" style="733"/>
    <col min="4096" max="4096" width="151" style="733" customWidth="1"/>
    <col min="4097" max="4097" width="60.83203125" style="733" customWidth="1"/>
    <col min="4098" max="4098" width="50.1640625" style="733" customWidth="1"/>
    <col min="4099" max="4099" width="45.33203125" style="733" customWidth="1"/>
    <col min="4100" max="4100" width="45.1640625" style="733" customWidth="1"/>
    <col min="4101" max="4101" width="60.83203125" style="733" customWidth="1"/>
    <col min="4102" max="4102" width="50.1640625" style="733" customWidth="1"/>
    <col min="4103" max="4103" width="60.83203125" style="733" customWidth="1"/>
    <col min="4104" max="4104" width="61" style="733" customWidth="1"/>
    <col min="4105" max="4106" width="45.1640625" style="733" customWidth="1"/>
    <col min="4107" max="4107" width="61" style="733" customWidth="1"/>
    <col min="4108" max="4108" width="50" style="733" customWidth="1"/>
    <col min="4109" max="4109" width="58.1640625" style="733" customWidth="1"/>
    <col min="4110" max="4110" width="52.83203125" style="733" customWidth="1"/>
    <col min="4111" max="4111" width="151" style="733" customWidth="1"/>
    <col min="4112" max="4112" width="12" style="733" customWidth="1"/>
    <col min="4113" max="4113" width="22.5" style="733" customWidth="1"/>
    <col min="4114" max="4351" width="12" style="733"/>
    <col min="4352" max="4352" width="151" style="733" customWidth="1"/>
    <col min="4353" max="4353" width="60.83203125" style="733" customWidth="1"/>
    <col min="4354" max="4354" width="50.1640625" style="733" customWidth="1"/>
    <col min="4355" max="4355" width="45.33203125" style="733" customWidth="1"/>
    <col min="4356" max="4356" width="45.1640625" style="733" customWidth="1"/>
    <col min="4357" max="4357" width="60.83203125" style="733" customWidth="1"/>
    <col min="4358" max="4358" width="50.1640625" style="733" customWidth="1"/>
    <col min="4359" max="4359" width="60.83203125" style="733" customWidth="1"/>
    <col min="4360" max="4360" width="61" style="733" customWidth="1"/>
    <col min="4361" max="4362" width="45.1640625" style="733" customWidth="1"/>
    <col min="4363" max="4363" width="61" style="733" customWidth="1"/>
    <col min="4364" max="4364" width="50" style="733" customWidth="1"/>
    <col min="4365" max="4365" width="58.1640625" style="733" customWidth="1"/>
    <col min="4366" max="4366" width="52.83203125" style="733" customWidth="1"/>
    <col min="4367" max="4367" width="151" style="733" customWidth="1"/>
    <col min="4368" max="4368" width="12" style="733" customWidth="1"/>
    <col min="4369" max="4369" width="22.5" style="733" customWidth="1"/>
    <col min="4370" max="4607" width="12" style="733"/>
    <col min="4608" max="4608" width="151" style="733" customWidth="1"/>
    <col min="4609" max="4609" width="60.83203125" style="733" customWidth="1"/>
    <col min="4610" max="4610" width="50.1640625" style="733" customWidth="1"/>
    <col min="4611" max="4611" width="45.33203125" style="733" customWidth="1"/>
    <col min="4612" max="4612" width="45.1640625" style="733" customWidth="1"/>
    <col min="4613" max="4613" width="60.83203125" style="733" customWidth="1"/>
    <col min="4614" max="4614" width="50.1640625" style="733" customWidth="1"/>
    <col min="4615" max="4615" width="60.83203125" style="733" customWidth="1"/>
    <col min="4616" max="4616" width="61" style="733" customWidth="1"/>
    <col min="4617" max="4618" width="45.1640625" style="733" customWidth="1"/>
    <col min="4619" max="4619" width="61" style="733" customWidth="1"/>
    <col min="4620" max="4620" width="50" style="733" customWidth="1"/>
    <col min="4621" max="4621" width="58.1640625" style="733" customWidth="1"/>
    <col min="4622" max="4622" width="52.83203125" style="733" customWidth="1"/>
    <col min="4623" max="4623" width="151" style="733" customWidth="1"/>
    <col min="4624" max="4624" width="12" style="733" customWidth="1"/>
    <col min="4625" max="4625" width="22.5" style="733" customWidth="1"/>
    <col min="4626" max="4863" width="12" style="733"/>
    <col min="4864" max="4864" width="151" style="733" customWidth="1"/>
    <col min="4865" max="4865" width="60.83203125" style="733" customWidth="1"/>
    <col min="4866" max="4866" width="50.1640625" style="733" customWidth="1"/>
    <col min="4867" max="4867" width="45.33203125" style="733" customWidth="1"/>
    <col min="4868" max="4868" width="45.1640625" style="733" customWidth="1"/>
    <col min="4869" max="4869" width="60.83203125" style="733" customWidth="1"/>
    <col min="4870" max="4870" width="50.1640625" style="733" customWidth="1"/>
    <col min="4871" max="4871" width="60.83203125" style="733" customWidth="1"/>
    <col min="4872" max="4872" width="61" style="733" customWidth="1"/>
    <col min="4873" max="4874" width="45.1640625" style="733" customWidth="1"/>
    <col min="4875" max="4875" width="61" style="733" customWidth="1"/>
    <col min="4876" max="4876" width="50" style="733" customWidth="1"/>
    <col min="4877" max="4877" width="58.1640625" style="733" customWidth="1"/>
    <col min="4878" max="4878" width="52.83203125" style="733" customWidth="1"/>
    <col min="4879" max="4879" width="151" style="733" customWidth="1"/>
    <col min="4880" max="4880" width="12" style="733" customWidth="1"/>
    <col min="4881" max="4881" width="22.5" style="733" customWidth="1"/>
    <col min="4882" max="5119" width="12" style="733"/>
    <col min="5120" max="5120" width="151" style="733" customWidth="1"/>
    <col min="5121" max="5121" width="60.83203125" style="733" customWidth="1"/>
    <col min="5122" max="5122" width="50.1640625" style="733" customWidth="1"/>
    <col min="5123" max="5123" width="45.33203125" style="733" customWidth="1"/>
    <col min="5124" max="5124" width="45.1640625" style="733" customWidth="1"/>
    <col min="5125" max="5125" width="60.83203125" style="733" customWidth="1"/>
    <col min="5126" max="5126" width="50.1640625" style="733" customWidth="1"/>
    <col min="5127" max="5127" width="60.83203125" style="733" customWidth="1"/>
    <col min="5128" max="5128" width="61" style="733" customWidth="1"/>
    <col min="5129" max="5130" width="45.1640625" style="733" customWidth="1"/>
    <col min="5131" max="5131" width="61" style="733" customWidth="1"/>
    <col min="5132" max="5132" width="50" style="733" customWidth="1"/>
    <col min="5133" max="5133" width="58.1640625" style="733" customWidth="1"/>
    <col min="5134" max="5134" width="52.83203125" style="733" customWidth="1"/>
    <col min="5135" max="5135" width="151" style="733" customWidth="1"/>
    <col min="5136" max="5136" width="12" style="733" customWidth="1"/>
    <col min="5137" max="5137" width="22.5" style="733" customWidth="1"/>
    <col min="5138" max="5375" width="12" style="733"/>
    <col min="5376" max="5376" width="151" style="733" customWidth="1"/>
    <col min="5377" max="5377" width="60.83203125" style="733" customWidth="1"/>
    <col min="5378" max="5378" width="50.1640625" style="733" customWidth="1"/>
    <col min="5379" max="5379" width="45.33203125" style="733" customWidth="1"/>
    <col min="5380" max="5380" width="45.1640625" style="733" customWidth="1"/>
    <col min="5381" max="5381" width="60.83203125" style="733" customWidth="1"/>
    <col min="5382" max="5382" width="50.1640625" style="733" customWidth="1"/>
    <col min="5383" max="5383" width="60.83203125" style="733" customWidth="1"/>
    <col min="5384" max="5384" width="61" style="733" customWidth="1"/>
    <col min="5385" max="5386" width="45.1640625" style="733" customWidth="1"/>
    <col min="5387" max="5387" width="61" style="733" customWidth="1"/>
    <col min="5388" max="5388" width="50" style="733" customWidth="1"/>
    <col min="5389" max="5389" width="58.1640625" style="733" customWidth="1"/>
    <col min="5390" max="5390" width="52.83203125" style="733" customWidth="1"/>
    <col min="5391" max="5391" width="151" style="733" customWidth="1"/>
    <col min="5392" max="5392" width="12" style="733" customWidth="1"/>
    <col min="5393" max="5393" width="22.5" style="733" customWidth="1"/>
    <col min="5394" max="5631" width="12" style="733"/>
    <col min="5632" max="5632" width="151" style="733" customWidth="1"/>
    <col min="5633" max="5633" width="60.83203125" style="733" customWidth="1"/>
    <col min="5634" max="5634" width="50.1640625" style="733" customWidth="1"/>
    <col min="5635" max="5635" width="45.33203125" style="733" customWidth="1"/>
    <col min="5636" max="5636" width="45.1640625" style="733" customWidth="1"/>
    <col min="5637" max="5637" width="60.83203125" style="733" customWidth="1"/>
    <col min="5638" max="5638" width="50.1640625" style="733" customWidth="1"/>
    <col min="5639" max="5639" width="60.83203125" style="733" customWidth="1"/>
    <col min="5640" max="5640" width="61" style="733" customWidth="1"/>
    <col min="5641" max="5642" width="45.1640625" style="733" customWidth="1"/>
    <col min="5643" max="5643" width="61" style="733" customWidth="1"/>
    <col min="5644" max="5644" width="50" style="733" customWidth="1"/>
    <col min="5645" max="5645" width="58.1640625" style="733" customWidth="1"/>
    <col min="5646" max="5646" width="52.83203125" style="733" customWidth="1"/>
    <col min="5647" max="5647" width="151" style="733" customWidth="1"/>
    <col min="5648" max="5648" width="12" style="733" customWidth="1"/>
    <col min="5649" max="5649" width="22.5" style="733" customWidth="1"/>
    <col min="5650" max="5887" width="12" style="733"/>
    <col min="5888" max="5888" width="151" style="733" customWidth="1"/>
    <col min="5889" max="5889" width="60.83203125" style="733" customWidth="1"/>
    <col min="5890" max="5890" width="50.1640625" style="733" customWidth="1"/>
    <col min="5891" max="5891" width="45.33203125" style="733" customWidth="1"/>
    <col min="5892" max="5892" width="45.1640625" style="733" customWidth="1"/>
    <col min="5893" max="5893" width="60.83203125" style="733" customWidth="1"/>
    <col min="5894" max="5894" width="50.1640625" style="733" customWidth="1"/>
    <col min="5895" max="5895" width="60.83203125" style="733" customWidth="1"/>
    <col min="5896" max="5896" width="61" style="733" customWidth="1"/>
    <col min="5897" max="5898" width="45.1640625" style="733" customWidth="1"/>
    <col min="5899" max="5899" width="61" style="733" customWidth="1"/>
    <col min="5900" max="5900" width="50" style="733" customWidth="1"/>
    <col min="5901" max="5901" width="58.1640625" style="733" customWidth="1"/>
    <col min="5902" max="5902" width="52.83203125" style="733" customWidth="1"/>
    <col min="5903" max="5903" width="151" style="733" customWidth="1"/>
    <col min="5904" max="5904" width="12" style="733" customWidth="1"/>
    <col min="5905" max="5905" width="22.5" style="733" customWidth="1"/>
    <col min="5906" max="6143" width="12" style="733"/>
    <col min="6144" max="6144" width="151" style="733" customWidth="1"/>
    <col min="6145" max="6145" width="60.83203125" style="733" customWidth="1"/>
    <col min="6146" max="6146" width="50.1640625" style="733" customWidth="1"/>
    <col min="6147" max="6147" width="45.33203125" style="733" customWidth="1"/>
    <col min="6148" max="6148" width="45.1640625" style="733" customWidth="1"/>
    <col min="6149" max="6149" width="60.83203125" style="733" customWidth="1"/>
    <col min="6150" max="6150" width="50.1640625" style="733" customWidth="1"/>
    <col min="6151" max="6151" width="60.83203125" style="733" customWidth="1"/>
    <col min="6152" max="6152" width="61" style="733" customWidth="1"/>
    <col min="6153" max="6154" width="45.1640625" style="733" customWidth="1"/>
    <col min="6155" max="6155" width="61" style="733" customWidth="1"/>
    <col min="6156" max="6156" width="50" style="733" customWidth="1"/>
    <col min="6157" max="6157" width="58.1640625" style="733" customWidth="1"/>
    <col min="6158" max="6158" width="52.83203125" style="733" customWidth="1"/>
    <col min="6159" max="6159" width="151" style="733" customWidth="1"/>
    <col min="6160" max="6160" width="12" style="733" customWidth="1"/>
    <col min="6161" max="6161" width="22.5" style="733" customWidth="1"/>
    <col min="6162" max="6399" width="12" style="733"/>
    <col min="6400" max="6400" width="151" style="733" customWidth="1"/>
    <col min="6401" max="6401" width="60.83203125" style="733" customWidth="1"/>
    <col min="6402" max="6402" width="50.1640625" style="733" customWidth="1"/>
    <col min="6403" max="6403" width="45.33203125" style="733" customWidth="1"/>
    <col min="6404" max="6404" width="45.1640625" style="733" customWidth="1"/>
    <col min="6405" max="6405" width="60.83203125" style="733" customWidth="1"/>
    <col min="6406" max="6406" width="50.1640625" style="733" customWidth="1"/>
    <col min="6407" max="6407" width="60.83203125" style="733" customWidth="1"/>
    <col min="6408" max="6408" width="61" style="733" customWidth="1"/>
    <col min="6409" max="6410" width="45.1640625" style="733" customWidth="1"/>
    <col min="6411" max="6411" width="61" style="733" customWidth="1"/>
    <col min="6412" max="6412" width="50" style="733" customWidth="1"/>
    <col min="6413" max="6413" width="58.1640625" style="733" customWidth="1"/>
    <col min="6414" max="6414" width="52.83203125" style="733" customWidth="1"/>
    <col min="6415" max="6415" width="151" style="733" customWidth="1"/>
    <col min="6416" max="6416" width="12" style="733" customWidth="1"/>
    <col min="6417" max="6417" width="22.5" style="733" customWidth="1"/>
    <col min="6418" max="6655" width="12" style="733"/>
    <col min="6656" max="6656" width="151" style="733" customWidth="1"/>
    <col min="6657" max="6657" width="60.83203125" style="733" customWidth="1"/>
    <col min="6658" max="6658" width="50.1640625" style="733" customWidth="1"/>
    <col min="6659" max="6659" width="45.33203125" style="733" customWidth="1"/>
    <col min="6660" max="6660" width="45.1640625" style="733" customWidth="1"/>
    <col min="6661" max="6661" width="60.83203125" style="733" customWidth="1"/>
    <col min="6662" max="6662" width="50.1640625" style="733" customWidth="1"/>
    <col min="6663" max="6663" width="60.83203125" style="733" customWidth="1"/>
    <col min="6664" max="6664" width="61" style="733" customWidth="1"/>
    <col min="6665" max="6666" width="45.1640625" style="733" customWidth="1"/>
    <col min="6667" max="6667" width="61" style="733" customWidth="1"/>
    <col min="6668" max="6668" width="50" style="733" customWidth="1"/>
    <col min="6669" max="6669" width="58.1640625" style="733" customWidth="1"/>
    <col min="6670" max="6670" width="52.83203125" style="733" customWidth="1"/>
    <col min="6671" max="6671" width="151" style="733" customWidth="1"/>
    <col min="6672" max="6672" width="12" style="733" customWidth="1"/>
    <col min="6673" max="6673" width="22.5" style="733" customWidth="1"/>
    <col min="6674" max="6911" width="12" style="733"/>
    <col min="6912" max="6912" width="151" style="733" customWidth="1"/>
    <col min="6913" max="6913" width="60.83203125" style="733" customWidth="1"/>
    <col min="6914" max="6914" width="50.1640625" style="733" customWidth="1"/>
    <col min="6915" max="6915" width="45.33203125" style="733" customWidth="1"/>
    <col min="6916" max="6916" width="45.1640625" style="733" customWidth="1"/>
    <col min="6917" max="6917" width="60.83203125" style="733" customWidth="1"/>
    <col min="6918" max="6918" width="50.1640625" style="733" customWidth="1"/>
    <col min="6919" max="6919" width="60.83203125" style="733" customWidth="1"/>
    <col min="6920" max="6920" width="61" style="733" customWidth="1"/>
    <col min="6921" max="6922" width="45.1640625" style="733" customWidth="1"/>
    <col min="6923" max="6923" width="61" style="733" customWidth="1"/>
    <col min="6924" max="6924" width="50" style="733" customWidth="1"/>
    <col min="6925" max="6925" width="58.1640625" style="733" customWidth="1"/>
    <col min="6926" max="6926" width="52.83203125" style="733" customWidth="1"/>
    <col min="6927" max="6927" width="151" style="733" customWidth="1"/>
    <col min="6928" max="6928" width="12" style="733" customWidth="1"/>
    <col min="6929" max="6929" width="22.5" style="733" customWidth="1"/>
    <col min="6930" max="7167" width="12" style="733"/>
    <col min="7168" max="7168" width="151" style="733" customWidth="1"/>
    <col min="7169" max="7169" width="60.83203125" style="733" customWidth="1"/>
    <col min="7170" max="7170" width="50.1640625" style="733" customWidth="1"/>
    <col min="7171" max="7171" width="45.33203125" style="733" customWidth="1"/>
    <col min="7172" max="7172" width="45.1640625" style="733" customWidth="1"/>
    <col min="7173" max="7173" width="60.83203125" style="733" customWidth="1"/>
    <col min="7174" max="7174" width="50.1640625" style="733" customWidth="1"/>
    <col min="7175" max="7175" width="60.83203125" style="733" customWidth="1"/>
    <col min="7176" max="7176" width="61" style="733" customWidth="1"/>
    <col min="7177" max="7178" width="45.1640625" style="733" customWidth="1"/>
    <col min="7179" max="7179" width="61" style="733" customWidth="1"/>
    <col min="7180" max="7180" width="50" style="733" customWidth="1"/>
    <col min="7181" max="7181" width="58.1640625" style="733" customWidth="1"/>
    <col min="7182" max="7182" width="52.83203125" style="733" customWidth="1"/>
    <col min="7183" max="7183" width="151" style="733" customWidth="1"/>
    <col min="7184" max="7184" width="12" style="733" customWidth="1"/>
    <col min="7185" max="7185" width="22.5" style="733" customWidth="1"/>
    <col min="7186" max="7423" width="12" style="733"/>
    <col min="7424" max="7424" width="151" style="733" customWidth="1"/>
    <col min="7425" max="7425" width="60.83203125" style="733" customWidth="1"/>
    <col min="7426" max="7426" width="50.1640625" style="733" customWidth="1"/>
    <col min="7427" max="7427" width="45.33203125" style="733" customWidth="1"/>
    <col min="7428" max="7428" width="45.1640625" style="733" customWidth="1"/>
    <col min="7429" max="7429" width="60.83203125" style="733" customWidth="1"/>
    <col min="7430" max="7430" width="50.1640625" style="733" customWidth="1"/>
    <col min="7431" max="7431" width="60.83203125" style="733" customWidth="1"/>
    <col min="7432" max="7432" width="61" style="733" customWidth="1"/>
    <col min="7433" max="7434" width="45.1640625" style="733" customWidth="1"/>
    <col min="7435" max="7435" width="61" style="733" customWidth="1"/>
    <col min="7436" max="7436" width="50" style="733" customWidth="1"/>
    <col min="7437" max="7437" width="58.1640625" style="733" customWidth="1"/>
    <col min="7438" max="7438" width="52.83203125" style="733" customWidth="1"/>
    <col min="7439" max="7439" width="151" style="733" customWidth="1"/>
    <col min="7440" max="7440" width="12" style="733" customWidth="1"/>
    <col min="7441" max="7441" width="22.5" style="733" customWidth="1"/>
    <col min="7442" max="7679" width="12" style="733"/>
    <col min="7680" max="7680" width="151" style="733" customWidth="1"/>
    <col min="7681" max="7681" width="60.83203125" style="733" customWidth="1"/>
    <col min="7682" max="7682" width="50.1640625" style="733" customWidth="1"/>
    <col min="7683" max="7683" width="45.33203125" style="733" customWidth="1"/>
    <col min="7684" max="7684" width="45.1640625" style="733" customWidth="1"/>
    <col min="7685" max="7685" width="60.83203125" style="733" customWidth="1"/>
    <col min="7686" max="7686" width="50.1640625" style="733" customWidth="1"/>
    <col min="7687" max="7687" width="60.83203125" style="733" customWidth="1"/>
    <col min="7688" max="7688" width="61" style="733" customWidth="1"/>
    <col min="7689" max="7690" width="45.1640625" style="733" customWidth="1"/>
    <col min="7691" max="7691" width="61" style="733" customWidth="1"/>
    <col min="7692" max="7692" width="50" style="733" customWidth="1"/>
    <col min="7693" max="7693" width="58.1640625" style="733" customWidth="1"/>
    <col min="7694" max="7694" width="52.83203125" style="733" customWidth="1"/>
    <col min="7695" max="7695" width="151" style="733" customWidth="1"/>
    <col min="7696" max="7696" width="12" style="733" customWidth="1"/>
    <col min="7697" max="7697" width="22.5" style="733" customWidth="1"/>
    <col min="7698" max="7935" width="12" style="733"/>
    <col min="7936" max="7936" width="151" style="733" customWidth="1"/>
    <col min="7937" max="7937" width="60.83203125" style="733" customWidth="1"/>
    <col min="7938" max="7938" width="50.1640625" style="733" customWidth="1"/>
    <col min="7939" max="7939" width="45.33203125" style="733" customWidth="1"/>
    <col min="7940" max="7940" width="45.1640625" style="733" customWidth="1"/>
    <col min="7941" max="7941" width="60.83203125" style="733" customWidth="1"/>
    <col min="7942" max="7942" width="50.1640625" style="733" customWidth="1"/>
    <col min="7943" max="7943" width="60.83203125" style="733" customWidth="1"/>
    <col min="7944" max="7944" width="61" style="733" customWidth="1"/>
    <col min="7945" max="7946" width="45.1640625" style="733" customWidth="1"/>
    <col min="7947" max="7947" width="61" style="733" customWidth="1"/>
    <col min="7948" max="7948" width="50" style="733" customWidth="1"/>
    <col min="7949" max="7949" width="58.1640625" style="733" customWidth="1"/>
    <col min="7950" max="7950" width="52.83203125" style="733" customWidth="1"/>
    <col min="7951" max="7951" width="151" style="733" customWidth="1"/>
    <col min="7952" max="7952" width="12" style="733" customWidth="1"/>
    <col min="7953" max="7953" width="22.5" style="733" customWidth="1"/>
    <col min="7954" max="8191" width="12" style="733"/>
    <col min="8192" max="8192" width="151" style="733" customWidth="1"/>
    <col min="8193" max="8193" width="60.83203125" style="733" customWidth="1"/>
    <col min="8194" max="8194" width="50.1640625" style="733" customWidth="1"/>
    <col min="8195" max="8195" width="45.33203125" style="733" customWidth="1"/>
    <col min="8196" max="8196" width="45.1640625" style="733" customWidth="1"/>
    <col min="8197" max="8197" width="60.83203125" style="733" customWidth="1"/>
    <col min="8198" max="8198" width="50.1640625" style="733" customWidth="1"/>
    <col min="8199" max="8199" width="60.83203125" style="733" customWidth="1"/>
    <col min="8200" max="8200" width="61" style="733" customWidth="1"/>
    <col min="8201" max="8202" width="45.1640625" style="733" customWidth="1"/>
    <col min="8203" max="8203" width="61" style="733" customWidth="1"/>
    <col min="8204" max="8204" width="50" style="733" customWidth="1"/>
    <col min="8205" max="8205" width="58.1640625" style="733" customWidth="1"/>
    <col min="8206" max="8206" width="52.83203125" style="733" customWidth="1"/>
    <col min="8207" max="8207" width="151" style="733" customWidth="1"/>
    <col min="8208" max="8208" width="12" style="733" customWidth="1"/>
    <col min="8209" max="8209" width="22.5" style="733" customWidth="1"/>
    <col min="8210" max="8447" width="12" style="733"/>
    <col min="8448" max="8448" width="151" style="733" customWidth="1"/>
    <col min="8449" max="8449" width="60.83203125" style="733" customWidth="1"/>
    <col min="8450" max="8450" width="50.1640625" style="733" customWidth="1"/>
    <col min="8451" max="8451" width="45.33203125" style="733" customWidth="1"/>
    <col min="8452" max="8452" width="45.1640625" style="733" customWidth="1"/>
    <col min="8453" max="8453" width="60.83203125" style="733" customWidth="1"/>
    <col min="8454" max="8454" width="50.1640625" style="733" customWidth="1"/>
    <col min="8455" max="8455" width="60.83203125" style="733" customWidth="1"/>
    <col min="8456" max="8456" width="61" style="733" customWidth="1"/>
    <col min="8457" max="8458" width="45.1640625" style="733" customWidth="1"/>
    <col min="8459" max="8459" width="61" style="733" customWidth="1"/>
    <col min="8460" max="8460" width="50" style="733" customWidth="1"/>
    <col min="8461" max="8461" width="58.1640625" style="733" customWidth="1"/>
    <col min="8462" max="8462" width="52.83203125" style="733" customWidth="1"/>
    <col min="8463" max="8463" width="151" style="733" customWidth="1"/>
    <col min="8464" max="8464" width="12" style="733" customWidth="1"/>
    <col min="8465" max="8465" width="22.5" style="733" customWidth="1"/>
    <col min="8466" max="8703" width="12" style="733"/>
    <col min="8704" max="8704" width="151" style="733" customWidth="1"/>
    <col min="8705" max="8705" width="60.83203125" style="733" customWidth="1"/>
    <col min="8706" max="8706" width="50.1640625" style="733" customWidth="1"/>
    <col min="8707" max="8707" width="45.33203125" style="733" customWidth="1"/>
    <col min="8708" max="8708" width="45.1640625" style="733" customWidth="1"/>
    <col min="8709" max="8709" width="60.83203125" style="733" customWidth="1"/>
    <col min="8710" max="8710" width="50.1640625" style="733" customWidth="1"/>
    <col min="8711" max="8711" width="60.83203125" style="733" customWidth="1"/>
    <col min="8712" max="8712" width="61" style="733" customWidth="1"/>
    <col min="8713" max="8714" width="45.1640625" style="733" customWidth="1"/>
    <col min="8715" max="8715" width="61" style="733" customWidth="1"/>
    <col min="8716" max="8716" width="50" style="733" customWidth="1"/>
    <col min="8717" max="8717" width="58.1640625" style="733" customWidth="1"/>
    <col min="8718" max="8718" width="52.83203125" style="733" customWidth="1"/>
    <col min="8719" max="8719" width="151" style="733" customWidth="1"/>
    <col min="8720" max="8720" width="12" style="733" customWidth="1"/>
    <col min="8721" max="8721" width="22.5" style="733" customWidth="1"/>
    <col min="8722" max="8959" width="12" style="733"/>
    <col min="8960" max="8960" width="151" style="733" customWidth="1"/>
    <col min="8961" max="8961" width="60.83203125" style="733" customWidth="1"/>
    <col min="8962" max="8962" width="50.1640625" style="733" customWidth="1"/>
    <col min="8963" max="8963" width="45.33203125" style="733" customWidth="1"/>
    <col min="8964" max="8964" width="45.1640625" style="733" customWidth="1"/>
    <col min="8965" max="8965" width="60.83203125" style="733" customWidth="1"/>
    <col min="8966" max="8966" width="50.1640625" style="733" customWidth="1"/>
    <col min="8967" max="8967" width="60.83203125" style="733" customWidth="1"/>
    <col min="8968" max="8968" width="61" style="733" customWidth="1"/>
    <col min="8969" max="8970" width="45.1640625" style="733" customWidth="1"/>
    <col min="8971" max="8971" width="61" style="733" customWidth="1"/>
    <col min="8972" max="8972" width="50" style="733" customWidth="1"/>
    <col min="8973" max="8973" width="58.1640625" style="733" customWidth="1"/>
    <col min="8974" max="8974" width="52.83203125" style="733" customWidth="1"/>
    <col min="8975" max="8975" width="151" style="733" customWidth="1"/>
    <col min="8976" max="8976" width="12" style="733" customWidth="1"/>
    <col min="8977" max="8977" width="22.5" style="733" customWidth="1"/>
    <col min="8978" max="9215" width="12" style="733"/>
    <col min="9216" max="9216" width="151" style="733" customWidth="1"/>
    <col min="9217" max="9217" width="60.83203125" style="733" customWidth="1"/>
    <col min="9218" max="9218" width="50.1640625" style="733" customWidth="1"/>
    <col min="9219" max="9219" width="45.33203125" style="733" customWidth="1"/>
    <col min="9220" max="9220" width="45.1640625" style="733" customWidth="1"/>
    <col min="9221" max="9221" width="60.83203125" style="733" customWidth="1"/>
    <col min="9222" max="9222" width="50.1640625" style="733" customWidth="1"/>
    <col min="9223" max="9223" width="60.83203125" style="733" customWidth="1"/>
    <col min="9224" max="9224" width="61" style="733" customWidth="1"/>
    <col min="9225" max="9226" width="45.1640625" style="733" customWidth="1"/>
    <col min="9227" max="9227" width="61" style="733" customWidth="1"/>
    <col min="9228" max="9228" width="50" style="733" customWidth="1"/>
    <col min="9229" max="9229" width="58.1640625" style="733" customWidth="1"/>
    <col min="9230" max="9230" width="52.83203125" style="733" customWidth="1"/>
    <col min="9231" max="9231" width="151" style="733" customWidth="1"/>
    <col min="9232" max="9232" width="12" style="733" customWidth="1"/>
    <col min="9233" max="9233" width="22.5" style="733" customWidth="1"/>
    <col min="9234" max="9471" width="12" style="733"/>
    <col min="9472" max="9472" width="151" style="733" customWidth="1"/>
    <col min="9473" max="9473" width="60.83203125" style="733" customWidth="1"/>
    <col min="9474" max="9474" width="50.1640625" style="733" customWidth="1"/>
    <col min="9475" max="9475" width="45.33203125" style="733" customWidth="1"/>
    <col min="9476" max="9476" width="45.1640625" style="733" customWidth="1"/>
    <col min="9477" max="9477" width="60.83203125" style="733" customWidth="1"/>
    <col min="9478" max="9478" width="50.1640625" style="733" customWidth="1"/>
    <col min="9479" max="9479" width="60.83203125" style="733" customWidth="1"/>
    <col min="9480" max="9480" width="61" style="733" customWidth="1"/>
    <col min="9481" max="9482" width="45.1640625" style="733" customWidth="1"/>
    <col min="9483" max="9483" width="61" style="733" customWidth="1"/>
    <col min="9484" max="9484" width="50" style="733" customWidth="1"/>
    <col min="9485" max="9485" width="58.1640625" style="733" customWidth="1"/>
    <col min="9486" max="9486" width="52.83203125" style="733" customWidth="1"/>
    <col min="9487" max="9487" width="151" style="733" customWidth="1"/>
    <col min="9488" max="9488" width="12" style="733" customWidth="1"/>
    <col min="9489" max="9489" width="22.5" style="733" customWidth="1"/>
    <col min="9490" max="9727" width="12" style="733"/>
    <col min="9728" max="9728" width="151" style="733" customWidth="1"/>
    <col min="9729" max="9729" width="60.83203125" style="733" customWidth="1"/>
    <col min="9730" max="9730" width="50.1640625" style="733" customWidth="1"/>
    <col min="9731" max="9731" width="45.33203125" style="733" customWidth="1"/>
    <col min="9732" max="9732" width="45.1640625" style="733" customWidth="1"/>
    <col min="9733" max="9733" width="60.83203125" style="733" customWidth="1"/>
    <col min="9734" max="9734" width="50.1640625" style="733" customWidth="1"/>
    <col min="9735" max="9735" width="60.83203125" style="733" customWidth="1"/>
    <col min="9736" max="9736" width="61" style="733" customWidth="1"/>
    <col min="9737" max="9738" width="45.1640625" style="733" customWidth="1"/>
    <col min="9739" max="9739" width="61" style="733" customWidth="1"/>
    <col min="9740" max="9740" width="50" style="733" customWidth="1"/>
    <col min="9741" max="9741" width="58.1640625" style="733" customWidth="1"/>
    <col min="9742" max="9742" width="52.83203125" style="733" customWidth="1"/>
    <col min="9743" max="9743" width="151" style="733" customWidth="1"/>
    <col min="9744" max="9744" width="12" style="733" customWidth="1"/>
    <col min="9745" max="9745" width="22.5" style="733" customWidth="1"/>
    <col min="9746" max="9983" width="12" style="733"/>
    <col min="9984" max="9984" width="151" style="733" customWidth="1"/>
    <col min="9985" max="9985" width="60.83203125" style="733" customWidth="1"/>
    <col min="9986" max="9986" width="50.1640625" style="733" customWidth="1"/>
    <col min="9987" max="9987" width="45.33203125" style="733" customWidth="1"/>
    <col min="9988" max="9988" width="45.1640625" style="733" customWidth="1"/>
    <col min="9989" max="9989" width="60.83203125" style="733" customWidth="1"/>
    <col min="9990" max="9990" width="50.1640625" style="733" customWidth="1"/>
    <col min="9991" max="9991" width="60.83203125" style="733" customWidth="1"/>
    <col min="9992" max="9992" width="61" style="733" customWidth="1"/>
    <col min="9993" max="9994" width="45.1640625" style="733" customWidth="1"/>
    <col min="9995" max="9995" width="61" style="733" customWidth="1"/>
    <col min="9996" max="9996" width="50" style="733" customWidth="1"/>
    <col min="9997" max="9997" width="58.1640625" style="733" customWidth="1"/>
    <col min="9998" max="9998" width="52.83203125" style="733" customWidth="1"/>
    <col min="9999" max="9999" width="151" style="733" customWidth="1"/>
    <col min="10000" max="10000" width="12" style="733" customWidth="1"/>
    <col min="10001" max="10001" width="22.5" style="733" customWidth="1"/>
    <col min="10002" max="10239" width="12" style="733"/>
    <col min="10240" max="10240" width="151" style="733" customWidth="1"/>
    <col min="10241" max="10241" width="60.83203125" style="733" customWidth="1"/>
    <col min="10242" max="10242" width="50.1640625" style="733" customWidth="1"/>
    <col min="10243" max="10243" width="45.33203125" style="733" customWidth="1"/>
    <col min="10244" max="10244" width="45.1640625" style="733" customWidth="1"/>
    <col min="10245" max="10245" width="60.83203125" style="733" customWidth="1"/>
    <col min="10246" max="10246" width="50.1640625" style="733" customWidth="1"/>
    <col min="10247" max="10247" width="60.83203125" style="733" customWidth="1"/>
    <col min="10248" max="10248" width="61" style="733" customWidth="1"/>
    <col min="10249" max="10250" width="45.1640625" style="733" customWidth="1"/>
    <col min="10251" max="10251" width="61" style="733" customWidth="1"/>
    <col min="10252" max="10252" width="50" style="733" customWidth="1"/>
    <col min="10253" max="10253" width="58.1640625" style="733" customWidth="1"/>
    <col min="10254" max="10254" width="52.83203125" style="733" customWidth="1"/>
    <col min="10255" max="10255" width="151" style="733" customWidth="1"/>
    <col min="10256" max="10256" width="12" style="733" customWidth="1"/>
    <col min="10257" max="10257" width="22.5" style="733" customWidth="1"/>
    <col min="10258" max="10495" width="12" style="733"/>
    <col min="10496" max="10496" width="151" style="733" customWidth="1"/>
    <col min="10497" max="10497" width="60.83203125" style="733" customWidth="1"/>
    <col min="10498" max="10498" width="50.1640625" style="733" customWidth="1"/>
    <col min="10499" max="10499" width="45.33203125" style="733" customWidth="1"/>
    <col min="10500" max="10500" width="45.1640625" style="733" customWidth="1"/>
    <col min="10501" max="10501" width="60.83203125" style="733" customWidth="1"/>
    <col min="10502" max="10502" width="50.1640625" style="733" customWidth="1"/>
    <col min="10503" max="10503" width="60.83203125" style="733" customWidth="1"/>
    <col min="10504" max="10504" width="61" style="733" customWidth="1"/>
    <col min="10505" max="10506" width="45.1640625" style="733" customWidth="1"/>
    <col min="10507" max="10507" width="61" style="733" customWidth="1"/>
    <col min="10508" max="10508" width="50" style="733" customWidth="1"/>
    <col min="10509" max="10509" width="58.1640625" style="733" customWidth="1"/>
    <col min="10510" max="10510" width="52.83203125" style="733" customWidth="1"/>
    <col min="10511" max="10511" width="151" style="733" customWidth="1"/>
    <col min="10512" max="10512" width="12" style="733" customWidth="1"/>
    <col min="10513" max="10513" width="22.5" style="733" customWidth="1"/>
    <col min="10514" max="10751" width="12" style="733"/>
    <col min="10752" max="10752" width="151" style="733" customWidth="1"/>
    <col min="10753" max="10753" width="60.83203125" style="733" customWidth="1"/>
    <col min="10754" max="10754" width="50.1640625" style="733" customWidth="1"/>
    <col min="10755" max="10755" width="45.33203125" style="733" customWidth="1"/>
    <col min="10756" max="10756" width="45.1640625" style="733" customWidth="1"/>
    <col min="10757" max="10757" width="60.83203125" style="733" customWidth="1"/>
    <col min="10758" max="10758" width="50.1640625" style="733" customWidth="1"/>
    <col min="10759" max="10759" width="60.83203125" style="733" customWidth="1"/>
    <col min="10760" max="10760" width="61" style="733" customWidth="1"/>
    <col min="10761" max="10762" width="45.1640625" style="733" customWidth="1"/>
    <col min="10763" max="10763" width="61" style="733" customWidth="1"/>
    <col min="10764" max="10764" width="50" style="733" customWidth="1"/>
    <col min="10765" max="10765" width="58.1640625" style="733" customWidth="1"/>
    <col min="10766" max="10766" width="52.83203125" style="733" customWidth="1"/>
    <col min="10767" max="10767" width="151" style="733" customWidth="1"/>
    <col min="10768" max="10768" width="12" style="733" customWidth="1"/>
    <col min="10769" max="10769" width="22.5" style="733" customWidth="1"/>
    <col min="10770" max="11007" width="12" style="733"/>
    <col min="11008" max="11008" width="151" style="733" customWidth="1"/>
    <col min="11009" max="11009" width="60.83203125" style="733" customWidth="1"/>
    <col min="11010" max="11010" width="50.1640625" style="733" customWidth="1"/>
    <col min="11011" max="11011" width="45.33203125" style="733" customWidth="1"/>
    <col min="11012" max="11012" width="45.1640625" style="733" customWidth="1"/>
    <col min="11013" max="11013" width="60.83203125" style="733" customWidth="1"/>
    <col min="11014" max="11014" width="50.1640625" style="733" customWidth="1"/>
    <col min="11015" max="11015" width="60.83203125" style="733" customWidth="1"/>
    <col min="11016" max="11016" width="61" style="733" customWidth="1"/>
    <col min="11017" max="11018" width="45.1640625" style="733" customWidth="1"/>
    <col min="11019" max="11019" width="61" style="733" customWidth="1"/>
    <col min="11020" max="11020" width="50" style="733" customWidth="1"/>
    <col min="11021" max="11021" width="58.1640625" style="733" customWidth="1"/>
    <col min="11022" max="11022" width="52.83203125" style="733" customWidth="1"/>
    <col min="11023" max="11023" width="151" style="733" customWidth="1"/>
    <col min="11024" max="11024" width="12" style="733" customWidth="1"/>
    <col min="11025" max="11025" width="22.5" style="733" customWidth="1"/>
    <col min="11026" max="11263" width="12" style="733"/>
    <col min="11264" max="11264" width="151" style="733" customWidth="1"/>
    <col min="11265" max="11265" width="60.83203125" style="733" customWidth="1"/>
    <col min="11266" max="11266" width="50.1640625" style="733" customWidth="1"/>
    <col min="11267" max="11267" width="45.33203125" style="733" customWidth="1"/>
    <col min="11268" max="11268" width="45.1640625" style="733" customWidth="1"/>
    <col min="11269" max="11269" width="60.83203125" style="733" customWidth="1"/>
    <col min="11270" max="11270" width="50.1640625" style="733" customWidth="1"/>
    <col min="11271" max="11271" width="60.83203125" style="733" customWidth="1"/>
    <col min="11272" max="11272" width="61" style="733" customWidth="1"/>
    <col min="11273" max="11274" width="45.1640625" style="733" customWidth="1"/>
    <col min="11275" max="11275" width="61" style="733" customWidth="1"/>
    <col min="11276" max="11276" width="50" style="733" customWidth="1"/>
    <col min="11277" max="11277" width="58.1640625" style="733" customWidth="1"/>
    <col min="11278" max="11278" width="52.83203125" style="733" customWidth="1"/>
    <col min="11279" max="11279" width="151" style="733" customWidth="1"/>
    <col min="11280" max="11280" width="12" style="733" customWidth="1"/>
    <col min="11281" max="11281" width="22.5" style="733" customWidth="1"/>
    <col min="11282" max="11519" width="12" style="733"/>
    <col min="11520" max="11520" width="151" style="733" customWidth="1"/>
    <col min="11521" max="11521" width="60.83203125" style="733" customWidth="1"/>
    <col min="11522" max="11522" width="50.1640625" style="733" customWidth="1"/>
    <col min="11523" max="11523" width="45.33203125" style="733" customWidth="1"/>
    <col min="11524" max="11524" width="45.1640625" style="733" customWidth="1"/>
    <col min="11525" max="11525" width="60.83203125" style="733" customWidth="1"/>
    <col min="11526" max="11526" width="50.1640625" style="733" customWidth="1"/>
    <col min="11527" max="11527" width="60.83203125" style="733" customWidth="1"/>
    <col min="11528" max="11528" width="61" style="733" customWidth="1"/>
    <col min="11529" max="11530" width="45.1640625" style="733" customWidth="1"/>
    <col min="11531" max="11531" width="61" style="733" customWidth="1"/>
    <col min="11532" max="11532" width="50" style="733" customWidth="1"/>
    <col min="11533" max="11533" width="58.1640625" style="733" customWidth="1"/>
    <col min="11534" max="11534" width="52.83203125" style="733" customWidth="1"/>
    <col min="11535" max="11535" width="151" style="733" customWidth="1"/>
    <col min="11536" max="11536" width="12" style="733" customWidth="1"/>
    <col min="11537" max="11537" width="22.5" style="733" customWidth="1"/>
    <col min="11538" max="11775" width="12" style="733"/>
    <col min="11776" max="11776" width="151" style="733" customWidth="1"/>
    <col min="11777" max="11777" width="60.83203125" style="733" customWidth="1"/>
    <col min="11778" max="11778" width="50.1640625" style="733" customWidth="1"/>
    <col min="11779" max="11779" width="45.33203125" style="733" customWidth="1"/>
    <col min="11780" max="11780" width="45.1640625" style="733" customWidth="1"/>
    <col min="11781" max="11781" width="60.83203125" style="733" customWidth="1"/>
    <col min="11782" max="11782" width="50.1640625" style="733" customWidth="1"/>
    <col min="11783" max="11783" width="60.83203125" style="733" customWidth="1"/>
    <col min="11784" max="11784" width="61" style="733" customWidth="1"/>
    <col min="11785" max="11786" width="45.1640625" style="733" customWidth="1"/>
    <col min="11787" max="11787" width="61" style="733" customWidth="1"/>
    <col min="11788" max="11788" width="50" style="733" customWidth="1"/>
    <col min="11789" max="11789" width="58.1640625" style="733" customWidth="1"/>
    <col min="11790" max="11790" width="52.83203125" style="733" customWidth="1"/>
    <col min="11791" max="11791" width="151" style="733" customWidth="1"/>
    <col min="11792" max="11792" width="12" style="733" customWidth="1"/>
    <col min="11793" max="11793" width="22.5" style="733" customWidth="1"/>
    <col min="11794" max="12031" width="12" style="733"/>
    <col min="12032" max="12032" width="151" style="733" customWidth="1"/>
    <col min="12033" max="12033" width="60.83203125" style="733" customWidth="1"/>
    <col min="12034" max="12034" width="50.1640625" style="733" customWidth="1"/>
    <col min="12035" max="12035" width="45.33203125" style="733" customWidth="1"/>
    <col min="12036" max="12036" width="45.1640625" style="733" customWidth="1"/>
    <col min="12037" max="12037" width="60.83203125" style="733" customWidth="1"/>
    <col min="12038" max="12038" width="50.1640625" style="733" customWidth="1"/>
    <col min="12039" max="12039" width="60.83203125" style="733" customWidth="1"/>
    <col min="12040" max="12040" width="61" style="733" customWidth="1"/>
    <col min="12041" max="12042" width="45.1640625" style="733" customWidth="1"/>
    <col min="12043" max="12043" width="61" style="733" customWidth="1"/>
    <col min="12044" max="12044" width="50" style="733" customWidth="1"/>
    <col min="12045" max="12045" width="58.1640625" style="733" customWidth="1"/>
    <col min="12046" max="12046" width="52.83203125" style="733" customWidth="1"/>
    <col min="12047" max="12047" width="151" style="733" customWidth="1"/>
    <col min="12048" max="12048" width="12" style="733" customWidth="1"/>
    <col min="12049" max="12049" width="22.5" style="733" customWidth="1"/>
    <col min="12050" max="12287" width="12" style="733"/>
    <col min="12288" max="12288" width="151" style="733" customWidth="1"/>
    <col min="12289" max="12289" width="60.83203125" style="733" customWidth="1"/>
    <col min="12290" max="12290" width="50.1640625" style="733" customWidth="1"/>
    <col min="12291" max="12291" width="45.33203125" style="733" customWidth="1"/>
    <col min="12292" max="12292" width="45.1640625" style="733" customWidth="1"/>
    <col min="12293" max="12293" width="60.83203125" style="733" customWidth="1"/>
    <col min="12294" max="12294" width="50.1640625" style="733" customWidth="1"/>
    <col min="12295" max="12295" width="60.83203125" style="733" customWidth="1"/>
    <col min="12296" max="12296" width="61" style="733" customWidth="1"/>
    <col min="12297" max="12298" width="45.1640625" style="733" customWidth="1"/>
    <col min="12299" max="12299" width="61" style="733" customWidth="1"/>
    <col min="12300" max="12300" width="50" style="733" customWidth="1"/>
    <col min="12301" max="12301" width="58.1640625" style="733" customWidth="1"/>
    <col min="12302" max="12302" width="52.83203125" style="733" customWidth="1"/>
    <col min="12303" max="12303" width="151" style="733" customWidth="1"/>
    <col min="12304" max="12304" width="12" style="733" customWidth="1"/>
    <col min="12305" max="12305" width="22.5" style="733" customWidth="1"/>
    <col min="12306" max="12543" width="12" style="733"/>
    <col min="12544" max="12544" width="151" style="733" customWidth="1"/>
    <col min="12545" max="12545" width="60.83203125" style="733" customWidth="1"/>
    <col min="12546" max="12546" width="50.1640625" style="733" customWidth="1"/>
    <col min="12547" max="12547" width="45.33203125" style="733" customWidth="1"/>
    <col min="12548" max="12548" width="45.1640625" style="733" customWidth="1"/>
    <col min="12549" max="12549" width="60.83203125" style="733" customWidth="1"/>
    <col min="12550" max="12550" width="50.1640625" style="733" customWidth="1"/>
    <col min="12551" max="12551" width="60.83203125" style="733" customWidth="1"/>
    <col min="12552" max="12552" width="61" style="733" customWidth="1"/>
    <col min="12553" max="12554" width="45.1640625" style="733" customWidth="1"/>
    <col min="12555" max="12555" width="61" style="733" customWidth="1"/>
    <col min="12556" max="12556" width="50" style="733" customWidth="1"/>
    <col min="12557" max="12557" width="58.1640625" style="733" customWidth="1"/>
    <col min="12558" max="12558" width="52.83203125" style="733" customWidth="1"/>
    <col min="12559" max="12559" width="151" style="733" customWidth="1"/>
    <col min="12560" max="12560" width="12" style="733" customWidth="1"/>
    <col min="12561" max="12561" width="22.5" style="733" customWidth="1"/>
    <col min="12562" max="12799" width="12" style="733"/>
    <col min="12800" max="12800" width="151" style="733" customWidth="1"/>
    <col min="12801" max="12801" width="60.83203125" style="733" customWidth="1"/>
    <col min="12802" max="12802" width="50.1640625" style="733" customWidth="1"/>
    <col min="12803" max="12803" width="45.33203125" style="733" customWidth="1"/>
    <col min="12804" max="12804" width="45.1640625" style="733" customWidth="1"/>
    <col min="12805" max="12805" width="60.83203125" style="733" customWidth="1"/>
    <col min="12806" max="12806" width="50.1640625" style="733" customWidth="1"/>
    <col min="12807" max="12807" width="60.83203125" style="733" customWidth="1"/>
    <col min="12808" max="12808" width="61" style="733" customWidth="1"/>
    <col min="12809" max="12810" width="45.1640625" style="733" customWidth="1"/>
    <col min="12811" max="12811" width="61" style="733" customWidth="1"/>
    <col min="12812" max="12812" width="50" style="733" customWidth="1"/>
    <col min="12813" max="12813" width="58.1640625" style="733" customWidth="1"/>
    <col min="12814" max="12814" width="52.83203125" style="733" customWidth="1"/>
    <col min="12815" max="12815" width="151" style="733" customWidth="1"/>
    <col min="12816" max="12816" width="12" style="733" customWidth="1"/>
    <col min="12817" max="12817" width="22.5" style="733" customWidth="1"/>
    <col min="12818" max="13055" width="12" style="733"/>
    <col min="13056" max="13056" width="151" style="733" customWidth="1"/>
    <col min="13057" max="13057" width="60.83203125" style="733" customWidth="1"/>
    <col min="13058" max="13058" width="50.1640625" style="733" customWidth="1"/>
    <col min="13059" max="13059" width="45.33203125" style="733" customWidth="1"/>
    <col min="13060" max="13060" width="45.1640625" style="733" customWidth="1"/>
    <col min="13061" max="13061" width="60.83203125" style="733" customWidth="1"/>
    <col min="13062" max="13062" width="50.1640625" style="733" customWidth="1"/>
    <col min="13063" max="13063" width="60.83203125" style="733" customWidth="1"/>
    <col min="13064" max="13064" width="61" style="733" customWidth="1"/>
    <col min="13065" max="13066" width="45.1640625" style="733" customWidth="1"/>
    <col min="13067" max="13067" width="61" style="733" customWidth="1"/>
    <col min="13068" max="13068" width="50" style="733" customWidth="1"/>
    <col min="13069" max="13069" width="58.1640625" style="733" customWidth="1"/>
    <col min="13070" max="13070" width="52.83203125" style="733" customWidth="1"/>
    <col min="13071" max="13071" width="151" style="733" customWidth="1"/>
    <col min="13072" max="13072" width="12" style="733" customWidth="1"/>
    <col min="13073" max="13073" width="22.5" style="733" customWidth="1"/>
    <col min="13074" max="13311" width="12" style="733"/>
    <col min="13312" max="13312" width="151" style="733" customWidth="1"/>
    <col min="13313" max="13313" width="60.83203125" style="733" customWidth="1"/>
    <col min="13314" max="13314" width="50.1640625" style="733" customWidth="1"/>
    <col min="13315" max="13315" width="45.33203125" style="733" customWidth="1"/>
    <col min="13316" max="13316" width="45.1640625" style="733" customWidth="1"/>
    <col min="13317" max="13317" width="60.83203125" style="733" customWidth="1"/>
    <col min="13318" max="13318" width="50.1640625" style="733" customWidth="1"/>
    <col min="13319" max="13319" width="60.83203125" style="733" customWidth="1"/>
    <col min="13320" max="13320" width="61" style="733" customWidth="1"/>
    <col min="13321" max="13322" width="45.1640625" style="733" customWidth="1"/>
    <col min="13323" max="13323" width="61" style="733" customWidth="1"/>
    <col min="13324" max="13324" width="50" style="733" customWidth="1"/>
    <col min="13325" max="13325" width="58.1640625" style="733" customWidth="1"/>
    <col min="13326" max="13326" width="52.83203125" style="733" customWidth="1"/>
    <col min="13327" max="13327" width="151" style="733" customWidth="1"/>
    <col min="13328" max="13328" width="12" style="733" customWidth="1"/>
    <col min="13329" max="13329" width="22.5" style="733" customWidth="1"/>
    <col min="13330" max="13567" width="12" style="733"/>
    <col min="13568" max="13568" width="151" style="733" customWidth="1"/>
    <col min="13569" max="13569" width="60.83203125" style="733" customWidth="1"/>
    <col min="13570" max="13570" width="50.1640625" style="733" customWidth="1"/>
    <col min="13571" max="13571" width="45.33203125" style="733" customWidth="1"/>
    <col min="13572" max="13572" width="45.1640625" style="733" customWidth="1"/>
    <col min="13573" max="13573" width="60.83203125" style="733" customWidth="1"/>
    <col min="13574" max="13574" width="50.1640625" style="733" customWidth="1"/>
    <col min="13575" max="13575" width="60.83203125" style="733" customWidth="1"/>
    <col min="13576" max="13576" width="61" style="733" customWidth="1"/>
    <col min="13577" max="13578" width="45.1640625" style="733" customWidth="1"/>
    <col min="13579" max="13579" width="61" style="733" customWidth="1"/>
    <col min="13580" max="13580" width="50" style="733" customWidth="1"/>
    <col min="13581" max="13581" width="58.1640625" style="733" customWidth="1"/>
    <col min="13582" max="13582" width="52.83203125" style="733" customWidth="1"/>
    <col min="13583" max="13583" width="151" style="733" customWidth="1"/>
    <col min="13584" max="13584" width="12" style="733" customWidth="1"/>
    <col min="13585" max="13585" width="22.5" style="733" customWidth="1"/>
    <col min="13586" max="13823" width="12" style="733"/>
    <col min="13824" max="13824" width="151" style="733" customWidth="1"/>
    <col min="13825" max="13825" width="60.83203125" style="733" customWidth="1"/>
    <col min="13826" max="13826" width="50.1640625" style="733" customWidth="1"/>
    <col min="13827" max="13827" width="45.33203125" style="733" customWidth="1"/>
    <col min="13828" max="13828" width="45.1640625" style="733" customWidth="1"/>
    <col min="13829" max="13829" width="60.83203125" style="733" customWidth="1"/>
    <col min="13830" max="13830" width="50.1640625" style="733" customWidth="1"/>
    <col min="13831" max="13831" width="60.83203125" style="733" customWidth="1"/>
    <col min="13832" max="13832" width="61" style="733" customWidth="1"/>
    <col min="13833" max="13834" width="45.1640625" style="733" customWidth="1"/>
    <col min="13835" max="13835" width="61" style="733" customWidth="1"/>
    <col min="13836" max="13836" width="50" style="733" customWidth="1"/>
    <col min="13837" max="13837" width="58.1640625" style="733" customWidth="1"/>
    <col min="13838" max="13838" width="52.83203125" style="733" customWidth="1"/>
    <col min="13839" max="13839" width="151" style="733" customWidth="1"/>
    <col min="13840" max="13840" width="12" style="733" customWidth="1"/>
    <col min="13841" max="13841" width="22.5" style="733" customWidth="1"/>
    <col min="13842" max="14079" width="12" style="733"/>
    <col min="14080" max="14080" width="151" style="733" customWidth="1"/>
    <col min="14081" max="14081" width="60.83203125" style="733" customWidth="1"/>
    <col min="14082" max="14082" width="50.1640625" style="733" customWidth="1"/>
    <col min="14083" max="14083" width="45.33203125" style="733" customWidth="1"/>
    <col min="14084" max="14084" width="45.1640625" style="733" customWidth="1"/>
    <col min="14085" max="14085" width="60.83203125" style="733" customWidth="1"/>
    <col min="14086" max="14086" width="50.1640625" style="733" customWidth="1"/>
    <col min="14087" max="14087" width="60.83203125" style="733" customWidth="1"/>
    <col min="14088" max="14088" width="61" style="733" customWidth="1"/>
    <col min="14089" max="14090" width="45.1640625" style="733" customWidth="1"/>
    <col min="14091" max="14091" width="61" style="733" customWidth="1"/>
    <col min="14092" max="14092" width="50" style="733" customWidth="1"/>
    <col min="14093" max="14093" width="58.1640625" style="733" customWidth="1"/>
    <col min="14094" max="14094" width="52.83203125" style="733" customWidth="1"/>
    <col min="14095" max="14095" width="151" style="733" customWidth="1"/>
    <col min="14096" max="14096" width="12" style="733" customWidth="1"/>
    <col min="14097" max="14097" width="22.5" style="733" customWidth="1"/>
    <col min="14098" max="14335" width="12" style="733"/>
    <col min="14336" max="14336" width="151" style="733" customWidth="1"/>
    <col min="14337" max="14337" width="60.83203125" style="733" customWidth="1"/>
    <col min="14338" max="14338" width="50.1640625" style="733" customWidth="1"/>
    <col min="14339" max="14339" width="45.33203125" style="733" customWidth="1"/>
    <col min="14340" max="14340" width="45.1640625" style="733" customWidth="1"/>
    <col min="14341" max="14341" width="60.83203125" style="733" customWidth="1"/>
    <col min="14342" max="14342" width="50.1640625" style="733" customWidth="1"/>
    <col min="14343" max="14343" width="60.83203125" style="733" customWidth="1"/>
    <col min="14344" max="14344" width="61" style="733" customWidth="1"/>
    <col min="14345" max="14346" width="45.1640625" style="733" customWidth="1"/>
    <col min="14347" max="14347" width="61" style="733" customWidth="1"/>
    <col min="14348" max="14348" width="50" style="733" customWidth="1"/>
    <col min="14349" max="14349" width="58.1640625" style="733" customWidth="1"/>
    <col min="14350" max="14350" width="52.83203125" style="733" customWidth="1"/>
    <col min="14351" max="14351" width="151" style="733" customWidth="1"/>
    <col min="14352" max="14352" width="12" style="733" customWidth="1"/>
    <col min="14353" max="14353" width="22.5" style="733" customWidth="1"/>
    <col min="14354" max="14591" width="12" style="733"/>
    <col min="14592" max="14592" width="151" style="733" customWidth="1"/>
    <col min="14593" max="14593" width="60.83203125" style="733" customWidth="1"/>
    <col min="14594" max="14594" width="50.1640625" style="733" customWidth="1"/>
    <col min="14595" max="14595" width="45.33203125" style="733" customWidth="1"/>
    <col min="14596" max="14596" width="45.1640625" style="733" customWidth="1"/>
    <col min="14597" max="14597" width="60.83203125" style="733" customWidth="1"/>
    <col min="14598" max="14598" width="50.1640625" style="733" customWidth="1"/>
    <col min="14599" max="14599" width="60.83203125" style="733" customWidth="1"/>
    <col min="14600" max="14600" width="61" style="733" customWidth="1"/>
    <col min="14601" max="14602" width="45.1640625" style="733" customWidth="1"/>
    <col min="14603" max="14603" width="61" style="733" customWidth="1"/>
    <col min="14604" max="14604" width="50" style="733" customWidth="1"/>
    <col min="14605" max="14605" width="58.1640625" style="733" customWidth="1"/>
    <col min="14606" max="14606" width="52.83203125" style="733" customWidth="1"/>
    <col min="14607" max="14607" width="151" style="733" customWidth="1"/>
    <col min="14608" max="14608" width="12" style="733" customWidth="1"/>
    <col min="14609" max="14609" width="22.5" style="733" customWidth="1"/>
    <col min="14610" max="14847" width="12" style="733"/>
    <col min="14848" max="14848" width="151" style="733" customWidth="1"/>
    <col min="14849" max="14849" width="60.83203125" style="733" customWidth="1"/>
    <col min="14850" max="14850" width="50.1640625" style="733" customWidth="1"/>
    <col min="14851" max="14851" width="45.33203125" style="733" customWidth="1"/>
    <col min="14852" max="14852" width="45.1640625" style="733" customWidth="1"/>
    <col min="14853" max="14853" width="60.83203125" style="733" customWidth="1"/>
    <col min="14854" max="14854" width="50.1640625" style="733" customWidth="1"/>
    <col min="14855" max="14855" width="60.83203125" style="733" customWidth="1"/>
    <col min="14856" max="14856" width="61" style="733" customWidth="1"/>
    <col min="14857" max="14858" width="45.1640625" style="733" customWidth="1"/>
    <col min="14859" max="14859" width="61" style="733" customWidth="1"/>
    <col min="14860" max="14860" width="50" style="733" customWidth="1"/>
    <col min="14861" max="14861" width="58.1640625" style="733" customWidth="1"/>
    <col min="14862" max="14862" width="52.83203125" style="733" customWidth="1"/>
    <col min="14863" max="14863" width="151" style="733" customWidth="1"/>
    <col min="14864" max="14864" width="12" style="733" customWidth="1"/>
    <col min="14865" max="14865" width="22.5" style="733" customWidth="1"/>
    <col min="14866" max="15103" width="12" style="733"/>
    <col min="15104" max="15104" width="151" style="733" customWidth="1"/>
    <col min="15105" max="15105" width="60.83203125" style="733" customWidth="1"/>
    <col min="15106" max="15106" width="50.1640625" style="733" customWidth="1"/>
    <col min="15107" max="15107" width="45.33203125" style="733" customWidth="1"/>
    <col min="15108" max="15108" width="45.1640625" style="733" customWidth="1"/>
    <col min="15109" max="15109" width="60.83203125" style="733" customWidth="1"/>
    <col min="15110" max="15110" width="50.1640625" style="733" customWidth="1"/>
    <col min="15111" max="15111" width="60.83203125" style="733" customWidth="1"/>
    <col min="15112" max="15112" width="61" style="733" customWidth="1"/>
    <col min="15113" max="15114" width="45.1640625" style="733" customWidth="1"/>
    <col min="15115" max="15115" width="61" style="733" customWidth="1"/>
    <col min="15116" max="15116" width="50" style="733" customWidth="1"/>
    <col min="15117" max="15117" width="58.1640625" style="733" customWidth="1"/>
    <col min="15118" max="15118" width="52.83203125" style="733" customWidth="1"/>
    <col min="15119" max="15119" width="151" style="733" customWidth="1"/>
    <col min="15120" max="15120" width="12" style="733" customWidth="1"/>
    <col min="15121" max="15121" width="22.5" style="733" customWidth="1"/>
    <col min="15122" max="15359" width="12" style="733"/>
    <col min="15360" max="15360" width="151" style="733" customWidth="1"/>
    <col min="15361" max="15361" width="60.83203125" style="733" customWidth="1"/>
    <col min="15362" max="15362" width="50.1640625" style="733" customWidth="1"/>
    <col min="15363" max="15363" width="45.33203125" style="733" customWidth="1"/>
    <col min="15364" max="15364" width="45.1640625" style="733" customWidth="1"/>
    <col min="15365" max="15365" width="60.83203125" style="733" customWidth="1"/>
    <col min="15366" max="15366" width="50.1640625" style="733" customWidth="1"/>
    <col min="15367" max="15367" width="60.83203125" style="733" customWidth="1"/>
    <col min="15368" max="15368" width="61" style="733" customWidth="1"/>
    <col min="15369" max="15370" width="45.1640625" style="733" customWidth="1"/>
    <col min="15371" max="15371" width="61" style="733" customWidth="1"/>
    <col min="15372" max="15372" width="50" style="733" customWidth="1"/>
    <col min="15373" max="15373" width="58.1640625" style="733" customWidth="1"/>
    <col min="15374" max="15374" width="52.83203125" style="733" customWidth="1"/>
    <col min="15375" max="15375" width="151" style="733" customWidth="1"/>
    <col min="15376" max="15376" width="12" style="733" customWidth="1"/>
    <col min="15377" max="15377" width="22.5" style="733" customWidth="1"/>
    <col min="15378" max="15615" width="12" style="733"/>
    <col min="15616" max="15616" width="151" style="733" customWidth="1"/>
    <col min="15617" max="15617" width="60.83203125" style="733" customWidth="1"/>
    <col min="15618" max="15618" width="50.1640625" style="733" customWidth="1"/>
    <col min="15619" max="15619" width="45.33203125" style="733" customWidth="1"/>
    <col min="15620" max="15620" width="45.1640625" style="733" customWidth="1"/>
    <col min="15621" max="15621" width="60.83203125" style="733" customWidth="1"/>
    <col min="15622" max="15622" width="50.1640625" style="733" customWidth="1"/>
    <col min="15623" max="15623" width="60.83203125" style="733" customWidth="1"/>
    <col min="15624" max="15624" width="61" style="733" customWidth="1"/>
    <col min="15625" max="15626" width="45.1640625" style="733" customWidth="1"/>
    <col min="15627" max="15627" width="61" style="733" customWidth="1"/>
    <col min="15628" max="15628" width="50" style="733" customWidth="1"/>
    <col min="15629" max="15629" width="58.1640625" style="733" customWidth="1"/>
    <col min="15630" max="15630" width="52.83203125" style="733" customWidth="1"/>
    <col min="15631" max="15631" width="151" style="733" customWidth="1"/>
    <col min="15632" max="15632" width="12" style="733" customWidth="1"/>
    <col min="15633" max="15633" width="22.5" style="733" customWidth="1"/>
    <col min="15634" max="15871" width="12" style="733"/>
    <col min="15872" max="15872" width="151" style="733" customWidth="1"/>
    <col min="15873" max="15873" width="60.83203125" style="733" customWidth="1"/>
    <col min="15874" max="15874" width="50.1640625" style="733" customWidth="1"/>
    <col min="15875" max="15875" width="45.33203125" style="733" customWidth="1"/>
    <col min="15876" max="15876" width="45.1640625" style="733" customWidth="1"/>
    <col min="15877" max="15877" width="60.83203125" style="733" customWidth="1"/>
    <col min="15878" max="15878" width="50.1640625" style="733" customWidth="1"/>
    <col min="15879" max="15879" width="60.83203125" style="733" customWidth="1"/>
    <col min="15880" max="15880" width="61" style="733" customWidth="1"/>
    <col min="15881" max="15882" width="45.1640625" style="733" customWidth="1"/>
    <col min="15883" max="15883" width="61" style="733" customWidth="1"/>
    <col min="15884" max="15884" width="50" style="733" customWidth="1"/>
    <col min="15885" max="15885" width="58.1640625" style="733" customWidth="1"/>
    <col min="15886" max="15886" width="52.83203125" style="733" customWidth="1"/>
    <col min="15887" max="15887" width="151" style="733" customWidth="1"/>
    <col min="15888" max="15888" width="12" style="733" customWidth="1"/>
    <col min="15889" max="15889" width="22.5" style="733" customWidth="1"/>
    <col min="15890" max="16127" width="12" style="733"/>
    <col min="16128" max="16128" width="151" style="733" customWidth="1"/>
    <col min="16129" max="16129" width="60.83203125" style="733" customWidth="1"/>
    <col min="16130" max="16130" width="50.1640625" style="733" customWidth="1"/>
    <col min="16131" max="16131" width="45.33203125" style="733" customWidth="1"/>
    <col min="16132" max="16132" width="45.1640625" style="733" customWidth="1"/>
    <col min="16133" max="16133" width="60.83203125" style="733" customWidth="1"/>
    <col min="16134" max="16134" width="50.1640625" style="733" customWidth="1"/>
    <col min="16135" max="16135" width="60.83203125" style="733" customWidth="1"/>
    <col min="16136" max="16136" width="61" style="733" customWidth="1"/>
    <col min="16137" max="16138" width="45.1640625" style="733" customWidth="1"/>
    <col min="16139" max="16139" width="61" style="733" customWidth="1"/>
    <col min="16140" max="16140" width="50" style="733" customWidth="1"/>
    <col min="16141" max="16141" width="58.1640625" style="733" customWidth="1"/>
    <col min="16142" max="16142" width="52.83203125" style="733" customWidth="1"/>
    <col min="16143" max="16143" width="151" style="733" customWidth="1"/>
    <col min="16144" max="16144" width="12" style="733" customWidth="1"/>
    <col min="16145" max="16145" width="22.5" style="733" customWidth="1"/>
    <col min="16146" max="16384" width="12" style="733"/>
  </cols>
  <sheetData>
    <row r="1" spans="1:17" s="729" customFormat="1" ht="45" customHeight="1" x14ac:dyDescent="0.6">
      <c r="A1" s="962" t="s">
        <v>738</v>
      </c>
      <c r="B1" s="962"/>
      <c r="C1" s="962"/>
      <c r="D1" s="962"/>
      <c r="E1" s="962"/>
      <c r="F1" s="962"/>
      <c r="G1" s="962"/>
      <c r="H1" s="962"/>
      <c r="I1" s="962"/>
      <c r="J1" s="962"/>
      <c r="K1" s="962"/>
      <c r="L1" s="962"/>
      <c r="M1" s="962"/>
      <c r="N1" s="962"/>
      <c r="O1" s="962"/>
      <c r="Q1" s="730"/>
    </row>
    <row r="2" spans="1:17" s="729" customFormat="1" ht="44.25" customHeight="1" x14ac:dyDescent="0.6">
      <c r="A2" s="962" t="s">
        <v>739</v>
      </c>
      <c r="B2" s="962"/>
      <c r="C2" s="962"/>
      <c r="D2" s="962"/>
      <c r="E2" s="962"/>
      <c r="F2" s="962"/>
      <c r="G2" s="962"/>
      <c r="H2" s="962"/>
      <c r="I2" s="962"/>
      <c r="J2" s="962"/>
      <c r="K2" s="962"/>
      <c r="L2" s="962"/>
      <c r="M2" s="962"/>
      <c r="N2" s="962"/>
      <c r="O2" s="962"/>
      <c r="Q2" s="730"/>
    </row>
    <row r="3" spans="1:17" ht="44.25" customHeight="1" thickBot="1" x14ac:dyDescent="0.55000000000000004">
      <c r="A3" s="731"/>
      <c r="B3" s="963"/>
      <c r="C3" s="963"/>
      <c r="D3" s="963"/>
      <c r="E3" s="963"/>
      <c r="F3" s="963"/>
      <c r="G3" s="963"/>
      <c r="H3" s="963"/>
      <c r="I3" s="963"/>
      <c r="J3" s="732"/>
      <c r="K3" s="732"/>
      <c r="L3" s="732"/>
      <c r="M3" s="732"/>
      <c r="N3" s="732"/>
      <c r="O3" s="732"/>
    </row>
    <row r="4" spans="1:17" s="729" customFormat="1" ht="108.75" customHeight="1" thickBot="1" x14ac:dyDescent="0.55000000000000004">
      <c r="A4" s="735"/>
      <c r="B4" s="964" t="s">
        <v>740</v>
      </c>
      <c r="C4" s="965"/>
      <c r="D4" s="965"/>
      <c r="E4" s="965"/>
      <c r="F4" s="965"/>
      <c r="G4" s="965"/>
      <c r="H4" s="965"/>
      <c r="I4" s="965"/>
      <c r="J4" s="965"/>
      <c r="K4" s="965"/>
      <c r="L4" s="965"/>
      <c r="M4" s="966"/>
      <c r="N4" s="967" t="s">
        <v>741</v>
      </c>
      <c r="O4" s="968"/>
      <c r="Q4" s="736"/>
    </row>
    <row r="5" spans="1:17" s="729" customFormat="1" ht="45.75" customHeight="1" thickBot="1" x14ac:dyDescent="0.55000000000000004">
      <c r="A5" s="737" t="s">
        <v>742</v>
      </c>
      <c r="B5" s="971" t="s">
        <v>743</v>
      </c>
      <c r="C5" s="972"/>
      <c r="D5" s="972"/>
      <c r="E5" s="972"/>
      <c r="F5" s="972"/>
      <c r="G5" s="973"/>
      <c r="H5" s="971" t="s">
        <v>744</v>
      </c>
      <c r="I5" s="972"/>
      <c r="J5" s="972"/>
      <c r="K5" s="972"/>
      <c r="L5" s="972"/>
      <c r="M5" s="973"/>
      <c r="N5" s="969"/>
      <c r="O5" s="970"/>
      <c r="Q5" s="736"/>
    </row>
    <row r="6" spans="1:17" s="729" customFormat="1" ht="83.25" customHeight="1" thickBot="1" x14ac:dyDescent="0.55000000000000004">
      <c r="A6" s="737"/>
      <c r="B6" s="971" t="s">
        <v>691</v>
      </c>
      <c r="C6" s="973"/>
      <c r="D6" s="971" t="s">
        <v>692</v>
      </c>
      <c r="E6" s="972"/>
      <c r="F6" s="960" t="s">
        <v>693</v>
      </c>
      <c r="G6" s="961"/>
      <c r="H6" s="960" t="s">
        <v>691</v>
      </c>
      <c r="I6" s="961"/>
      <c r="J6" s="971" t="s">
        <v>692</v>
      </c>
      <c r="K6" s="972"/>
      <c r="L6" s="960" t="s">
        <v>693</v>
      </c>
      <c r="M6" s="961"/>
      <c r="N6" s="738"/>
      <c r="O6" s="738"/>
      <c r="Q6" s="736"/>
    </row>
    <row r="7" spans="1:17" s="729" customFormat="1" ht="44.25" customHeight="1" thickBot="1" x14ac:dyDescent="0.55000000000000004">
      <c r="A7" s="739"/>
      <c r="B7" s="740" t="s">
        <v>745</v>
      </c>
      <c r="C7" s="741" t="s">
        <v>746</v>
      </c>
      <c r="D7" s="974" t="s">
        <v>745</v>
      </c>
      <c r="E7" s="975"/>
      <c r="F7" s="742" t="s">
        <v>745</v>
      </c>
      <c r="G7" s="743" t="s">
        <v>746</v>
      </c>
      <c r="H7" s="740" t="s">
        <v>745</v>
      </c>
      <c r="I7" s="741" t="s">
        <v>746</v>
      </c>
      <c r="J7" s="976" t="s">
        <v>745</v>
      </c>
      <c r="K7" s="977"/>
      <c r="L7" s="742" t="s">
        <v>745</v>
      </c>
      <c r="M7" s="743" t="s">
        <v>746</v>
      </c>
      <c r="N7" s="738" t="s">
        <v>745</v>
      </c>
      <c r="O7" s="738" t="s">
        <v>747</v>
      </c>
      <c r="Q7" s="736"/>
    </row>
    <row r="8" spans="1:17" s="748" customFormat="1" ht="145.5" customHeight="1" x14ac:dyDescent="0.5">
      <c r="A8" s="744" t="s">
        <v>748</v>
      </c>
      <c r="B8" s="745"/>
      <c r="C8" s="746"/>
      <c r="D8" s="747" t="s">
        <v>749</v>
      </c>
      <c r="E8" s="747" t="s">
        <v>750</v>
      </c>
      <c r="F8" s="746"/>
      <c r="G8" s="746"/>
      <c r="H8" s="746"/>
      <c r="I8" s="746"/>
      <c r="J8" s="747" t="s">
        <v>750</v>
      </c>
      <c r="K8" s="747"/>
      <c r="L8" s="746"/>
      <c r="M8" s="746"/>
      <c r="N8" s="746"/>
      <c r="O8" s="746"/>
      <c r="Q8" s="749"/>
    </row>
    <row r="9" spans="1:17" s="757" customFormat="1" ht="45.75" customHeight="1" x14ac:dyDescent="0.55000000000000004">
      <c r="A9" s="750" t="s">
        <v>695</v>
      </c>
      <c r="B9" s="751">
        <f>'[6]létszám ei mód RM II.'!G9</f>
        <v>33</v>
      </c>
      <c r="C9" s="752">
        <f>'[6]létszám ei mód RM II.'!H9</f>
        <v>33</v>
      </c>
      <c r="D9" s="751"/>
      <c r="E9" s="751"/>
      <c r="F9" s="753">
        <f>B9+D9+E9</f>
        <v>33</v>
      </c>
      <c r="G9" s="752">
        <v>33</v>
      </c>
      <c r="H9" s="753">
        <f>'[6]létszám ei mód RM II.'!M9</f>
        <v>1</v>
      </c>
      <c r="I9" s="752">
        <f>'[6]létszám ei mód RM II.'!N9</f>
        <v>1</v>
      </c>
      <c r="J9" s="754"/>
      <c r="K9" s="751"/>
      <c r="L9" s="753">
        <f>H9+J9+K9</f>
        <v>1</v>
      </c>
      <c r="M9" s="752">
        <v>1</v>
      </c>
      <c r="N9" s="755">
        <f t="shared" ref="N9:O26" si="0">F9+L9</f>
        <v>34</v>
      </c>
      <c r="O9" s="756">
        <f t="shared" si="0"/>
        <v>34</v>
      </c>
      <c r="Q9" s="734"/>
    </row>
    <row r="10" spans="1:17" s="757" customFormat="1" ht="45.75" customHeight="1" x14ac:dyDescent="0.55000000000000004">
      <c r="A10" s="758" t="s">
        <v>696</v>
      </c>
      <c r="B10" s="759">
        <f>'[6]létszám ei mód RM II.'!G10</f>
        <v>23</v>
      </c>
      <c r="C10" s="760">
        <f>'[6]létszám ei mód RM II.'!H10</f>
        <v>23</v>
      </c>
      <c r="D10" s="761"/>
      <c r="E10" s="762"/>
      <c r="F10" s="763">
        <f t="shared" ref="F10:F26" si="1">B10+D10+E10</f>
        <v>23</v>
      </c>
      <c r="G10" s="760">
        <v>23</v>
      </c>
      <c r="H10" s="759">
        <f>'[6]létszám ei mód RM II.'!M10</f>
        <v>1</v>
      </c>
      <c r="I10" s="764">
        <f>'[6]létszám ei mód RM II.'!N10</f>
        <v>1</v>
      </c>
      <c r="J10" s="765"/>
      <c r="K10" s="766"/>
      <c r="L10" s="763">
        <f t="shared" ref="L10:L25" si="2">H10+J10+K10</f>
        <v>1</v>
      </c>
      <c r="M10" s="760">
        <v>1</v>
      </c>
      <c r="N10" s="767">
        <f t="shared" si="0"/>
        <v>24</v>
      </c>
      <c r="O10" s="768">
        <f t="shared" si="0"/>
        <v>24</v>
      </c>
      <c r="Q10" s="734"/>
    </row>
    <row r="11" spans="1:17" s="757" customFormat="1" ht="45.75" customHeight="1" x14ac:dyDescent="0.55000000000000004">
      <c r="A11" s="758" t="s">
        <v>697</v>
      </c>
      <c r="B11" s="751">
        <f>'[6]létszám ei mód RM II.'!G11</f>
        <v>23</v>
      </c>
      <c r="C11" s="760">
        <f>'[6]létszám ei mód RM II.'!H11</f>
        <v>23</v>
      </c>
      <c r="D11" s="765"/>
      <c r="E11" s="769"/>
      <c r="F11" s="770">
        <f t="shared" si="1"/>
        <v>23</v>
      </c>
      <c r="G11" s="764">
        <v>23</v>
      </c>
      <c r="H11" s="753">
        <f>'[6]létszám ei mód RM II.'!M11</f>
        <v>1</v>
      </c>
      <c r="I11" s="752">
        <f>'[6]létszám ei mód RM II.'!N11</f>
        <v>1</v>
      </c>
      <c r="J11" s="754"/>
      <c r="K11" s="771"/>
      <c r="L11" s="770">
        <f t="shared" si="2"/>
        <v>1</v>
      </c>
      <c r="M11" s="764">
        <v>1</v>
      </c>
      <c r="N11" s="772">
        <f t="shared" si="0"/>
        <v>24</v>
      </c>
      <c r="O11" s="773">
        <f t="shared" si="0"/>
        <v>24</v>
      </c>
      <c r="Q11" s="734"/>
    </row>
    <row r="12" spans="1:17" s="757" customFormat="1" ht="45.75" customHeight="1" x14ac:dyDescent="0.55000000000000004">
      <c r="A12" s="758" t="s">
        <v>698</v>
      </c>
      <c r="B12" s="759">
        <f>'[6]létszám ei mód RM II.'!G12</f>
        <v>28</v>
      </c>
      <c r="C12" s="760">
        <f>'[6]létszám ei mód RM II.'!H12</f>
        <v>28</v>
      </c>
      <c r="D12" s="774"/>
      <c r="E12" s="751"/>
      <c r="F12" s="753">
        <f t="shared" si="1"/>
        <v>28</v>
      </c>
      <c r="G12" s="752">
        <v>28</v>
      </c>
      <c r="H12" s="759">
        <f>'[6]létszám ei mód RM II.'!M12</f>
        <v>1</v>
      </c>
      <c r="I12" s="764">
        <f>'[6]létszám ei mód RM II.'!N12</f>
        <v>1</v>
      </c>
      <c r="J12" s="765"/>
      <c r="K12" s="775"/>
      <c r="L12" s="753">
        <f t="shared" si="2"/>
        <v>1</v>
      </c>
      <c r="M12" s="752">
        <v>1</v>
      </c>
      <c r="N12" s="755">
        <f t="shared" si="0"/>
        <v>29</v>
      </c>
      <c r="O12" s="756">
        <f t="shared" si="0"/>
        <v>29</v>
      </c>
      <c r="Q12" s="734"/>
    </row>
    <row r="13" spans="1:17" s="757" customFormat="1" ht="45.75" customHeight="1" x14ac:dyDescent="0.55000000000000004">
      <c r="A13" s="758" t="s">
        <v>699</v>
      </c>
      <c r="B13" s="759">
        <f>'[6]létszám ei mód RM II.'!G13</f>
        <v>26</v>
      </c>
      <c r="C13" s="760">
        <f>'[6]létszám ei mód RM II.'!H13</f>
        <v>26</v>
      </c>
      <c r="D13" s="761"/>
      <c r="E13" s="762"/>
      <c r="F13" s="763">
        <f t="shared" si="1"/>
        <v>26</v>
      </c>
      <c r="G13" s="760">
        <v>26</v>
      </c>
      <c r="H13" s="759">
        <f>'[6]létszám ei mód RM II.'!M13</f>
        <v>1</v>
      </c>
      <c r="I13" s="752">
        <f>'[6]létszám ei mód RM II.'!N13</f>
        <v>1</v>
      </c>
      <c r="J13" s="765"/>
      <c r="K13" s="766"/>
      <c r="L13" s="763">
        <f t="shared" si="2"/>
        <v>1</v>
      </c>
      <c r="M13" s="760">
        <v>1</v>
      </c>
      <c r="N13" s="767">
        <f t="shared" si="0"/>
        <v>27</v>
      </c>
      <c r="O13" s="768">
        <f t="shared" si="0"/>
        <v>27</v>
      </c>
      <c r="Q13" s="734"/>
    </row>
    <row r="14" spans="1:17" s="757" customFormat="1" ht="45.75" customHeight="1" x14ac:dyDescent="0.55000000000000004">
      <c r="A14" s="758" t="s">
        <v>700</v>
      </c>
      <c r="B14" s="759">
        <f>'[6]létszám ei mód RM II.'!G14</f>
        <v>23</v>
      </c>
      <c r="C14" s="760">
        <f>'[6]létszám ei mód RM II.'!H14</f>
        <v>23</v>
      </c>
      <c r="D14" s="765"/>
      <c r="E14" s="759"/>
      <c r="F14" s="770">
        <f t="shared" si="1"/>
        <v>23</v>
      </c>
      <c r="G14" s="764">
        <v>23</v>
      </c>
      <c r="H14" s="759">
        <f>'[6]létszám ei mód RM II.'!M14</f>
        <v>1</v>
      </c>
      <c r="I14" s="764">
        <f>'[6]létszám ei mód RM II.'!N14</f>
        <v>1</v>
      </c>
      <c r="J14" s="765"/>
      <c r="K14" s="771"/>
      <c r="L14" s="770">
        <f t="shared" si="2"/>
        <v>1</v>
      </c>
      <c r="M14" s="764">
        <v>1</v>
      </c>
      <c r="N14" s="772">
        <f t="shared" si="0"/>
        <v>24</v>
      </c>
      <c r="O14" s="773">
        <f t="shared" si="0"/>
        <v>24</v>
      </c>
      <c r="Q14" s="734"/>
    </row>
    <row r="15" spans="1:17" s="757" customFormat="1" ht="45.75" customHeight="1" x14ac:dyDescent="0.55000000000000004">
      <c r="A15" s="758" t="s">
        <v>701</v>
      </c>
      <c r="B15" s="759">
        <f>'[6]létszám ei mód RM II.'!G15</f>
        <v>19</v>
      </c>
      <c r="C15" s="760">
        <f>'[6]létszám ei mód RM II.'!H15</f>
        <v>19</v>
      </c>
      <c r="D15" s="761"/>
      <c r="E15" s="762"/>
      <c r="F15" s="763">
        <f t="shared" si="1"/>
        <v>19</v>
      </c>
      <c r="G15" s="760">
        <v>19</v>
      </c>
      <c r="H15" s="759">
        <f>'[6]létszám ei mód RM II.'!M15</f>
        <v>1</v>
      </c>
      <c r="I15" s="752">
        <f>'[6]létszám ei mód RM II.'!N15</f>
        <v>1</v>
      </c>
      <c r="J15" s="765"/>
      <c r="K15" s="766"/>
      <c r="L15" s="763">
        <f t="shared" si="2"/>
        <v>1</v>
      </c>
      <c r="M15" s="760">
        <v>1</v>
      </c>
      <c r="N15" s="767">
        <f t="shared" si="0"/>
        <v>20</v>
      </c>
      <c r="O15" s="768">
        <f t="shared" si="0"/>
        <v>20</v>
      </c>
      <c r="Q15" s="734"/>
    </row>
    <row r="16" spans="1:17" s="757" customFormat="1" ht="45.75" customHeight="1" x14ac:dyDescent="0.55000000000000004">
      <c r="A16" s="758" t="s">
        <v>703</v>
      </c>
      <c r="B16" s="759">
        <f>'[6]létszám ei mód RM II.'!G16</f>
        <v>18</v>
      </c>
      <c r="C16" s="760">
        <f>'[6]létszám ei mód RM II.'!H16</f>
        <v>18</v>
      </c>
      <c r="D16" s="765"/>
      <c r="E16" s="759"/>
      <c r="F16" s="770">
        <f t="shared" si="1"/>
        <v>18</v>
      </c>
      <c r="G16" s="764">
        <v>18</v>
      </c>
      <c r="H16" s="759">
        <f>'[6]létszám ei mód RM II.'!M16</f>
        <v>1</v>
      </c>
      <c r="I16" s="764">
        <f>'[6]létszám ei mód RM II.'!N16</f>
        <v>1</v>
      </c>
      <c r="J16" s="765"/>
      <c r="K16" s="771"/>
      <c r="L16" s="770">
        <f t="shared" si="2"/>
        <v>1</v>
      </c>
      <c r="M16" s="764">
        <v>1</v>
      </c>
      <c r="N16" s="772">
        <f t="shared" si="0"/>
        <v>19</v>
      </c>
      <c r="O16" s="773">
        <f t="shared" si="0"/>
        <v>19</v>
      </c>
      <c r="Q16" s="734"/>
    </row>
    <row r="17" spans="1:17" s="757" customFormat="1" ht="45.75" customHeight="1" x14ac:dyDescent="0.55000000000000004">
      <c r="A17" s="758" t="s">
        <v>751</v>
      </c>
      <c r="B17" s="759">
        <f>'[6]létszám ei mód RM II.'!G17</f>
        <v>27</v>
      </c>
      <c r="C17" s="760">
        <f>'[6]létszám ei mód RM II.'!H17</f>
        <v>27</v>
      </c>
      <c r="D17" s="761"/>
      <c r="E17" s="776"/>
      <c r="F17" s="763">
        <f t="shared" si="1"/>
        <v>27</v>
      </c>
      <c r="G17" s="760">
        <v>27</v>
      </c>
      <c r="H17" s="759">
        <f>'[6]létszám ei mód RM II.'!M17</f>
        <v>1</v>
      </c>
      <c r="I17" s="752">
        <f>'[6]létszám ei mód RM II.'!N17</f>
        <v>1</v>
      </c>
      <c r="J17" s="765"/>
      <c r="K17" s="766"/>
      <c r="L17" s="763">
        <f t="shared" si="2"/>
        <v>1</v>
      </c>
      <c r="M17" s="760">
        <v>1</v>
      </c>
      <c r="N17" s="767">
        <f t="shared" si="0"/>
        <v>28</v>
      </c>
      <c r="O17" s="768">
        <f t="shared" si="0"/>
        <v>28</v>
      </c>
      <c r="Q17" s="734"/>
    </row>
    <row r="18" spans="1:17" s="757" customFormat="1" ht="45.75" customHeight="1" x14ac:dyDescent="0.55000000000000004">
      <c r="A18" s="758" t="s">
        <v>705</v>
      </c>
      <c r="B18" s="759">
        <f>'[6]létszám ei mód RM II.'!G18</f>
        <v>30</v>
      </c>
      <c r="C18" s="760">
        <f>'[6]létszám ei mód RM II.'!H18</f>
        <v>30</v>
      </c>
      <c r="D18" s="765"/>
      <c r="E18" s="759"/>
      <c r="F18" s="770">
        <f t="shared" si="1"/>
        <v>30</v>
      </c>
      <c r="G18" s="764">
        <v>30</v>
      </c>
      <c r="H18" s="759">
        <f>'[6]létszám ei mód RM II.'!M18</f>
        <v>1</v>
      </c>
      <c r="I18" s="764">
        <f>'[6]létszám ei mód RM II.'!N18</f>
        <v>1</v>
      </c>
      <c r="J18" s="765"/>
      <c r="K18" s="771"/>
      <c r="L18" s="770">
        <f t="shared" si="2"/>
        <v>1</v>
      </c>
      <c r="M18" s="764">
        <v>1</v>
      </c>
      <c r="N18" s="772">
        <f t="shared" si="0"/>
        <v>31</v>
      </c>
      <c r="O18" s="773">
        <f t="shared" si="0"/>
        <v>31</v>
      </c>
      <c r="Q18" s="734"/>
    </row>
    <row r="19" spans="1:17" s="757" customFormat="1" ht="45.75" customHeight="1" x14ac:dyDescent="0.55000000000000004">
      <c r="A19" s="758" t="s">
        <v>706</v>
      </c>
      <c r="B19" s="759">
        <f>'[6]létszám ei mód RM II.'!G19</f>
        <v>15</v>
      </c>
      <c r="C19" s="760">
        <f>'[6]létszám ei mód RM II.'!H19</f>
        <v>15</v>
      </c>
      <c r="D19" s="761"/>
      <c r="E19" s="762"/>
      <c r="F19" s="763">
        <f t="shared" si="1"/>
        <v>15</v>
      </c>
      <c r="G19" s="760">
        <v>15</v>
      </c>
      <c r="H19" s="759">
        <f>'[6]létszám ei mód RM II.'!M19</f>
        <v>1</v>
      </c>
      <c r="I19" s="752">
        <f>'[6]létszám ei mód RM II.'!N19</f>
        <v>1</v>
      </c>
      <c r="J19" s="765"/>
      <c r="K19" s="766"/>
      <c r="L19" s="763">
        <f t="shared" si="2"/>
        <v>1</v>
      </c>
      <c r="M19" s="760">
        <v>1</v>
      </c>
      <c r="N19" s="767">
        <f t="shared" si="0"/>
        <v>16</v>
      </c>
      <c r="O19" s="768">
        <f t="shared" si="0"/>
        <v>16</v>
      </c>
      <c r="Q19" s="734"/>
    </row>
    <row r="20" spans="1:17" s="757" customFormat="1" ht="45.75" customHeight="1" x14ac:dyDescent="0.55000000000000004">
      <c r="A20" s="758" t="s">
        <v>707</v>
      </c>
      <c r="B20" s="759">
        <f>'[6]létszám ei mód RM II.'!G20</f>
        <v>13.5</v>
      </c>
      <c r="C20" s="760">
        <f>'[6]létszám ei mód RM II.'!H20</f>
        <v>13</v>
      </c>
      <c r="D20" s="777"/>
      <c r="E20" s="759"/>
      <c r="F20" s="770">
        <f t="shared" si="1"/>
        <v>13.5</v>
      </c>
      <c r="G20" s="764">
        <v>13</v>
      </c>
      <c r="H20" s="759">
        <f>'[6]létszám ei mód RM II.'!M20</f>
        <v>1.5</v>
      </c>
      <c r="I20" s="764">
        <v>2</v>
      </c>
      <c r="J20" s="777"/>
      <c r="K20" s="771"/>
      <c r="L20" s="770">
        <f t="shared" si="2"/>
        <v>1.5</v>
      </c>
      <c r="M20" s="764">
        <v>2</v>
      </c>
      <c r="N20" s="772">
        <f t="shared" si="0"/>
        <v>15</v>
      </c>
      <c r="O20" s="773">
        <f t="shared" si="0"/>
        <v>15</v>
      </c>
      <c r="Q20" s="734"/>
    </row>
    <row r="21" spans="1:17" s="757" customFormat="1" ht="45.75" customHeight="1" x14ac:dyDescent="0.55000000000000004">
      <c r="A21" s="758" t="s">
        <v>708</v>
      </c>
      <c r="B21" s="759">
        <f>'[6]létszám ei mód RM II.'!G21</f>
        <v>19</v>
      </c>
      <c r="C21" s="760">
        <f>'[6]létszám ei mód RM II.'!H21</f>
        <v>19</v>
      </c>
      <c r="D21" s="761"/>
      <c r="E21" s="762"/>
      <c r="F21" s="763">
        <f t="shared" si="1"/>
        <v>19</v>
      </c>
      <c r="G21" s="760">
        <v>19</v>
      </c>
      <c r="H21" s="759">
        <f>'[6]létszám ei mód RM II.'!M21</f>
        <v>1</v>
      </c>
      <c r="I21" s="752">
        <f>'[6]létszám ei mód RM II.'!N21</f>
        <v>1</v>
      </c>
      <c r="J21" s="765"/>
      <c r="K21" s="766"/>
      <c r="L21" s="763">
        <f t="shared" si="2"/>
        <v>1</v>
      </c>
      <c r="M21" s="760">
        <v>1</v>
      </c>
      <c r="N21" s="767">
        <f t="shared" si="0"/>
        <v>20</v>
      </c>
      <c r="O21" s="768">
        <f t="shared" si="0"/>
        <v>20</v>
      </c>
      <c r="Q21" s="734"/>
    </row>
    <row r="22" spans="1:17" s="757" customFormat="1" ht="45.75" customHeight="1" x14ac:dyDescent="0.55000000000000004">
      <c r="A22" s="758" t="s">
        <v>709</v>
      </c>
      <c r="B22" s="759">
        <f>'[6]létszám ei mód RM II.'!G22</f>
        <v>20</v>
      </c>
      <c r="C22" s="760">
        <f>'[6]létszám ei mód RM II.'!H22</f>
        <v>20</v>
      </c>
      <c r="D22" s="765"/>
      <c r="E22" s="759"/>
      <c r="F22" s="770">
        <f t="shared" si="1"/>
        <v>20</v>
      </c>
      <c r="G22" s="764">
        <v>20</v>
      </c>
      <c r="H22" s="759">
        <f>'[6]létszám ei mód RM II.'!M22</f>
        <v>1</v>
      </c>
      <c r="I22" s="771">
        <f>'[6]létszám ei mód RM II.'!N22</f>
        <v>1</v>
      </c>
      <c r="J22" s="765"/>
      <c r="K22" s="759"/>
      <c r="L22" s="770">
        <f t="shared" si="2"/>
        <v>1</v>
      </c>
      <c r="M22" s="764">
        <v>1</v>
      </c>
      <c r="N22" s="772">
        <f t="shared" si="0"/>
        <v>21</v>
      </c>
      <c r="O22" s="773">
        <f t="shared" si="0"/>
        <v>21</v>
      </c>
      <c r="Q22" s="734"/>
    </row>
    <row r="23" spans="1:17" s="757" customFormat="1" ht="45.75" customHeight="1" x14ac:dyDescent="0.55000000000000004">
      <c r="A23" s="758" t="s">
        <v>710</v>
      </c>
      <c r="B23" s="759">
        <f>'[6]létszám ei mód RM II.'!G23</f>
        <v>30</v>
      </c>
      <c r="C23" s="760">
        <f>'[6]létszám ei mód RM II.'!H23</f>
        <v>30</v>
      </c>
      <c r="D23" s="761"/>
      <c r="E23" s="762"/>
      <c r="F23" s="763">
        <f t="shared" si="1"/>
        <v>30</v>
      </c>
      <c r="G23" s="760">
        <v>30</v>
      </c>
      <c r="H23" s="759">
        <f>'[6]létszám ei mód RM II.'!M23</f>
        <v>1</v>
      </c>
      <c r="I23" s="764">
        <f>'[6]létszám ei mód RM II.'!N23</f>
        <v>1</v>
      </c>
      <c r="J23" s="765"/>
      <c r="K23" s="766"/>
      <c r="L23" s="763">
        <f t="shared" si="2"/>
        <v>1</v>
      </c>
      <c r="M23" s="760">
        <v>1</v>
      </c>
      <c r="N23" s="767">
        <f t="shared" si="0"/>
        <v>31</v>
      </c>
      <c r="O23" s="768">
        <f t="shared" si="0"/>
        <v>31</v>
      </c>
      <c r="Q23" s="734"/>
    </row>
    <row r="24" spans="1:17" s="757" customFormat="1" ht="45.75" customHeight="1" x14ac:dyDescent="0.55000000000000004">
      <c r="A24" s="758" t="s">
        <v>711</v>
      </c>
      <c r="B24" s="759">
        <f>'[6]létszám ei mód RM II.'!G24</f>
        <v>23</v>
      </c>
      <c r="C24" s="760">
        <f>'[6]létszám ei mód RM II.'!H24</f>
        <v>23</v>
      </c>
      <c r="D24" s="765"/>
      <c r="E24" s="759"/>
      <c r="F24" s="770">
        <f t="shared" si="1"/>
        <v>23</v>
      </c>
      <c r="G24" s="764">
        <v>23</v>
      </c>
      <c r="H24" s="759">
        <f>'[6]létszám ei mód RM II.'!M24</f>
        <v>1</v>
      </c>
      <c r="I24" s="752">
        <f>'[6]létszám ei mód RM II.'!N24</f>
        <v>1</v>
      </c>
      <c r="J24" s="765"/>
      <c r="K24" s="771"/>
      <c r="L24" s="770">
        <f t="shared" si="2"/>
        <v>1</v>
      </c>
      <c r="M24" s="764">
        <v>1</v>
      </c>
      <c r="N24" s="772">
        <f t="shared" si="0"/>
        <v>24</v>
      </c>
      <c r="O24" s="773">
        <f t="shared" si="0"/>
        <v>24</v>
      </c>
      <c r="Q24" s="734"/>
    </row>
    <row r="25" spans="1:17" s="757" customFormat="1" ht="45.75" customHeight="1" x14ac:dyDescent="0.55000000000000004">
      <c r="A25" s="750" t="s">
        <v>712</v>
      </c>
      <c r="B25" s="759">
        <f>'[6]létszám ei mód RM II.'!G25</f>
        <v>17</v>
      </c>
      <c r="C25" s="771">
        <f>'[6]létszám ei mód RM II.'!H25</f>
        <v>17</v>
      </c>
      <c r="D25" s="778"/>
      <c r="E25" s="779"/>
      <c r="F25" s="780">
        <f t="shared" si="1"/>
        <v>17</v>
      </c>
      <c r="G25" s="781">
        <v>17</v>
      </c>
      <c r="H25" s="759">
        <f>'[6]létszám ei mód RM II.'!M25</f>
        <v>1</v>
      </c>
      <c r="I25" s="764">
        <f>'[6]létszám ei mód RM II.'!N25</f>
        <v>1</v>
      </c>
      <c r="J25" s="765"/>
      <c r="K25" s="782"/>
      <c r="L25" s="780">
        <f t="shared" si="2"/>
        <v>1</v>
      </c>
      <c r="M25" s="781">
        <v>1</v>
      </c>
      <c r="N25" s="783">
        <f t="shared" si="0"/>
        <v>18</v>
      </c>
      <c r="O25" s="784">
        <f t="shared" si="0"/>
        <v>18</v>
      </c>
      <c r="Q25" s="734"/>
    </row>
    <row r="26" spans="1:17" s="757" customFormat="1" ht="45.75" customHeight="1" thickBot="1" x14ac:dyDescent="0.6">
      <c r="A26" s="785" t="s">
        <v>713</v>
      </c>
      <c r="B26" s="751">
        <f>'[6]létszám ei mód RM II.'!G26</f>
        <v>11.5</v>
      </c>
      <c r="C26" s="752">
        <f>'[6]létszám ei mód RM II.'!H26</f>
        <v>12</v>
      </c>
      <c r="D26" s="786"/>
      <c r="E26" s="787"/>
      <c r="F26" s="753">
        <f t="shared" si="1"/>
        <v>11.5</v>
      </c>
      <c r="G26" s="752">
        <v>12</v>
      </c>
      <c r="H26" s="753">
        <f>'[6]létszám ei mód RM II.'!M26</f>
        <v>1.5</v>
      </c>
      <c r="I26" s="752">
        <f>'[6]létszám ei mód RM II.'!N26</f>
        <v>1</v>
      </c>
      <c r="J26" s="788"/>
      <c r="K26" s="789"/>
      <c r="L26" s="753">
        <f>H26+J26+K26</f>
        <v>1.5</v>
      </c>
      <c r="M26" s="752">
        <v>1</v>
      </c>
      <c r="N26" s="755">
        <f t="shared" si="0"/>
        <v>13</v>
      </c>
      <c r="O26" s="756">
        <f t="shared" si="0"/>
        <v>13</v>
      </c>
      <c r="Q26" s="734"/>
    </row>
    <row r="27" spans="1:17" s="757" customFormat="1" ht="45.75" customHeight="1" thickBot="1" x14ac:dyDescent="0.6">
      <c r="A27" s="790" t="s">
        <v>752</v>
      </c>
      <c r="B27" s="791">
        <f t="shared" ref="B27:O27" si="3">SUM(B9:B26)</f>
        <v>399</v>
      </c>
      <c r="C27" s="792">
        <f t="shared" si="3"/>
        <v>399</v>
      </c>
      <c r="D27" s="791">
        <f t="shared" si="3"/>
        <v>0</v>
      </c>
      <c r="E27" s="791">
        <f t="shared" si="3"/>
        <v>0</v>
      </c>
      <c r="F27" s="791">
        <f t="shared" si="3"/>
        <v>399</v>
      </c>
      <c r="G27" s="792">
        <f t="shared" si="3"/>
        <v>399</v>
      </c>
      <c r="H27" s="791">
        <f t="shared" si="3"/>
        <v>19</v>
      </c>
      <c r="I27" s="792">
        <f t="shared" si="3"/>
        <v>19</v>
      </c>
      <c r="J27" s="791">
        <f t="shared" si="3"/>
        <v>0</v>
      </c>
      <c r="K27" s="791">
        <f t="shared" si="3"/>
        <v>0</v>
      </c>
      <c r="L27" s="791">
        <f t="shared" si="3"/>
        <v>19</v>
      </c>
      <c r="M27" s="792">
        <f t="shared" si="3"/>
        <v>19</v>
      </c>
      <c r="N27" s="791">
        <f t="shared" si="3"/>
        <v>418</v>
      </c>
      <c r="O27" s="792">
        <f t="shared" si="3"/>
        <v>418</v>
      </c>
      <c r="Q27" s="734"/>
    </row>
    <row r="28" spans="1:17" s="757" customFormat="1" ht="44.25" customHeight="1" thickBot="1" x14ac:dyDescent="0.6">
      <c r="A28" s="793" t="s">
        <v>715</v>
      </c>
      <c r="B28" s="751">
        <f>'[6]létszám ei mód RM II.'!G28</f>
        <v>0</v>
      </c>
      <c r="C28" s="752">
        <f>'[6]létszám ei mód RM II.'!H28</f>
        <v>0</v>
      </c>
      <c r="D28" s="753"/>
      <c r="E28" s="753"/>
      <c r="F28" s="753">
        <f>B28+D28+E28</f>
        <v>0</v>
      </c>
      <c r="G28" s="752">
        <v>0</v>
      </c>
      <c r="H28" s="780">
        <f>'[6]létszám ei mód RM II.'!M28</f>
        <v>44</v>
      </c>
      <c r="I28" s="794">
        <f>'[6]létszám ei mód RM II.'!N28</f>
        <v>44</v>
      </c>
      <c r="J28" s="780"/>
      <c r="K28" s="759"/>
      <c r="L28" s="763">
        <f>H28+J28+K28</f>
        <v>44</v>
      </c>
      <c r="M28" s="794">
        <v>44</v>
      </c>
      <c r="N28" s="767">
        <f>F28+L28</f>
        <v>44</v>
      </c>
      <c r="O28" s="773">
        <f>G28+M28</f>
        <v>44</v>
      </c>
      <c r="Q28" s="734"/>
    </row>
    <row r="29" spans="1:17" s="757" customFormat="1" ht="42.75" customHeight="1" thickBot="1" x14ac:dyDescent="0.6">
      <c r="A29" s="790" t="s">
        <v>753</v>
      </c>
      <c r="B29" s="795">
        <f>SUM(B27:B28)</f>
        <v>399</v>
      </c>
      <c r="C29" s="796">
        <f>SUM(C27:C28)</f>
        <v>399</v>
      </c>
      <c r="D29" s="795">
        <f>D28+D27</f>
        <v>0</v>
      </c>
      <c r="E29" s="795">
        <f>E28+E27</f>
        <v>0</v>
      </c>
      <c r="F29" s="795">
        <f>SUM(F27:F28)</f>
        <v>399</v>
      </c>
      <c r="G29" s="796">
        <f>SUM(G27:G28)</f>
        <v>399</v>
      </c>
      <c r="H29" s="795">
        <f t="shared" ref="H29:O29" si="4">H28+H27</f>
        <v>63</v>
      </c>
      <c r="I29" s="796">
        <f t="shared" si="4"/>
        <v>63</v>
      </c>
      <c r="J29" s="795">
        <f t="shared" si="4"/>
        <v>0</v>
      </c>
      <c r="K29" s="795">
        <f t="shared" si="4"/>
        <v>0</v>
      </c>
      <c r="L29" s="795">
        <f t="shared" si="4"/>
        <v>63</v>
      </c>
      <c r="M29" s="796">
        <f t="shared" si="4"/>
        <v>63</v>
      </c>
      <c r="N29" s="795">
        <f t="shared" si="4"/>
        <v>462</v>
      </c>
      <c r="O29" s="796">
        <f t="shared" si="4"/>
        <v>462</v>
      </c>
      <c r="Q29" s="734"/>
    </row>
    <row r="30" spans="1:17" s="757" customFormat="1" ht="42.75" customHeight="1" x14ac:dyDescent="0.55000000000000004">
      <c r="A30" s="797" t="s">
        <v>754</v>
      </c>
      <c r="B30" s="798"/>
      <c r="C30" s="755"/>
      <c r="D30" s="755"/>
      <c r="E30" s="755"/>
      <c r="F30" s="755"/>
      <c r="G30" s="755"/>
      <c r="H30" s="755"/>
      <c r="I30" s="755"/>
      <c r="J30" s="799"/>
      <c r="K30" s="798"/>
      <c r="L30" s="755"/>
      <c r="M30" s="755"/>
      <c r="N30" s="755"/>
      <c r="O30" s="755"/>
      <c r="Q30" s="734"/>
    </row>
    <row r="31" spans="1:17" s="757" customFormat="1" ht="45.75" customHeight="1" x14ac:dyDescent="0.55000000000000004">
      <c r="A31" s="744" t="s">
        <v>755</v>
      </c>
      <c r="B31" s="800"/>
      <c r="C31" s="755"/>
      <c r="D31" s="755"/>
      <c r="E31" s="755"/>
      <c r="F31" s="755"/>
      <c r="G31" s="755"/>
      <c r="H31" s="801"/>
      <c r="I31" s="783"/>
      <c r="J31" s="799"/>
      <c r="K31" s="801"/>
      <c r="L31" s="755"/>
      <c r="M31" s="755"/>
      <c r="N31" s="755"/>
      <c r="O31" s="755"/>
      <c r="Q31" s="734"/>
    </row>
    <row r="32" spans="1:17" s="757" customFormat="1" ht="44.25" customHeight="1" x14ac:dyDescent="0.55000000000000004">
      <c r="A32" s="758" t="s">
        <v>105</v>
      </c>
      <c r="B32" s="759">
        <f>'[6]létszám ei mód RM II.'!G32</f>
        <v>18</v>
      </c>
      <c r="C32" s="760">
        <f>'[6]létszám ei mód RM II.'!H32</f>
        <v>18</v>
      </c>
      <c r="D32" s="770"/>
      <c r="E32" s="770"/>
      <c r="F32" s="770">
        <f>B32+D32+E32</f>
        <v>18</v>
      </c>
      <c r="G32" s="764">
        <v>18</v>
      </c>
      <c r="H32" s="753">
        <f>'[6]létszám ei mód RM II.'!M32</f>
        <v>1.75</v>
      </c>
      <c r="I32" s="752">
        <f>'[6]létszám ei mód RM II.'!N32</f>
        <v>2</v>
      </c>
      <c r="J32" s="802"/>
      <c r="K32" s="779"/>
      <c r="L32" s="770">
        <f>H32+J32+K32</f>
        <v>1.75</v>
      </c>
      <c r="M32" s="764">
        <v>2</v>
      </c>
      <c r="N32" s="772">
        <f t="shared" ref="N32:O35" si="5">F32+L32</f>
        <v>19.75</v>
      </c>
      <c r="O32" s="768">
        <f t="shared" si="5"/>
        <v>20</v>
      </c>
      <c r="Q32" s="734"/>
    </row>
    <row r="33" spans="1:17" s="757" customFormat="1" ht="44.25" customHeight="1" x14ac:dyDescent="0.55000000000000004">
      <c r="A33" s="758" t="s">
        <v>719</v>
      </c>
      <c r="B33" s="759">
        <f>'[6]létszám ei mód RM II.'!G33</f>
        <v>77</v>
      </c>
      <c r="C33" s="760">
        <f>'[6]létszám ei mód RM II.'!H33</f>
        <v>77</v>
      </c>
      <c r="D33" s="770"/>
      <c r="E33" s="770"/>
      <c r="F33" s="770">
        <f>B33+D33+E33</f>
        <v>77</v>
      </c>
      <c r="G33" s="764">
        <v>77</v>
      </c>
      <c r="H33" s="759">
        <f>'[6]létszám ei mód RM II.'!M33</f>
        <v>7.5</v>
      </c>
      <c r="I33" s="764">
        <f>'[6]létszám ei mód RM II.'!N33</f>
        <v>7</v>
      </c>
      <c r="J33" s="765"/>
      <c r="K33" s="779"/>
      <c r="L33" s="770">
        <f>H33+J33+K33</f>
        <v>7.5</v>
      </c>
      <c r="M33" s="764">
        <v>7</v>
      </c>
      <c r="N33" s="772">
        <f t="shared" si="5"/>
        <v>84.5</v>
      </c>
      <c r="O33" s="768">
        <f t="shared" si="5"/>
        <v>84</v>
      </c>
      <c r="Q33" s="734"/>
    </row>
    <row r="34" spans="1:17" s="757" customFormat="1" ht="44.25" customHeight="1" x14ac:dyDescent="0.55000000000000004">
      <c r="A34" s="758" t="s">
        <v>720</v>
      </c>
      <c r="B34" s="759">
        <f>'[6]létszám ei mód RM II.'!G34</f>
        <v>35</v>
      </c>
      <c r="C34" s="764">
        <f>'[6]létszám ei mód RM II.'!H34</f>
        <v>35</v>
      </c>
      <c r="D34" s="770"/>
      <c r="E34" s="770"/>
      <c r="F34" s="770">
        <f>B34+D34+E34</f>
        <v>35</v>
      </c>
      <c r="G34" s="764">
        <v>35</v>
      </c>
      <c r="H34" s="759">
        <f>'[6]létszám ei mód RM II.'!M34</f>
        <v>11</v>
      </c>
      <c r="I34" s="764">
        <f>'[6]létszám ei mód RM II.'!N34</f>
        <v>11</v>
      </c>
      <c r="J34" s="803"/>
      <c r="K34" s="779"/>
      <c r="L34" s="770">
        <f>H34+J34+K34</f>
        <v>11</v>
      </c>
      <c r="M34" s="764">
        <v>11</v>
      </c>
      <c r="N34" s="772">
        <f t="shared" si="5"/>
        <v>46</v>
      </c>
      <c r="O34" s="768">
        <f t="shared" si="5"/>
        <v>46</v>
      </c>
      <c r="Q34" s="734"/>
    </row>
    <row r="35" spans="1:17" s="757" customFormat="1" ht="44.25" customHeight="1" thickBot="1" x14ac:dyDescent="0.6">
      <c r="A35" s="804" t="s">
        <v>617</v>
      </c>
      <c r="B35" s="805">
        <f>'[6]létszám ei mód RM II.'!G35</f>
        <v>66.5</v>
      </c>
      <c r="C35" s="752">
        <f>'[6]létszám ei mód RM II.'!H35</f>
        <v>67</v>
      </c>
      <c r="D35" s="753"/>
      <c r="E35" s="753"/>
      <c r="F35" s="753">
        <f>B35+D35+E35</f>
        <v>66.5</v>
      </c>
      <c r="G35" s="752">
        <v>67</v>
      </c>
      <c r="H35" s="753">
        <f>'[6]létszám ei mód RM II.'!M35</f>
        <v>34.25</v>
      </c>
      <c r="I35" s="752">
        <f>'[6]létszám ei mód RM II.'!N35</f>
        <v>34</v>
      </c>
      <c r="J35" s="806"/>
      <c r="K35" s="805"/>
      <c r="L35" s="753">
        <f>H35+J35+K35</f>
        <v>34.25</v>
      </c>
      <c r="M35" s="752">
        <v>34</v>
      </c>
      <c r="N35" s="755">
        <f t="shared" si="5"/>
        <v>100.75</v>
      </c>
      <c r="O35" s="768">
        <f t="shared" si="5"/>
        <v>101</v>
      </c>
      <c r="Q35" s="734"/>
    </row>
    <row r="36" spans="1:17" s="757" customFormat="1" ht="44.25" customHeight="1" thickBot="1" x14ac:dyDescent="0.6">
      <c r="A36" s="790" t="s">
        <v>756</v>
      </c>
      <c r="B36" s="795">
        <f t="shared" ref="B36:O36" si="6">SUM(B32:B35)</f>
        <v>196.5</v>
      </c>
      <c r="C36" s="796">
        <f t="shared" si="6"/>
        <v>197</v>
      </c>
      <c r="D36" s="795">
        <f t="shared" si="6"/>
        <v>0</v>
      </c>
      <c r="E36" s="795">
        <f t="shared" si="6"/>
        <v>0</v>
      </c>
      <c r="F36" s="795">
        <f t="shared" si="6"/>
        <v>196.5</v>
      </c>
      <c r="G36" s="796">
        <f t="shared" si="6"/>
        <v>197</v>
      </c>
      <c r="H36" s="795">
        <f t="shared" si="6"/>
        <v>54.5</v>
      </c>
      <c r="I36" s="796">
        <f t="shared" si="6"/>
        <v>54</v>
      </c>
      <c r="J36" s="791">
        <f t="shared" si="6"/>
        <v>0</v>
      </c>
      <c r="K36" s="791">
        <f t="shared" si="6"/>
        <v>0</v>
      </c>
      <c r="L36" s="795">
        <f t="shared" si="6"/>
        <v>54.5</v>
      </c>
      <c r="M36" s="796">
        <f t="shared" si="6"/>
        <v>54</v>
      </c>
      <c r="N36" s="795">
        <f t="shared" si="6"/>
        <v>251</v>
      </c>
      <c r="O36" s="796">
        <f t="shared" si="6"/>
        <v>251</v>
      </c>
      <c r="Q36" s="734"/>
    </row>
    <row r="37" spans="1:17" s="757" customFormat="1" ht="45.75" customHeight="1" x14ac:dyDescent="0.55000000000000004">
      <c r="A37" s="797" t="s">
        <v>722</v>
      </c>
      <c r="B37" s="807"/>
      <c r="C37" s="807"/>
      <c r="D37" s="807"/>
      <c r="E37" s="807"/>
      <c r="F37" s="807"/>
      <c r="G37" s="807"/>
      <c r="H37" s="807"/>
      <c r="I37" s="807"/>
      <c r="J37" s="807"/>
      <c r="K37" s="807"/>
      <c r="L37" s="807"/>
      <c r="M37" s="807"/>
      <c r="N37" s="807"/>
      <c r="O37" s="807"/>
      <c r="Q37" s="734"/>
    </row>
    <row r="38" spans="1:17" s="757" customFormat="1" ht="69" thickBot="1" x14ac:dyDescent="0.6">
      <c r="A38" s="808" t="s">
        <v>551</v>
      </c>
      <c r="B38" s="751">
        <f>'[6]létszám ei mód RM II.'!G38</f>
        <v>161.25</v>
      </c>
      <c r="C38" s="752">
        <f>'[6]létszám ei mód RM II.'!H38</f>
        <v>161</v>
      </c>
      <c r="D38" s="780"/>
      <c r="E38" s="780"/>
      <c r="F38" s="780">
        <f>B38+D38+E38</f>
        <v>161.25</v>
      </c>
      <c r="G38" s="781">
        <v>161</v>
      </c>
      <c r="H38" s="753">
        <f>'[6]létszám ei mód RM II.'!M38</f>
        <v>21.5</v>
      </c>
      <c r="I38" s="752">
        <f>'[6]létszám ei mód RM II.'!N38</f>
        <v>22</v>
      </c>
      <c r="J38" s="809"/>
      <c r="K38" s="779"/>
      <c r="L38" s="780">
        <f>H38+J38+K38</f>
        <v>21.5</v>
      </c>
      <c r="M38" s="781">
        <v>22</v>
      </c>
      <c r="N38" s="783">
        <f>F38+L38</f>
        <v>182.75</v>
      </c>
      <c r="O38" s="756">
        <f>G38+M38</f>
        <v>183</v>
      </c>
      <c r="Q38" s="734"/>
    </row>
    <row r="39" spans="1:17" s="757" customFormat="1" ht="44.25" customHeight="1" x14ac:dyDescent="0.55000000000000004">
      <c r="A39" s="797" t="s">
        <v>723</v>
      </c>
      <c r="B39" s="807"/>
      <c r="C39" s="807"/>
      <c r="D39" s="807"/>
      <c r="E39" s="807"/>
      <c r="F39" s="807"/>
      <c r="G39" s="807"/>
      <c r="H39" s="807"/>
      <c r="I39" s="807"/>
      <c r="J39" s="807"/>
      <c r="K39" s="807"/>
      <c r="L39" s="807"/>
      <c r="M39" s="807"/>
      <c r="N39" s="807"/>
      <c r="O39" s="807"/>
      <c r="Q39" s="734"/>
    </row>
    <row r="40" spans="1:17" s="757" customFormat="1" ht="45.75" customHeight="1" thickBot="1" x14ac:dyDescent="0.6">
      <c r="A40" s="810" t="s">
        <v>724</v>
      </c>
      <c r="B40" s="787">
        <f>'[6]létszám ei mód RM II.'!G40</f>
        <v>45</v>
      </c>
      <c r="C40" s="811">
        <f>'[6]létszám ei mód RM II.'!H40</f>
        <v>45</v>
      </c>
      <c r="D40" s="812"/>
      <c r="E40" s="812"/>
      <c r="F40" s="812">
        <f>B40+D40+E40</f>
        <v>45</v>
      </c>
      <c r="G40" s="811">
        <v>45</v>
      </c>
      <c r="H40" s="787">
        <f>'[6]létszám ei mód RM II.'!M40</f>
        <v>30</v>
      </c>
      <c r="I40" s="811">
        <f>'[6]létszám ei mód RM II.'!N40</f>
        <v>30</v>
      </c>
      <c r="J40" s="812"/>
      <c r="K40" s="812"/>
      <c r="L40" s="812">
        <f>H40+J40+K40</f>
        <v>30</v>
      </c>
      <c r="M40" s="811">
        <v>30</v>
      </c>
      <c r="N40" s="813">
        <f>F40+L40</f>
        <v>75</v>
      </c>
      <c r="O40" s="814">
        <f>G40+M40</f>
        <v>75</v>
      </c>
      <c r="Q40" s="734"/>
    </row>
    <row r="41" spans="1:17" s="757" customFormat="1" ht="45" customHeight="1" x14ac:dyDescent="0.55000000000000004">
      <c r="A41" s="797" t="s">
        <v>725</v>
      </c>
      <c r="B41" s="807"/>
      <c r="C41" s="807"/>
      <c r="D41" s="807"/>
      <c r="E41" s="807"/>
      <c r="F41" s="807"/>
      <c r="G41" s="807"/>
      <c r="H41" s="807"/>
      <c r="I41" s="807"/>
      <c r="J41" s="807"/>
      <c r="K41" s="807"/>
      <c r="L41" s="807"/>
      <c r="M41" s="807"/>
      <c r="N41" s="807"/>
      <c r="O41" s="807"/>
      <c r="Q41" s="734"/>
    </row>
    <row r="42" spans="1:17" s="757" customFormat="1" ht="44.25" customHeight="1" thickBot="1" x14ac:dyDescent="0.6">
      <c r="A42" s="810" t="s">
        <v>552</v>
      </c>
      <c r="B42" s="787">
        <f>'[6]létszám ei mód RM II.'!G42</f>
        <v>146.01</v>
      </c>
      <c r="C42" s="811">
        <f>'[6]létszám ei mód RM II.'!H42</f>
        <v>146</v>
      </c>
      <c r="D42" s="812"/>
      <c r="E42" s="812">
        <v>9</v>
      </c>
      <c r="F42" s="812">
        <f>B42+D42+E42</f>
        <v>155.01</v>
      </c>
      <c r="G42" s="811">
        <v>155</v>
      </c>
      <c r="H42" s="787">
        <f>'[6]létszám ei mód RM II.'!M42</f>
        <v>42.74499999999999</v>
      </c>
      <c r="I42" s="811">
        <f>'[6]létszám ei mód RM II.'!N42</f>
        <v>43</v>
      </c>
      <c r="J42" s="812">
        <v>3</v>
      </c>
      <c r="K42" s="812"/>
      <c r="L42" s="813">
        <f>H42+J42+K42</f>
        <v>45.74499999999999</v>
      </c>
      <c r="M42" s="814">
        <v>46</v>
      </c>
      <c r="N42" s="813">
        <f>F42+L42</f>
        <v>200.755</v>
      </c>
      <c r="O42" s="814">
        <f>G42+M42</f>
        <v>201</v>
      </c>
      <c r="Q42" s="734"/>
    </row>
    <row r="43" spans="1:17" s="757" customFormat="1" ht="45.75" customHeight="1" x14ac:dyDescent="0.55000000000000004">
      <c r="A43" s="797" t="s">
        <v>726</v>
      </c>
      <c r="B43" s="807"/>
      <c r="C43" s="807"/>
      <c r="D43" s="807"/>
      <c r="E43" s="807"/>
      <c r="F43" s="807"/>
      <c r="G43" s="807"/>
      <c r="H43" s="807"/>
      <c r="I43" s="807"/>
      <c r="J43" s="807"/>
      <c r="K43" s="807"/>
      <c r="L43" s="807"/>
      <c r="M43" s="807"/>
      <c r="N43" s="807"/>
      <c r="O43" s="807"/>
      <c r="Q43" s="734"/>
    </row>
    <row r="44" spans="1:17" s="757" customFormat="1" ht="44.25" customHeight="1" x14ac:dyDescent="0.55000000000000004">
      <c r="A44" s="810" t="s">
        <v>737</v>
      </c>
      <c r="B44" s="753">
        <f>'[6]létszám ei mód RM II.'!G44</f>
        <v>1</v>
      </c>
      <c r="C44" s="752">
        <f>'[6]létszám ei mód RM II.'!H44</f>
        <v>1</v>
      </c>
      <c r="D44" s="815"/>
      <c r="E44" s="815"/>
      <c r="F44" s="753">
        <f>B44+D44+E44</f>
        <v>1</v>
      </c>
      <c r="G44" s="752">
        <v>1</v>
      </c>
      <c r="H44" s="753">
        <f>'[6]létszám ei mód RM II.'!M44</f>
        <v>13.5</v>
      </c>
      <c r="I44" s="752">
        <f>'[6]létszám ei mód RM II.'!N44</f>
        <v>13</v>
      </c>
      <c r="J44" s="755"/>
      <c r="K44" s="801"/>
      <c r="L44" s="755">
        <f>H44+J44+K44</f>
        <v>13.5</v>
      </c>
      <c r="M44" s="756">
        <v>13</v>
      </c>
      <c r="N44" s="755">
        <f>F44+L44</f>
        <v>14.5</v>
      </c>
      <c r="O44" s="756">
        <f>G44+M44</f>
        <v>14</v>
      </c>
      <c r="Q44" s="734"/>
    </row>
    <row r="45" spans="1:17" s="757" customFormat="1" ht="44.25" customHeight="1" thickBot="1" x14ac:dyDescent="0.6">
      <c r="A45" s="816" t="s">
        <v>4</v>
      </c>
      <c r="B45" s="805">
        <f>'[6]létszám ei mód RM II.'!G45</f>
        <v>282.5</v>
      </c>
      <c r="C45" s="817">
        <f>'[6]létszám ei mód RM II.'!H45</f>
        <v>283</v>
      </c>
      <c r="D45" s="818">
        <v>2</v>
      </c>
      <c r="E45" s="818"/>
      <c r="F45" s="818">
        <f>B45+D45+E45</f>
        <v>284.5</v>
      </c>
      <c r="G45" s="817">
        <v>285</v>
      </c>
      <c r="H45" s="818">
        <f>'[6]létszám ei mód RM II.'!M45</f>
        <v>0</v>
      </c>
      <c r="I45" s="817">
        <f>'[6]létszám ei mód RM II.'!N45</f>
        <v>0</v>
      </c>
      <c r="J45" s="819"/>
      <c r="K45" s="820"/>
      <c r="L45" s="821">
        <f>H45+J45+K45</f>
        <v>0</v>
      </c>
      <c r="M45" s="819">
        <v>0</v>
      </c>
      <c r="N45" s="821">
        <f>F45+L45</f>
        <v>284.5</v>
      </c>
      <c r="O45" s="819">
        <f>G45+M45</f>
        <v>285</v>
      </c>
      <c r="Q45" s="734"/>
    </row>
    <row r="46" spans="1:17" s="757" customFormat="1" ht="44.25" customHeight="1" thickBot="1" x14ac:dyDescent="0.6">
      <c r="A46" s="790" t="s">
        <v>757</v>
      </c>
      <c r="B46" s="813">
        <f t="shared" ref="B46:O46" si="7">SUM(B44:B45)</f>
        <v>283.5</v>
      </c>
      <c r="C46" s="814">
        <f t="shared" si="7"/>
        <v>284</v>
      </c>
      <c r="D46" s="813">
        <f t="shared" si="7"/>
        <v>2</v>
      </c>
      <c r="E46" s="813">
        <f t="shared" si="7"/>
        <v>0</v>
      </c>
      <c r="F46" s="813">
        <f t="shared" si="7"/>
        <v>285.5</v>
      </c>
      <c r="G46" s="814">
        <f t="shared" si="7"/>
        <v>286</v>
      </c>
      <c r="H46" s="791">
        <f t="shared" si="7"/>
        <v>13.5</v>
      </c>
      <c r="I46" s="814">
        <f t="shared" si="7"/>
        <v>13</v>
      </c>
      <c r="J46" s="813">
        <f t="shared" si="7"/>
        <v>0</v>
      </c>
      <c r="K46" s="813">
        <f t="shared" si="7"/>
        <v>0</v>
      </c>
      <c r="L46" s="813">
        <f t="shared" si="7"/>
        <v>13.5</v>
      </c>
      <c r="M46" s="814">
        <f t="shared" si="7"/>
        <v>13</v>
      </c>
      <c r="N46" s="813">
        <f t="shared" si="7"/>
        <v>299</v>
      </c>
      <c r="O46" s="814">
        <f t="shared" si="7"/>
        <v>299</v>
      </c>
      <c r="Q46" s="734"/>
    </row>
    <row r="47" spans="1:17" s="757" customFormat="1" ht="44.25" customHeight="1" thickBot="1" x14ac:dyDescent="0.6">
      <c r="A47" s="822" t="s">
        <v>728</v>
      </c>
      <c r="B47" s="813">
        <f t="shared" ref="B47:O47" si="8">B36+B38+B40+B42+B46</f>
        <v>832.26</v>
      </c>
      <c r="C47" s="814">
        <f t="shared" si="8"/>
        <v>833</v>
      </c>
      <c r="D47" s="813">
        <f t="shared" si="8"/>
        <v>2</v>
      </c>
      <c r="E47" s="813">
        <f t="shared" si="8"/>
        <v>9</v>
      </c>
      <c r="F47" s="813">
        <f t="shared" si="8"/>
        <v>843.26</v>
      </c>
      <c r="G47" s="814">
        <f t="shared" si="8"/>
        <v>844</v>
      </c>
      <c r="H47" s="813">
        <f t="shared" si="8"/>
        <v>162.245</v>
      </c>
      <c r="I47" s="814">
        <f t="shared" si="8"/>
        <v>162</v>
      </c>
      <c r="J47" s="813">
        <f t="shared" si="8"/>
        <v>3</v>
      </c>
      <c r="K47" s="813">
        <f t="shared" si="8"/>
        <v>0</v>
      </c>
      <c r="L47" s="813">
        <f t="shared" si="8"/>
        <v>165.245</v>
      </c>
      <c r="M47" s="814">
        <f t="shared" si="8"/>
        <v>165</v>
      </c>
      <c r="N47" s="813">
        <f t="shared" si="8"/>
        <v>1008.505</v>
      </c>
      <c r="O47" s="814">
        <f t="shared" si="8"/>
        <v>1009</v>
      </c>
      <c r="Q47" s="734"/>
    </row>
    <row r="48" spans="1:17" s="757" customFormat="1" ht="42.75" customHeight="1" thickBot="1" x14ac:dyDescent="0.6">
      <c r="A48" s="823" t="s">
        <v>729</v>
      </c>
      <c r="B48" s="813">
        <f t="shared" ref="B48:O48" si="9">B29+B47</f>
        <v>1231.26</v>
      </c>
      <c r="C48" s="814">
        <f t="shared" si="9"/>
        <v>1232</v>
      </c>
      <c r="D48" s="813">
        <f t="shared" si="9"/>
        <v>2</v>
      </c>
      <c r="E48" s="813">
        <f t="shared" si="9"/>
        <v>9</v>
      </c>
      <c r="F48" s="813">
        <f t="shared" si="9"/>
        <v>1242.26</v>
      </c>
      <c r="G48" s="814">
        <f t="shared" si="9"/>
        <v>1243</v>
      </c>
      <c r="H48" s="813">
        <f t="shared" si="9"/>
        <v>225.245</v>
      </c>
      <c r="I48" s="814">
        <f t="shared" si="9"/>
        <v>225</v>
      </c>
      <c r="J48" s="813">
        <f t="shared" si="9"/>
        <v>3</v>
      </c>
      <c r="K48" s="813">
        <f t="shared" si="9"/>
        <v>0</v>
      </c>
      <c r="L48" s="813">
        <f t="shared" si="9"/>
        <v>228.245</v>
      </c>
      <c r="M48" s="814">
        <f t="shared" si="9"/>
        <v>228</v>
      </c>
      <c r="N48" s="813">
        <f t="shared" si="9"/>
        <v>1470.5050000000001</v>
      </c>
      <c r="O48" s="814">
        <f t="shared" si="9"/>
        <v>1471</v>
      </c>
      <c r="Q48" s="734"/>
    </row>
    <row r="49" spans="1:17" s="757" customFormat="1" x14ac:dyDescent="0.5">
      <c r="A49" s="731"/>
      <c r="B49" s="824"/>
      <c r="C49" s="824"/>
      <c r="D49" s="824"/>
      <c r="E49" s="824"/>
      <c r="F49" s="824"/>
      <c r="G49" s="824"/>
      <c r="H49" s="824"/>
      <c r="I49" s="824"/>
      <c r="J49" s="824"/>
      <c r="K49" s="824"/>
      <c r="L49" s="824"/>
      <c r="M49" s="824"/>
      <c r="N49" s="824"/>
      <c r="O49" s="824"/>
      <c r="Q49" s="825"/>
    </row>
    <row r="50" spans="1:17" s="757" customFormat="1" x14ac:dyDescent="0.5">
      <c r="A50" s="731"/>
      <c r="B50" s="824"/>
      <c r="C50" s="824"/>
      <c r="D50" s="824"/>
      <c r="E50" s="824"/>
      <c r="F50" s="824"/>
      <c r="G50" s="824"/>
      <c r="H50" s="824"/>
      <c r="I50" s="824"/>
      <c r="J50" s="824"/>
      <c r="K50" s="824"/>
      <c r="L50" s="824"/>
      <c r="M50" s="824"/>
      <c r="N50" s="824"/>
      <c r="O50" s="824"/>
      <c r="Q50" s="825"/>
    </row>
    <row r="51" spans="1:17" s="757" customFormat="1" x14ac:dyDescent="0.5">
      <c r="A51" s="729"/>
      <c r="Q51" s="825"/>
    </row>
    <row r="52" spans="1:17" s="757" customFormat="1" x14ac:dyDescent="0.5">
      <c r="A52" s="729"/>
      <c r="Q52" s="825"/>
    </row>
  </sheetData>
  <mergeCells count="15">
    <mergeCell ref="D7:E7"/>
    <mergeCell ref="J7:K7"/>
    <mergeCell ref="B6:C6"/>
    <mergeCell ref="D6:E6"/>
    <mergeCell ref="F6:G6"/>
    <mergeCell ref="H6:I6"/>
    <mergeCell ref="J6:K6"/>
    <mergeCell ref="L6:M6"/>
    <mergeCell ref="A1:O1"/>
    <mergeCell ref="A2:O2"/>
    <mergeCell ref="B3:I3"/>
    <mergeCell ref="B4:M4"/>
    <mergeCell ref="N4:O5"/>
    <mergeCell ref="B5:G5"/>
    <mergeCell ref="H5:M5"/>
  </mergeCells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20" orientation="landscape" horizontalDpi="300" verticalDpi="300" r:id="rId1"/>
  <headerFooter alignWithMargins="0">
    <oddHeader>&amp;L&amp;20&amp;F &amp;A&amp;R&amp;"Calibri,Félkövér"&amp;32 7.  melléklet az 1/2025.(I.31.) önkormányzati rendelethez
"7. melléklet a 8/2024.(III.5.) önkormányzati rendelethez"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9"/>
  <dimension ref="A1:F41"/>
  <sheetViews>
    <sheetView zoomScale="95" zoomScaleNormal="95" zoomScaleSheetLayoutView="62" workbookViewId="0">
      <selection activeCell="A42" sqref="A42:XFD47"/>
    </sheetView>
  </sheetViews>
  <sheetFormatPr defaultRowHeight="15" customHeight="1" x14ac:dyDescent="0.35"/>
  <cols>
    <col min="1" max="1" width="108.33203125" style="77" bestFit="1" customWidth="1"/>
    <col min="2" max="2" width="28.1640625" style="77" bestFit="1" customWidth="1"/>
    <col min="3" max="3" width="34.1640625" style="77" bestFit="1" customWidth="1"/>
    <col min="4" max="4" width="31" style="78" customWidth="1"/>
    <col min="5" max="5" width="9.33203125" style="488"/>
    <col min="6" max="6" width="18.83203125" style="488" customWidth="1"/>
    <col min="7" max="16384" width="9.33203125" style="77"/>
  </cols>
  <sheetData>
    <row r="1" spans="1:6" ht="15" customHeight="1" x14ac:dyDescent="0.35">
      <c r="A1" s="75"/>
      <c r="B1" s="75"/>
      <c r="C1" s="75"/>
      <c r="D1" s="76"/>
    </row>
    <row r="2" spans="1:6" ht="15" customHeight="1" x14ac:dyDescent="0.35">
      <c r="A2" s="922" t="s">
        <v>58</v>
      </c>
      <c r="B2" s="922"/>
      <c r="C2" s="922"/>
      <c r="D2" s="77"/>
    </row>
    <row r="3" spans="1:6" ht="15" customHeight="1" x14ac:dyDescent="0.35">
      <c r="A3" s="75"/>
      <c r="B3" s="75"/>
      <c r="C3" s="75"/>
      <c r="D3" s="76"/>
    </row>
    <row r="4" spans="1:6" ht="24" thickBot="1" x14ac:dyDescent="0.4">
      <c r="A4" s="6" t="s">
        <v>38</v>
      </c>
      <c r="B4" s="6"/>
      <c r="C4" s="6"/>
      <c r="D4" s="155" t="s">
        <v>224</v>
      </c>
    </row>
    <row r="5" spans="1:6" ht="20.100000000000001" customHeight="1" x14ac:dyDescent="0.35">
      <c r="A5" s="156" t="s">
        <v>170</v>
      </c>
      <c r="B5" s="19" t="s">
        <v>614</v>
      </c>
      <c r="C5" s="19" t="s">
        <v>557</v>
      </c>
      <c r="D5" s="19" t="s">
        <v>651</v>
      </c>
    </row>
    <row r="6" spans="1:6" ht="24" thickBot="1" x14ac:dyDescent="0.4">
      <c r="A6" s="157"/>
      <c r="B6" s="88" t="s">
        <v>372</v>
      </c>
      <c r="C6" s="88" t="s">
        <v>558</v>
      </c>
      <c r="D6" s="88" t="s">
        <v>372</v>
      </c>
    </row>
    <row r="7" spans="1:6" ht="23.25" x14ac:dyDescent="0.35">
      <c r="A7" s="158" t="s">
        <v>195</v>
      </c>
      <c r="B7" s="159">
        <v>3066771</v>
      </c>
      <c r="C7" s="159">
        <f>-1941+1000+180+1800+27717</f>
        <v>28756</v>
      </c>
      <c r="D7" s="159">
        <f>SUM(B7:C7)</f>
        <v>3095527</v>
      </c>
      <c r="F7" s="288"/>
    </row>
    <row r="8" spans="1:6" ht="24" thickBot="1" x14ac:dyDescent="0.4">
      <c r="A8" s="158" t="s">
        <v>88</v>
      </c>
      <c r="B8" s="160">
        <v>2369139</v>
      </c>
      <c r="C8" s="160">
        <f>-24178+800-27717</f>
        <v>-51095</v>
      </c>
      <c r="D8" s="160">
        <f>SUM(B8:C8)</f>
        <v>2318044</v>
      </c>
      <c r="F8" s="288"/>
    </row>
    <row r="9" spans="1:6" ht="21.75" thickBot="1" x14ac:dyDescent="0.4">
      <c r="A9" s="199" t="s">
        <v>211</v>
      </c>
      <c r="B9" s="543">
        <f>SUM(B7:B8)</f>
        <v>5435910</v>
      </c>
      <c r="C9" s="543">
        <f>SUM(C7:C8)</f>
        <v>-22339</v>
      </c>
      <c r="D9" s="543">
        <f>SUM(D7:D8)</f>
        <v>5413571</v>
      </c>
      <c r="E9" s="30"/>
      <c r="F9" s="30"/>
    </row>
    <row r="10" spans="1:6" ht="23.25" x14ac:dyDescent="0.35">
      <c r="A10" s="158" t="s">
        <v>367</v>
      </c>
      <c r="B10" s="159">
        <v>30000</v>
      </c>
      <c r="C10" s="162">
        <v>-28106</v>
      </c>
      <c r="D10" s="159">
        <f t="shared" ref="D10:D26" si="0">SUM(B10:C10)</f>
        <v>1894</v>
      </c>
    </row>
    <row r="11" spans="1:6" ht="23.25" x14ac:dyDescent="0.35">
      <c r="A11" s="163" t="s">
        <v>458</v>
      </c>
      <c r="B11" s="32">
        <v>14352</v>
      </c>
      <c r="C11" s="32"/>
      <c r="D11" s="32">
        <f t="shared" si="0"/>
        <v>14352</v>
      </c>
    </row>
    <row r="12" spans="1:6" ht="23.25" x14ac:dyDescent="0.35">
      <c r="A12" s="163" t="s">
        <v>355</v>
      </c>
      <c r="B12" s="32">
        <v>800</v>
      </c>
      <c r="C12" s="32">
        <v>-800</v>
      </c>
      <c r="D12" s="32">
        <f t="shared" si="0"/>
        <v>0</v>
      </c>
    </row>
    <row r="13" spans="1:6" ht="23.25" x14ac:dyDescent="0.35">
      <c r="A13" s="158" t="s">
        <v>289</v>
      </c>
      <c r="B13" s="159">
        <v>4000</v>
      </c>
      <c r="C13" s="159"/>
      <c r="D13" s="159">
        <f t="shared" si="0"/>
        <v>4000</v>
      </c>
    </row>
    <row r="14" spans="1:6" ht="23.25" x14ac:dyDescent="0.35">
      <c r="A14" s="164" t="s">
        <v>117</v>
      </c>
      <c r="B14" s="32">
        <v>500</v>
      </c>
      <c r="C14" s="32"/>
      <c r="D14" s="32">
        <f t="shared" si="0"/>
        <v>500</v>
      </c>
    </row>
    <row r="15" spans="1:6" ht="39" customHeight="1" x14ac:dyDescent="0.35">
      <c r="A15" s="163" t="s">
        <v>464</v>
      </c>
      <c r="B15" s="32">
        <v>1800</v>
      </c>
      <c r="C15" s="32"/>
      <c r="D15" s="32">
        <f t="shared" si="0"/>
        <v>1800</v>
      </c>
    </row>
    <row r="16" spans="1:6" ht="23.25" x14ac:dyDescent="0.35">
      <c r="A16" s="158" t="s">
        <v>118</v>
      </c>
      <c r="B16" s="159">
        <v>0</v>
      </c>
      <c r="C16" s="159"/>
      <c r="D16" s="159">
        <f t="shared" si="0"/>
        <v>0</v>
      </c>
    </row>
    <row r="17" spans="1:6" ht="23.25" x14ac:dyDescent="0.35">
      <c r="A17" s="164" t="s">
        <v>486</v>
      </c>
      <c r="B17" s="32">
        <v>6569</v>
      </c>
      <c r="C17" s="32"/>
      <c r="D17" s="32">
        <f t="shared" si="0"/>
        <v>6569</v>
      </c>
    </row>
    <row r="18" spans="1:6" ht="23.25" x14ac:dyDescent="0.35">
      <c r="A18" s="164" t="s">
        <v>420</v>
      </c>
      <c r="B18" s="32">
        <v>4842</v>
      </c>
      <c r="C18" s="32"/>
      <c r="D18" s="32">
        <f t="shared" si="0"/>
        <v>4842</v>
      </c>
    </row>
    <row r="19" spans="1:6" ht="23.25" x14ac:dyDescent="0.35">
      <c r="A19" s="164" t="s">
        <v>142</v>
      </c>
      <c r="B19" s="32">
        <v>1250</v>
      </c>
      <c r="C19" s="32"/>
      <c r="D19" s="32">
        <f t="shared" si="0"/>
        <v>1250</v>
      </c>
    </row>
    <row r="20" spans="1:6" ht="23.25" x14ac:dyDescent="0.35">
      <c r="A20" s="164" t="s">
        <v>77</v>
      </c>
      <c r="B20" s="32">
        <v>3000</v>
      </c>
      <c r="C20" s="32"/>
      <c r="D20" s="32">
        <f t="shared" si="0"/>
        <v>3000</v>
      </c>
    </row>
    <row r="21" spans="1:6" ht="23.25" x14ac:dyDescent="0.35">
      <c r="A21" s="164" t="s">
        <v>61</v>
      </c>
      <c r="B21" s="32">
        <v>300</v>
      </c>
      <c r="C21" s="32"/>
      <c r="D21" s="32">
        <f t="shared" si="0"/>
        <v>300</v>
      </c>
    </row>
    <row r="22" spans="1:6" ht="23.25" x14ac:dyDescent="0.35">
      <c r="A22" s="164" t="s">
        <v>404</v>
      </c>
      <c r="B22" s="32">
        <v>1400</v>
      </c>
      <c r="C22" s="32"/>
      <c r="D22" s="32">
        <f t="shared" si="0"/>
        <v>1400</v>
      </c>
    </row>
    <row r="23" spans="1:6" ht="23.25" x14ac:dyDescent="0.35">
      <c r="A23" s="165" t="s">
        <v>465</v>
      </c>
      <c r="B23" s="32">
        <v>86876</v>
      </c>
      <c r="C23" s="32">
        <v>-86876</v>
      </c>
      <c r="D23" s="32">
        <f t="shared" si="0"/>
        <v>0</v>
      </c>
    </row>
    <row r="24" spans="1:6" ht="44.25" customHeight="1" x14ac:dyDescent="0.35">
      <c r="A24" s="166" t="s">
        <v>497</v>
      </c>
      <c r="B24" s="32">
        <v>0</v>
      </c>
      <c r="C24" s="32"/>
      <c r="D24" s="32">
        <f t="shared" si="0"/>
        <v>0</v>
      </c>
    </row>
    <row r="25" spans="1:6" ht="32.25" customHeight="1" x14ac:dyDescent="0.35">
      <c r="A25" s="167" t="s">
        <v>356</v>
      </c>
      <c r="B25" s="32">
        <v>1750</v>
      </c>
      <c r="C25" s="32"/>
      <c r="D25" s="32">
        <f t="shared" si="0"/>
        <v>1750</v>
      </c>
    </row>
    <row r="26" spans="1:6" ht="23.25" x14ac:dyDescent="0.35">
      <c r="A26" s="168" t="s">
        <v>444</v>
      </c>
      <c r="B26" s="32">
        <v>3663</v>
      </c>
      <c r="C26" s="32"/>
      <c r="D26" s="35">
        <f t="shared" si="0"/>
        <v>3663</v>
      </c>
    </row>
    <row r="27" spans="1:6" ht="24" thickBot="1" x14ac:dyDescent="0.4">
      <c r="A27" s="169" t="s">
        <v>44</v>
      </c>
      <c r="B27" s="170">
        <f>SUM(B10:B26)</f>
        <v>161102</v>
      </c>
      <c r="C27" s="170">
        <f>SUM(C10:C26)</f>
        <v>-115782</v>
      </c>
      <c r="D27" s="171">
        <f>SUM(D10:D26)</f>
        <v>45320</v>
      </c>
    </row>
    <row r="28" spans="1:6" ht="24" thickBot="1" x14ac:dyDescent="0.4">
      <c r="A28" s="169" t="s">
        <v>293</v>
      </c>
      <c r="B28" s="170">
        <f>+B27+B9</f>
        <v>5597012</v>
      </c>
      <c r="C28" s="170">
        <f>+C27+C9</f>
        <v>-138121</v>
      </c>
      <c r="D28" s="171">
        <f>+D27+D9</f>
        <v>5458891</v>
      </c>
    </row>
    <row r="29" spans="1:6" s="81" customFormat="1" ht="23.25" x14ac:dyDescent="0.35">
      <c r="D29" s="172"/>
      <c r="E29" s="554"/>
      <c r="F29" s="554"/>
    </row>
    <row r="30" spans="1:6" s="81" customFormat="1" ht="24" thickBot="1" x14ac:dyDescent="0.4">
      <c r="A30" s="6" t="s">
        <v>87</v>
      </c>
      <c r="B30" s="6"/>
      <c r="C30" s="6"/>
      <c r="D30" s="42"/>
      <c r="E30" s="554"/>
      <c r="F30" s="554"/>
    </row>
    <row r="31" spans="1:6" s="81" customFormat="1" ht="23.25" x14ac:dyDescent="0.35">
      <c r="A31" s="173" t="s">
        <v>170</v>
      </c>
      <c r="B31" s="19" t="s">
        <v>614</v>
      </c>
      <c r="C31" s="19" t="s">
        <v>557</v>
      </c>
      <c r="D31" s="19" t="s">
        <v>651</v>
      </c>
      <c r="E31" s="554"/>
      <c r="F31" s="554"/>
    </row>
    <row r="32" spans="1:6" s="81" customFormat="1" ht="24" thickBot="1" x14ac:dyDescent="0.4">
      <c r="A32" s="174"/>
      <c r="B32" s="88" t="s">
        <v>372</v>
      </c>
      <c r="C32" s="88" t="s">
        <v>558</v>
      </c>
      <c r="D32" s="88" t="s">
        <v>372</v>
      </c>
      <c r="E32" s="554"/>
      <c r="F32" s="554"/>
    </row>
    <row r="33" spans="1:6" s="81" customFormat="1" ht="23.25" x14ac:dyDescent="0.35">
      <c r="A33" s="238" t="s">
        <v>195</v>
      </c>
      <c r="B33" s="162">
        <v>33943</v>
      </c>
      <c r="C33" s="162">
        <v>11763</v>
      </c>
      <c r="D33" s="162">
        <f>SUM(B33:C33)</f>
        <v>45706</v>
      </c>
      <c r="E33" s="554"/>
      <c r="F33" s="554"/>
    </row>
    <row r="34" spans="1:6" s="81" customFormat="1" ht="23.25" x14ac:dyDescent="0.35">
      <c r="A34" s="175" t="s">
        <v>88</v>
      </c>
      <c r="B34" s="176">
        <v>74912</v>
      </c>
      <c r="C34" s="159">
        <f>-8150+28106</f>
        <v>19956</v>
      </c>
      <c r="D34" s="176">
        <f>SUM(B34:C34)</f>
        <v>94868</v>
      </c>
      <c r="E34" s="554"/>
      <c r="F34" s="554"/>
    </row>
    <row r="35" spans="1:6" s="81" customFormat="1" ht="24" thickBot="1" x14ac:dyDescent="0.4">
      <c r="A35" s="161" t="s">
        <v>294</v>
      </c>
      <c r="B35" s="177">
        <f>SUM(B33:B34)</f>
        <v>108855</v>
      </c>
      <c r="C35" s="177">
        <f>SUM(C33:C34)</f>
        <v>31719</v>
      </c>
      <c r="D35" s="57">
        <f>SUM(D33:D34)</f>
        <v>140574</v>
      </c>
      <c r="E35" s="554"/>
      <c r="F35" s="554"/>
    </row>
    <row r="36" spans="1:6" s="81" customFormat="1" ht="24" thickBot="1" x14ac:dyDescent="0.4">
      <c r="B36" s="178"/>
      <c r="C36" s="178"/>
      <c r="D36" s="70"/>
      <c r="E36" s="554"/>
      <c r="F36" s="554"/>
    </row>
    <row r="37" spans="1:6" s="81" customFormat="1" ht="24" thickBot="1" x14ac:dyDescent="0.4">
      <c r="A37" s="147" t="s">
        <v>295</v>
      </c>
      <c r="B37" s="58">
        <f>B28+B35</f>
        <v>5705867</v>
      </c>
      <c r="C37" s="58">
        <f>C28+C35</f>
        <v>-106402</v>
      </c>
      <c r="D37" s="58">
        <f>D28+D35</f>
        <v>5599465</v>
      </c>
      <c r="E37" s="554"/>
      <c r="F37" s="554"/>
    </row>
    <row r="38" spans="1:6" s="81" customFormat="1" ht="23.25" x14ac:dyDescent="0.35">
      <c r="D38" s="172"/>
      <c r="E38" s="554"/>
      <c r="F38" s="554"/>
    </row>
    <row r="39" spans="1:6" s="81" customFormat="1" ht="23.25" x14ac:dyDescent="0.35">
      <c r="A39" s="81" t="s">
        <v>79</v>
      </c>
      <c r="D39" s="179"/>
      <c r="E39" s="554"/>
      <c r="F39" s="554"/>
    </row>
    <row r="40" spans="1:6" s="81" customFormat="1" ht="23.25" x14ac:dyDescent="0.35">
      <c r="A40" s="81" t="s">
        <v>80</v>
      </c>
      <c r="D40" s="172"/>
      <c r="E40" s="554"/>
      <c r="F40" s="554"/>
    </row>
    <row r="41" spans="1:6" s="81" customFormat="1" ht="23.25" x14ac:dyDescent="0.35">
      <c r="D41" s="172"/>
      <c r="E41" s="554"/>
      <c r="F41" s="554"/>
    </row>
  </sheetData>
  <customSheetViews>
    <customSheetView guid="{6D4B996F-8915-4E78-98C2-E7EAE9C4580C}" scale="75" printArea="1" showRuler="0" topLeftCell="A46">
      <selection activeCell="B45" sqref="B45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1"/>
      <headerFooter alignWithMargins="0">
        <oddHeader>&amp;L&amp;F  &amp;A&amp;C&amp;"Times New Roman CE,Félkövér"&amp;14&amp;RM.III/2. sz. melléklet</oddHeader>
      </headerFooter>
    </customSheetView>
    <customSheetView guid="{186732C5-520C-4E06-B066-B4F3F0A3E322}" scale="75" showRuler="0" topLeftCell="A52">
      <selection activeCell="B59" sqref="B59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2"/>
      <headerFooter alignWithMargins="0">
        <oddHeader>&amp;L&amp;F  &amp;A&amp;C&amp;"Times New Roman CE,Félkövér"&amp;14&amp;RM.III/2. sz. melléklet</oddHeader>
      </headerFooter>
    </customSheetView>
  </customSheetViews>
  <mergeCells count="1">
    <mergeCell ref="A2:C2"/>
  </mergeCells>
  <phoneticPr fontId="0" type="noConversion"/>
  <printOptions horizontalCentered="1" verticalCentered="1"/>
  <pageMargins left="0.59055118110236227" right="0.59055118110236227" top="0" bottom="0" header="0.51181102362204722" footer="0"/>
  <pageSetup paperSize="9" scale="60" orientation="portrait" r:id="rId3"/>
  <headerFooter alignWithMargins="0">
    <oddHeader xml:space="preserve">&amp;R&amp;"Times New Roman CE,Félkövér"&amp;12
8. melléklet az    1/2025.(I.31.) önkormányzati rendelethez
"8. melléklet a 8/2024.(III.5.) önkormányzati rendelethez"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0"/>
  <dimension ref="A1:E90"/>
  <sheetViews>
    <sheetView zoomScaleNormal="100" workbookViewId="0">
      <selection activeCell="A82" sqref="A82:XFD90"/>
    </sheetView>
  </sheetViews>
  <sheetFormatPr defaultRowHeight="21" customHeight="1" x14ac:dyDescent="0.35"/>
  <cols>
    <col min="1" max="1" width="121" style="77" customWidth="1"/>
    <col min="2" max="2" width="26.6640625" style="78" customWidth="1"/>
    <col min="3" max="3" width="31.6640625" style="78" customWidth="1"/>
    <col min="4" max="4" width="34.6640625" style="78" customWidth="1"/>
    <col min="5" max="5" width="9.33203125" style="30"/>
    <col min="6" max="6" width="9.33203125" style="77"/>
    <col min="7" max="9" width="12.6640625" style="77" bestFit="1" customWidth="1"/>
    <col min="10" max="16384" width="9.33203125" style="77"/>
  </cols>
  <sheetData>
    <row r="1" spans="1:5" ht="21" customHeight="1" x14ac:dyDescent="0.35">
      <c r="A1" s="75"/>
      <c r="B1" s="76"/>
      <c r="C1" s="76"/>
      <c r="D1" s="76"/>
    </row>
    <row r="2" spans="1:5" ht="21" customHeight="1" x14ac:dyDescent="0.35">
      <c r="A2" s="978" t="s">
        <v>296</v>
      </c>
      <c r="B2" s="978"/>
      <c r="C2" s="978"/>
      <c r="D2" s="77"/>
    </row>
    <row r="3" spans="1:5" ht="21" customHeight="1" x14ac:dyDescent="0.35">
      <c r="A3" s="180"/>
      <c r="B3" s="15"/>
      <c r="C3" s="15"/>
      <c r="D3" s="15"/>
    </row>
    <row r="4" spans="1:5" ht="21" customHeight="1" thickBot="1" x14ac:dyDescent="0.4">
      <c r="A4" s="6" t="s">
        <v>38</v>
      </c>
      <c r="B4" s="42"/>
      <c r="C4" s="42"/>
      <c r="D4" s="155" t="s">
        <v>224</v>
      </c>
    </row>
    <row r="5" spans="1:5" ht="21" customHeight="1" x14ac:dyDescent="0.35">
      <c r="A5" s="156" t="s">
        <v>170</v>
      </c>
      <c r="B5" s="19" t="s">
        <v>614</v>
      </c>
      <c r="C5" s="19" t="s">
        <v>557</v>
      </c>
      <c r="D5" s="19" t="s">
        <v>651</v>
      </c>
    </row>
    <row r="6" spans="1:5" ht="21.75" thickBot="1" x14ac:dyDescent="0.4">
      <c r="A6" s="181"/>
      <c r="B6" s="88" t="s">
        <v>372</v>
      </c>
      <c r="C6" s="88" t="s">
        <v>558</v>
      </c>
      <c r="D6" s="88" t="s">
        <v>372</v>
      </c>
    </row>
    <row r="7" spans="1:5" ht="21" customHeight="1" x14ac:dyDescent="0.35">
      <c r="A7" s="591" t="s">
        <v>598</v>
      </c>
      <c r="B7" s="182"/>
      <c r="C7" s="182"/>
      <c r="D7" s="182"/>
    </row>
    <row r="8" spans="1:5" ht="21.75" thickBot="1" x14ac:dyDescent="0.4">
      <c r="A8" s="600" t="s">
        <v>615</v>
      </c>
      <c r="B8" s="125">
        <v>215681</v>
      </c>
      <c r="C8" s="125">
        <f>54782+300</f>
        <v>55082</v>
      </c>
      <c r="D8" s="125">
        <f>SUM(B8:C8)</f>
        <v>270763</v>
      </c>
    </row>
    <row r="9" spans="1:5" ht="21.75" thickBot="1" x14ac:dyDescent="0.4">
      <c r="A9" s="569" t="s">
        <v>616</v>
      </c>
      <c r="B9" s="58">
        <v>1014682</v>
      </c>
      <c r="C9" s="58">
        <v>32131</v>
      </c>
      <c r="D9" s="58">
        <f>SUM(B9:C9)</f>
        <v>1046813</v>
      </c>
    </row>
    <row r="10" spans="1:5" ht="21.75" thickBot="1" x14ac:dyDescent="0.4">
      <c r="A10" s="570" t="s">
        <v>354</v>
      </c>
      <c r="B10" s="543">
        <v>540092</v>
      </c>
      <c r="C10" s="543">
        <f>5112+24270</f>
        <v>29382</v>
      </c>
      <c r="D10" s="543">
        <f>SUM(B10:C10)</f>
        <v>569474</v>
      </c>
    </row>
    <row r="11" spans="1:5" ht="21.75" thickBot="1" x14ac:dyDescent="0.4">
      <c r="A11" s="570" t="s">
        <v>617</v>
      </c>
      <c r="B11" s="543">
        <v>910547</v>
      </c>
      <c r="C11" s="543">
        <v>104064</v>
      </c>
      <c r="D11" s="543">
        <f>SUM(B11:C11)</f>
        <v>1014611</v>
      </c>
    </row>
    <row r="12" spans="1:5" ht="21.75" thickBot="1" x14ac:dyDescent="0.4">
      <c r="A12" s="571" t="s">
        <v>597</v>
      </c>
      <c r="B12" s="58">
        <f>B8+B9+B10+B11</f>
        <v>2681002</v>
      </c>
      <c r="C12" s="58">
        <f>C8+C9+C10+C11</f>
        <v>220659</v>
      </c>
      <c r="D12" s="58">
        <f>D8+D9+D10+D11</f>
        <v>2901661</v>
      </c>
    </row>
    <row r="13" spans="1:5" x14ac:dyDescent="0.35">
      <c r="A13" s="592" t="s">
        <v>599</v>
      </c>
      <c r="B13" s="145"/>
      <c r="C13" s="145"/>
      <c r="D13" s="145"/>
    </row>
    <row r="14" spans="1:5" x14ac:dyDescent="0.35">
      <c r="A14" s="10" t="s">
        <v>563</v>
      </c>
      <c r="B14" s="32">
        <v>324146</v>
      </c>
      <c r="C14" s="32"/>
      <c r="D14" s="32">
        <f>SUM(B14:C14)</f>
        <v>324146</v>
      </c>
    </row>
    <row r="15" spans="1:5" ht="21.75" thickBot="1" x14ac:dyDescent="0.4">
      <c r="A15" s="188" t="s">
        <v>564</v>
      </c>
      <c r="B15" s="37">
        <v>302075</v>
      </c>
      <c r="C15" s="37"/>
      <c r="D15" s="37">
        <f>SUM(B15:C15)</f>
        <v>302075</v>
      </c>
    </row>
    <row r="16" spans="1:5" s="81" customFormat="1" ht="21.75" thickBot="1" x14ac:dyDescent="0.4">
      <c r="A16" s="206" t="s">
        <v>555</v>
      </c>
      <c r="B16" s="58">
        <f>SUM(B14:B15)</f>
        <v>626221</v>
      </c>
      <c r="C16" s="58">
        <f>SUM(C14:C15)</f>
        <v>0</v>
      </c>
      <c r="D16" s="58">
        <f>SUM(D14:D15)</f>
        <v>626221</v>
      </c>
      <c r="E16" s="70"/>
    </row>
    <row r="17" spans="1:5" ht="21.75" thickBot="1" x14ac:dyDescent="0.4">
      <c r="A17" s="572" t="s">
        <v>596</v>
      </c>
      <c r="B17" s="58">
        <v>63651</v>
      </c>
      <c r="C17" s="562"/>
      <c r="D17" s="58">
        <f>SUM(B17:C17)</f>
        <v>63651</v>
      </c>
    </row>
    <row r="18" spans="1:5" s="81" customFormat="1" ht="21.75" thickBot="1" x14ac:dyDescent="0.4">
      <c r="A18" s="573" t="s">
        <v>575</v>
      </c>
      <c r="B18" s="44">
        <v>564105</v>
      </c>
      <c r="C18" s="561">
        <v>150</v>
      </c>
      <c r="D18" s="44">
        <f>SUM(B18:C18)</f>
        <v>564255</v>
      </c>
      <c r="E18" s="70"/>
    </row>
    <row r="19" spans="1:5" s="81" customFormat="1" ht="21.75" thickBot="1" x14ac:dyDescent="0.4">
      <c r="A19" s="571" t="s">
        <v>560</v>
      </c>
      <c r="B19" s="58">
        <f>SUM(B16:B18)</f>
        <v>1253977</v>
      </c>
      <c r="C19" s="58">
        <f>SUM(C16:C18)</f>
        <v>150</v>
      </c>
      <c r="D19" s="58">
        <f>SUM(D16:D18)</f>
        <v>1254127</v>
      </c>
      <c r="E19" s="70"/>
    </row>
    <row r="20" spans="1:5" ht="40.5" customHeight="1" thickBot="1" x14ac:dyDescent="0.4">
      <c r="A20" s="565" t="s">
        <v>566</v>
      </c>
      <c r="B20" s="58">
        <f>B12+B19</f>
        <v>3934979</v>
      </c>
      <c r="C20" s="58">
        <f>C12+C19</f>
        <v>220809</v>
      </c>
      <c r="D20" s="58">
        <f>D12+D19</f>
        <v>4155788</v>
      </c>
    </row>
    <row r="21" spans="1:5" x14ac:dyDescent="0.35">
      <c r="A21" s="594" t="s">
        <v>600</v>
      </c>
      <c r="B21" s="145"/>
      <c r="C21" s="145"/>
      <c r="D21" s="145"/>
    </row>
    <row r="22" spans="1:5" x14ac:dyDescent="0.35">
      <c r="A22" s="591" t="s">
        <v>601</v>
      </c>
      <c r="B22" s="43"/>
      <c r="C22" s="43"/>
      <c r="D22" s="43"/>
    </row>
    <row r="23" spans="1:5" x14ac:dyDescent="0.35">
      <c r="A23" s="10" t="s">
        <v>144</v>
      </c>
      <c r="B23" s="32">
        <v>3000</v>
      </c>
      <c r="C23" s="32"/>
      <c r="D23" s="32">
        <f t="shared" ref="D23:D52" si="0">SUM(B23:C23)</f>
        <v>3000</v>
      </c>
    </row>
    <row r="24" spans="1:5" x14ac:dyDescent="0.35">
      <c r="A24" s="184" t="s">
        <v>62</v>
      </c>
      <c r="B24" s="32">
        <v>1200</v>
      </c>
      <c r="C24" s="32"/>
      <c r="D24" s="32">
        <f t="shared" si="0"/>
        <v>1200</v>
      </c>
    </row>
    <row r="25" spans="1:5" x14ac:dyDescent="0.35">
      <c r="A25" s="184" t="s">
        <v>443</v>
      </c>
      <c r="B25" s="32">
        <v>3000</v>
      </c>
      <c r="C25" s="32"/>
      <c r="D25" s="32">
        <f t="shared" si="0"/>
        <v>3000</v>
      </c>
    </row>
    <row r="26" spans="1:5" x14ac:dyDescent="0.35">
      <c r="A26" s="184" t="s">
        <v>40</v>
      </c>
      <c r="B26" s="32">
        <v>5000</v>
      </c>
      <c r="C26" s="32"/>
      <c r="D26" s="32">
        <f t="shared" si="0"/>
        <v>5000</v>
      </c>
    </row>
    <row r="27" spans="1:5" x14ac:dyDescent="0.35">
      <c r="A27" s="184" t="s">
        <v>41</v>
      </c>
      <c r="B27" s="32">
        <v>13000</v>
      </c>
      <c r="C27" s="32"/>
      <c r="D27" s="32">
        <f t="shared" si="0"/>
        <v>13000</v>
      </c>
    </row>
    <row r="28" spans="1:5" x14ac:dyDescent="0.35">
      <c r="A28" s="184" t="s">
        <v>42</v>
      </c>
      <c r="B28" s="32">
        <v>1000</v>
      </c>
      <c r="C28" s="32"/>
      <c r="D28" s="32">
        <f t="shared" si="0"/>
        <v>1000</v>
      </c>
    </row>
    <row r="29" spans="1:5" x14ac:dyDescent="0.35">
      <c r="A29" s="184" t="s">
        <v>491</v>
      </c>
      <c r="B29" s="32">
        <v>5000</v>
      </c>
      <c r="C29" s="32"/>
      <c r="D29" s="32">
        <f t="shared" si="0"/>
        <v>5000</v>
      </c>
    </row>
    <row r="30" spans="1:5" x14ac:dyDescent="0.35">
      <c r="A30" s="184" t="s">
        <v>358</v>
      </c>
      <c r="B30" s="32">
        <v>2000</v>
      </c>
      <c r="C30" s="32"/>
      <c r="D30" s="32">
        <f t="shared" si="0"/>
        <v>2000</v>
      </c>
    </row>
    <row r="31" spans="1:5" x14ac:dyDescent="0.35">
      <c r="A31" s="184" t="s">
        <v>63</v>
      </c>
      <c r="B31" s="32">
        <v>650</v>
      </c>
      <c r="C31" s="32"/>
      <c r="D31" s="32">
        <f t="shared" si="0"/>
        <v>650</v>
      </c>
    </row>
    <row r="32" spans="1:5" x14ac:dyDescent="0.35">
      <c r="A32" s="184" t="s">
        <v>214</v>
      </c>
      <c r="B32" s="32">
        <v>2000</v>
      </c>
      <c r="C32" s="32"/>
      <c r="D32" s="32">
        <f t="shared" si="0"/>
        <v>2000</v>
      </c>
    </row>
    <row r="33" spans="1:4" x14ac:dyDescent="0.35">
      <c r="A33" s="184" t="s">
        <v>351</v>
      </c>
      <c r="B33" s="32">
        <v>6000</v>
      </c>
      <c r="C33" s="32"/>
      <c r="D33" s="32">
        <f t="shared" si="0"/>
        <v>6000</v>
      </c>
    </row>
    <row r="34" spans="1:4" x14ac:dyDescent="0.35">
      <c r="A34" s="184" t="s">
        <v>422</v>
      </c>
      <c r="B34" s="32">
        <v>2000</v>
      </c>
      <c r="C34" s="32"/>
      <c r="D34" s="32">
        <f t="shared" si="0"/>
        <v>2000</v>
      </c>
    </row>
    <row r="35" spans="1:4" x14ac:dyDescent="0.35">
      <c r="A35" s="184" t="s">
        <v>136</v>
      </c>
      <c r="B35" s="32">
        <v>2000</v>
      </c>
      <c r="C35" s="32"/>
      <c r="D35" s="32">
        <f t="shared" si="0"/>
        <v>2000</v>
      </c>
    </row>
    <row r="36" spans="1:4" x14ac:dyDescent="0.35">
      <c r="A36" s="184" t="s">
        <v>212</v>
      </c>
      <c r="B36" s="32">
        <v>1750</v>
      </c>
      <c r="C36" s="32"/>
      <c r="D36" s="32">
        <f t="shared" si="0"/>
        <v>1750</v>
      </c>
    </row>
    <row r="37" spans="1:4" x14ac:dyDescent="0.35">
      <c r="A37" s="189" t="s">
        <v>213</v>
      </c>
      <c r="B37" s="32">
        <v>3580</v>
      </c>
      <c r="C37" s="32"/>
      <c r="D37" s="32">
        <f t="shared" si="0"/>
        <v>3580</v>
      </c>
    </row>
    <row r="38" spans="1:4" x14ac:dyDescent="0.35">
      <c r="A38" s="165" t="s">
        <v>359</v>
      </c>
      <c r="B38" s="32">
        <v>1200</v>
      </c>
      <c r="C38" s="32"/>
      <c r="D38" s="32">
        <f t="shared" si="0"/>
        <v>1200</v>
      </c>
    </row>
    <row r="39" spans="1:4" x14ac:dyDescent="0.35">
      <c r="A39" s="190" t="s">
        <v>364</v>
      </c>
      <c r="B39" s="32">
        <v>1500</v>
      </c>
      <c r="C39" s="32"/>
      <c r="D39" s="32">
        <f t="shared" si="0"/>
        <v>1500</v>
      </c>
    </row>
    <row r="40" spans="1:4" x14ac:dyDescent="0.35">
      <c r="A40" s="167" t="s">
        <v>352</v>
      </c>
      <c r="B40" s="32">
        <v>1000</v>
      </c>
      <c r="C40" s="32"/>
      <c r="D40" s="32">
        <f t="shared" si="0"/>
        <v>1000</v>
      </c>
    </row>
    <row r="41" spans="1:4" x14ac:dyDescent="0.35">
      <c r="A41" s="167" t="s">
        <v>535</v>
      </c>
      <c r="B41" s="32">
        <v>1000</v>
      </c>
      <c r="C41" s="32"/>
      <c r="D41" s="32">
        <f t="shared" si="0"/>
        <v>1000</v>
      </c>
    </row>
    <row r="42" spans="1:4" x14ac:dyDescent="0.35">
      <c r="A42" s="167" t="s">
        <v>538</v>
      </c>
      <c r="B42" s="32">
        <v>1000</v>
      </c>
      <c r="C42" s="32"/>
      <c r="D42" s="32">
        <f t="shared" si="0"/>
        <v>1000</v>
      </c>
    </row>
    <row r="43" spans="1:4" x14ac:dyDescent="0.35">
      <c r="A43" s="167" t="s">
        <v>631</v>
      </c>
      <c r="B43" s="32">
        <v>800</v>
      </c>
      <c r="C43" s="32"/>
      <c r="D43" s="32">
        <f t="shared" si="0"/>
        <v>800</v>
      </c>
    </row>
    <row r="44" spans="1:4" ht="21.75" thickBot="1" x14ac:dyDescent="0.4">
      <c r="A44" s="188" t="s">
        <v>482</v>
      </c>
      <c r="B44" s="37">
        <v>1000</v>
      </c>
      <c r="C44" s="37"/>
      <c r="D44" s="37">
        <f t="shared" si="0"/>
        <v>1000</v>
      </c>
    </row>
    <row r="45" spans="1:4" ht="21.75" thickBot="1" x14ac:dyDescent="0.4">
      <c r="A45" s="564" t="s">
        <v>565</v>
      </c>
      <c r="B45" s="58">
        <f>SUM(B23:B44)</f>
        <v>58680</v>
      </c>
      <c r="C45" s="58">
        <f>SUM(C23:C44)</f>
        <v>0</v>
      </c>
      <c r="D45" s="58">
        <f>SUM(D23:D44)</f>
        <v>58680</v>
      </c>
    </row>
    <row r="46" spans="1:4" ht="21.75" thickBot="1" x14ac:dyDescent="0.4">
      <c r="A46" s="595" t="s">
        <v>562</v>
      </c>
      <c r="B46" s="57">
        <v>12900</v>
      </c>
      <c r="C46" s="57">
        <v>200</v>
      </c>
      <c r="D46" s="57">
        <f t="shared" si="0"/>
        <v>13100</v>
      </c>
    </row>
    <row r="47" spans="1:4" ht="45" customHeight="1" thickBot="1" x14ac:dyDescent="0.4">
      <c r="A47" s="563" t="s">
        <v>567</v>
      </c>
      <c r="B47" s="125">
        <f>B45+B46</f>
        <v>71580</v>
      </c>
      <c r="C47" s="125">
        <f>C45+C46</f>
        <v>200</v>
      </c>
      <c r="D47" s="125">
        <f>D45+D46</f>
        <v>71780</v>
      </c>
    </row>
    <row r="48" spans="1:4" ht="21.75" thickBot="1" x14ac:dyDescent="0.4">
      <c r="A48" s="593" t="s">
        <v>561</v>
      </c>
      <c r="B48" s="58">
        <v>0</v>
      </c>
      <c r="C48" s="58"/>
      <c r="D48" s="58">
        <f t="shared" si="0"/>
        <v>0</v>
      </c>
    </row>
    <row r="49" spans="1:4" x14ac:dyDescent="0.35">
      <c r="A49" s="592" t="s">
        <v>602</v>
      </c>
      <c r="B49" s="182"/>
      <c r="C49" s="182"/>
      <c r="D49" s="182"/>
    </row>
    <row r="50" spans="1:4" x14ac:dyDescent="0.35">
      <c r="A50" s="10" t="s">
        <v>450</v>
      </c>
      <c r="B50" s="32">
        <v>57999</v>
      </c>
      <c r="C50" s="32">
        <v>457</v>
      </c>
      <c r="D50" s="32">
        <f t="shared" si="0"/>
        <v>58456</v>
      </c>
    </row>
    <row r="51" spans="1:4" x14ac:dyDescent="0.35">
      <c r="A51" s="197" t="s">
        <v>498</v>
      </c>
      <c r="B51" s="32">
        <v>40562</v>
      </c>
      <c r="C51" s="32">
        <v>-457</v>
      </c>
      <c r="D51" s="32">
        <f>SUM(B51:C51)</f>
        <v>40105</v>
      </c>
    </row>
    <row r="52" spans="1:4" x14ac:dyDescent="0.35">
      <c r="A52" s="192" t="s">
        <v>385</v>
      </c>
      <c r="B52" s="37">
        <v>30733</v>
      </c>
      <c r="C52" s="37">
        <v>-464</v>
      </c>
      <c r="D52" s="37">
        <f t="shared" si="0"/>
        <v>30269</v>
      </c>
    </row>
    <row r="53" spans="1:4" ht="21.75" thickBot="1" x14ac:dyDescent="0.4">
      <c r="A53" s="574" t="s">
        <v>572</v>
      </c>
      <c r="B53" s="57">
        <f>SUM(B50:B52)</f>
        <v>129294</v>
      </c>
      <c r="C53" s="57">
        <f>SUM(C50:C52)</f>
        <v>-464</v>
      </c>
      <c r="D53" s="57">
        <f>SUM(D50:D52)</f>
        <v>128830</v>
      </c>
    </row>
    <row r="54" spans="1:4" ht="21.75" thickBot="1" x14ac:dyDescent="0.4">
      <c r="A54" s="191" t="s">
        <v>573</v>
      </c>
      <c r="B54" s="57">
        <f>B48+B53</f>
        <v>129294</v>
      </c>
      <c r="C54" s="57">
        <f>C48+C53</f>
        <v>-464</v>
      </c>
      <c r="D54" s="57">
        <f>D48+D53</f>
        <v>128830</v>
      </c>
    </row>
    <row r="55" spans="1:4" x14ac:dyDescent="0.35">
      <c r="A55" s="596" t="s">
        <v>603</v>
      </c>
      <c r="B55" s="145"/>
      <c r="C55" s="145"/>
      <c r="D55" s="145"/>
    </row>
    <row r="56" spans="1:4" x14ac:dyDescent="0.35">
      <c r="A56" s="590" t="s">
        <v>604</v>
      </c>
      <c r="B56" s="193"/>
      <c r="C56" s="193"/>
      <c r="D56" s="193"/>
    </row>
    <row r="57" spans="1:4" x14ac:dyDescent="0.35">
      <c r="A57" s="196" t="s">
        <v>569</v>
      </c>
      <c r="B57" s="32">
        <v>300</v>
      </c>
      <c r="C57" s="32"/>
      <c r="D57" s="32">
        <f>SUM(B57:C57)</f>
        <v>300</v>
      </c>
    </row>
    <row r="58" spans="1:4" x14ac:dyDescent="0.35">
      <c r="A58" s="194" t="s">
        <v>559</v>
      </c>
      <c r="B58" s="32">
        <v>2358</v>
      </c>
      <c r="C58" s="195"/>
      <c r="D58" s="32">
        <f>SUM(B58:C58)</f>
        <v>2358</v>
      </c>
    </row>
    <row r="59" spans="1:4" x14ac:dyDescent="0.35">
      <c r="A59" s="197" t="s">
        <v>532</v>
      </c>
      <c r="B59" s="32">
        <v>3000</v>
      </c>
      <c r="C59" s="32"/>
      <c r="D59" s="32">
        <f>SUM(B59:C59)</f>
        <v>3000</v>
      </c>
    </row>
    <row r="60" spans="1:4" ht="21.75" thickBot="1" x14ac:dyDescent="0.4">
      <c r="A60" s="575" t="s">
        <v>574</v>
      </c>
      <c r="B60" s="57">
        <f>SUM(B57:B59)</f>
        <v>5658</v>
      </c>
      <c r="C60" s="57">
        <f>SUM(C57:C59)</f>
        <v>0</v>
      </c>
      <c r="D60" s="57">
        <f>SUM(D57:D59)</f>
        <v>5658</v>
      </c>
    </row>
    <row r="61" spans="1:4" x14ac:dyDescent="0.35">
      <c r="A61" s="597" t="s">
        <v>605</v>
      </c>
      <c r="B61" s="145"/>
      <c r="C61" s="145"/>
      <c r="D61" s="145"/>
    </row>
    <row r="62" spans="1:4" x14ac:dyDescent="0.35">
      <c r="A62" s="194" t="s">
        <v>384</v>
      </c>
      <c r="B62" s="32">
        <v>5537</v>
      </c>
      <c r="C62" s="195"/>
      <c r="D62" s="32">
        <f>SUM(B62:C62)</f>
        <v>5537</v>
      </c>
    </row>
    <row r="63" spans="1:4" x14ac:dyDescent="0.35">
      <c r="A63" s="579" t="s">
        <v>483</v>
      </c>
      <c r="B63" s="198">
        <v>1650</v>
      </c>
      <c r="C63" s="198">
        <v>1676</v>
      </c>
      <c r="D63" s="198">
        <f>SUM(B63:C63)</f>
        <v>3326</v>
      </c>
    </row>
    <row r="64" spans="1:4" ht="21.75" thickBot="1" x14ac:dyDescent="0.4">
      <c r="A64" s="576" t="s">
        <v>570</v>
      </c>
      <c r="B64" s="125">
        <f>SUM(B62:B63)</f>
        <v>7187</v>
      </c>
      <c r="C64" s="125">
        <f>SUM(C62:C63)</f>
        <v>1676</v>
      </c>
      <c r="D64" s="125">
        <f>SUM(D62:D63)</f>
        <v>8863</v>
      </c>
    </row>
    <row r="65" spans="1:4" ht="21.75" thickBot="1" x14ac:dyDescent="0.4">
      <c r="A65" s="576" t="s">
        <v>571</v>
      </c>
      <c r="B65" s="125">
        <f>B60+B64</f>
        <v>12845</v>
      </c>
      <c r="C65" s="125">
        <f>C60+C64</f>
        <v>1676</v>
      </c>
      <c r="D65" s="125">
        <f>D60+D64</f>
        <v>14521</v>
      </c>
    </row>
    <row r="66" spans="1:4" ht="21.75" thickBot="1" x14ac:dyDescent="0.4">
      <c r="A66" s="577" t="s">
        <v>568</v>
      </c>
      <c r="B66" s="125">
        <f>B47+B54+B65</f>
        <v>213719</v>
      </c>
      <c r="C66" s="125">
        <f>C47+C54+C65</f>
        <v>1412</v>
      </c>
      <c r="D66" s="125">
        <f>D47+D54+D65</f>
        <v>215131</v>
      </c>
    </row>
    <row r="67" spans="1:4" ht="21.75" thickBot="1" x14ac:dyDescent="0.4">
      <c r="A67" s="578" t="s">
        <v>606</v>
      </c>
      <c r="B67" s="57">
        <f>B20+B66</f>
        <v>4148698</v>
      </c>
      <c r="C67" s="57">
        <f>C20+C66</f>
        <v>222221</v>
      </c>
      <c r="D67" s="57">
        <f>D20+D66</f>
        <v>4370919</v>
      </c>
    </row>
    <row r="68" spans="1:4" ht="21" customHeight="1" x14ac:dyDescent="0.35">
      <c r="B68" s="30"/>
      <c r="C68" s="30"/>
      <c r="D68" s="30"/>
    </row>
    <row r="69" spans="1:4" ht="21.75" thickBot="1" x14ac:dyDescent="0.4">
      <c r="A69" s="6" t="s">
        <v>87</v>
      </c>
      <c r="B69" s="73"/>
      <c r="C69" s="73"/>
      <c r="D69" s="566"/>
    </row>
    <row r="70" spans="1:4" x14ac:dyDescent="0.35">
      <c r="A70" s="173" t="s">
        <v>170</v>
      </c>
      <c r="B70" s="19" t="s">
        <v>614</v>
      </c>
      <c r="C70" s="19" t="s">
        <v>557</v>
      </c>
      <c r="D70" s="19" t="s">
        <v>651</v>
      </c>
    </row>
    <row r="71" spans="1:4" ht="21.75" thickBot="1" x14ac:dyDescent="0.4">
      <c r="A71" s="174"/>
      <c r="B71" s="23" t="s">
        <v>372</v>
      </c>
      <c r="C71" s="23" t="s">
        <v>558</v>
      </c>
      <c r="D71" s="23" t="s">
        <v>372</v>
      </c>
    </row>
    <row r="72" spans="1:4" ht="21.75" thickBot="1" x14ac:dyDescent="0.4">
      <c r="A72" s="185" t="s">
        <v>615</v>
      </c>
      <c r="B72" s="46">
        <v>501</v>
      </c>
      <c r="C72" s="46">
        <v>151</v>
      </c>
      <c r="D72" s="46">
        <f>SUM(B72:C72)</f>
        <v>652</v>
      </c>
    </row>
    <row r="73" spans="1:4" ht="21.75" thickBot="1" x14ac:dyDescent="0.4">
      <c r="A73" s="185" t="s">
        <v>616</v>
      </c>
      <c r="B73" s="46">
        <v>64282</v>
      </c>
      <c r="C73" s="46">
        <v>10280</v>
      </c>
      <c r="D73" s="46">
        <f>SUM(B73:C73)</f>
        <v>74562</v>
      </c>
    </row>
    <row r="74" spans="1:4" ht="21.75" thickBot="1" x14ac:dyDescent="0.4">
      <c r="A74" s="199" t="s">
        <v>354</v>
      </c>
      <c r="B74" s="200">
        <v>16311</v>
      </c>
      <c r="C74" s="200">
        <f>600+131</f>
        <v>731</v>
      </c>
      <c r="D74" s="200">
        <f>SUM(B74:C74)</f>
        <v>17042</v>
      </c>
    </row>
    <row r="75" spans="1:4" ht="21.75" thickBot="1" x14ac:dyDescent="0.4">
      <c r="A75" s="199" t="s">
        <v>116</v>
      </c>
      <c r="B75" s="542">
        <v>12395</v>
      </c>
      <c r="C75" s="542">
        <v>5176</v>
      </c>
      <c r="D75" s="200">
        <f>SUM(B75:C75)</f>
        <v>17571</v>
      </c>
    </row>
    <row r="76" spans="1:4" ht="21.75" thickBot="1" x14ac:dyDescent="0.4">
      <c r="A76" s="202" t="s">
        <v>318</v>
      </c>
      <c r="B76" s="203">
        <f>B72+B73+B74+B75</f>
        <v>93489</v>
      </c>
      <c r="C76" s="58">
        <f>C72+C73+C74+C75</f>
        <v>16338</v>
      </c>
      <c r="D76" s="58">
        <f>D72+D73+D74+D75</f>
        <v>109827</v>
      </c>
    </row>
    <row r="77" spans="1:4" ht="21.75" thickBot="1" x14ac:dyDescent="0.4">
      <c r="A77" s="204"/>
      <c r="B77" s="205"/>
      <c r="C77" s="145"/>
      <c r="D77" s="145"/>
    </row>
    <row r="78" spans="1:4" ht="21.75" thickBot="1" x14ac:dyDescent="0.4">
      <c r="A78" s="187" t="s">
        <v>300</v>
      </c>
      <c r="B78" s="67">
        <f>+B76+B67</f>
        <v>4242187</v>
      </c>
      <c r="C78" s="58">
        <f>+C76+C67</f>
        <v>238559</v>
      </c>
      <c r="D78" s="58">
        <f>+D76+D67</f>
        <v>4480746</v>
      </c>
    </row>
    <row r="79" spans="1:4" ht="21" customHeight="1" x14ac:dyDescent="0.35">
      <c r="B79" s="30"/>
      <c r="C79" s="30"/>
      <c r="D79" s="30"/>
    </row>
    <row r="80" spans="1:4" x14ac:dyDescent="0.35">
      <c r="A80" s="81" t="s">
        <v>79</v>
      </c>
      <c r="B80" s="70"/>
      <c r="C80" s="70"/>
      <c r="D80" s="567"/>
    </row>
    <row r="81" spans="1:4" x14ac:dyDescent="0.35">
      <c r="A81" s="81" t="s">
        <v>80</v>
      </c>
      <c r="B81" s="70"/>
      <c r="C81" s="70"/>
      <c r="D81" s="70"/>
    </row>
    <row r="82" spans="1:4" ht="21" customHeight="1" x14ac:dyDescent="0.35">
      <c r="A82" s="207"/>
      <c r="B82" s="568"/>
      <c r="C82" s="30"/>
      <c r="D82" s="30"/>
    </row>
    <row r="83" spans="1:4" ht="21" customHeight="1" x14ac:dyDescent="0.35">
      <c r="B83" s="30"/>
      <c r="C83" s="30"/>
      <c r="D83" s="30"/>
    </row>
    <row r="84" spans="1:4" ht="21" customHeight="1" x14ac:dyDescent="0.35">
      <c r="B84" s="30"/>
      <c r="C84" s="30"/>
      <c r="D84" s="30"/>
    </row>
    <row r="85" spans="1:4" ht="21" customHeight="1" x14ac:dyDescent="0.35">
      <c r="B85" s="30"/>
      <c r="C85" s="30"/>
      <c r="D85" s="30"/>
    </row>
    <row r="86" spans="1:4" ht="21" customHeight="1" x14ac:dyDescent="0.35">
      <c r="B86" s="30"/>
      <c r="C86" s="30"/>
      <c r="D86" s="30"/>
    </row>
    <row r="87" spans="1:4" ht="21" customHeight="1" x14ac:dyDescent="0.35">
      <c r="B87" s="30"/>
      <c r="C87" s="30"/>
      <c r="D87" s="30"/>
    </row>
    <row r="88" spans="1:4" ht="21" customHeight="1" x14ac:dyDescent="0.35">
      <c r="B88" s="30"/>
      <c r="C88" s="30"/>
      <c r="D88" s="30"/>
    </row>
    <row r="89" spans="1:4" ht="21" customHeight="1" x14ac:dyDescent="0.35">
      <c r="B89" s="30"/>
      <c r="C89" s="30"/>
      <c r="D89" s="30"/>
    </row>
    <row r="90" spans="1:4" ht="21" customHeight="1" x14ac:dyDescent="0.35">
      <c r="B90" s="30"/>
      <c r="C90" s="30"/>
      <c r="D90" s="30"/>
    </row>
  </sheetData>
  <customSheetViews>
    <customSheetView guid="{6D4B996F-8915-4E78-98C2-E7EAE9C4580C}" scale="75" showRuler="0" topLeftCell="A97">
      <selection activeCell="B111" sqref="B111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1"/>
      <headerFooter alignWithMargins="0">
        <oddHeader>&amp;L&amp;F  &amp;A&amp;R&amp;"Times New Roman CE,Félkövér"&amp;14M.III/3. sz. melléklet</oddHeader>
      </headerFooter>
    </customSheetView>
    <customSheetView guid="{186732C5-520C-4E06-B066-B4F3F0A3E322}" scale="75" showRuler="0" topLeftCell="A98">
      <selection activeCell="B120" sqref="B120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2"/>
      <headerFooter alignWithMargins="0">
        <oddHeader>&amp;L&amp;F  &amp;A&amp;R&amp;"Times New Roman CE,Félkövér"&amp;14M.III/3. sz. melléklet</oddHeader>
      </headerFooter>
    </customSheetView>
  </customSheetViews>
  <mergeCells count="1">
    <mergeCell ref="A2:C2"/>
  </mergeCells>
  <phoneticPr fontId="0" type="noConversion"/>
  <printOptions horizontalCentered="1" verticalCentered="1"/>
  <pageMargins left="0" right="0" top="0" bottom="0" header="0.19685039370078741" footer="0"/>
  <pageSetup paperSize="9" scale="50" orientation="portrait" r:id="rId3"/>
  <headerFooter alignWithMargins="0">
    <oddHeader xml:space="preserve">&amp;R&amp;"Times New Roman CE,Félkövér"&amp;12
9. melléklet az    1/2025.(I.31.) önkormányzati rendelethez
9. melléklet a 8/2024.(III.5.) önkormányzati rendelethez"
</oddHeader>
  </headerFooter>
  <rowBreaks count="1" manualBreakCount="1">
    <brk id="4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27</vt:i4>
      </vt:variant>
    </vt:vector>
  </HeadingPairs>
  <TitlesOfParts>
    <vt:vector size="47" baseType="lpstr">
      <vt:lpstr>1 kiemelt ei. </vt:lpstr>
      <vt:lpstr>2 mérleg</vt:lpstr>
      <vt:lpstr>3 működési bevételek</vt:lpstr>
      <vt:lpstr>4 intézményi bevételek </vt:lpstr>
      <vt:lpstr>5 normatíva</vt:lpstr>
      <vt:lpstr>6 intézményi kiadások</vt:lpstr>
      <vt:lpstr>7 létszám </vt:lpstr>
      <vt:lpstr>8 oktatás</vt:lpstr>
      <vt:lpstr>9 kultúra</vt:lpstr>
      <vt:lpstr>10 szociális</vt:lpstr>
      <vt:lpstr>11 egészségügy</vt:lpstr>
      <vt:lpstr>12 gyermek és ifj.véd.</vt:lpstr>
      <vt:lpstr>13 egyéb</vt:lpstr>
      <vt:lpstr>14 sport</vt:lpstr>
      <vt:lpstr>15 város.ü.</vt:lpstr>
      <vt:lpstr>16 út-híd</vt:lpstr>
      <vt:lpstr>17 felhalm.bevétel </vt:lpstr>
      <vt:lpstr>18 felhalm.kiadás</vt:lpstr>
      <vt:lpstr>19 ei felh. terv bevétel</vt:lpstr>
      <vt:lpstr>19 ei. felh.terv kiadás</vt:lpstr>
      <vt:lpstr>'13 egyéb'!Nyomtatási_cím</vt:lpstr>
      <vt:lpstr>'17 felhalm.bevétel '!Nyomtatási_cím</vt:lpstr>
      <vt:lpstr>'18 felhalm.kiadás'!Nyomtatási_cím</vt:lpstr>
      <vt:lpstr>'3 működési bevételek'!Nyomtatási_cím</vt:lpstr>
      <vt:lpstr>'5 normatíva'!Nyomtatási_cím</vt:lpstr>
      <vt:lpstr>'7 létszám '!Nyomtatási_cím</vt:lpstr>
      <vt:lpstr>'9 kultúra'!Nyomtatási_cím</vt:lpstr>
      <vt:lpstr>'1 kiemelt ei. '!Nyomtatási_terület</vt:lpstr>
      <vt:lpstr>'10 szociális'!Nyomtatási_terület</vt:lpstr>
      <vt:lpstr>'11 egészségügy'!Nyomtatási_terület</vt:lpstr>
      <vt:lpstr>'12 gyermek és ifj.véd.'!Nyomtatási_terület</vt:lpstr>
      <vt:lpstr>'13 egyéb'!Nyomtatási_terület</vt:lpstr>
      <vt:lpstr>'14 sport'!Nyomtatási_terület</vt:lpstr>
      <vt:lpstr>'15 város.ü.'!Nyomtatási_terület</vt:lpstr>
      <vt:lpstr>'16 út-híd'!Nyomtatási_terület</vt:lpstr>
      <vt:lpstr>'17 felhalm.bevétel '!Nyomtatási_terület</vt:lpstr>
      <vt:lpstr>'18 felhalm.kiadás'!Nyomtatási_terület</vt:lpstr>
      <vt:lpstr>'19 ei felh. terv bevétel'!Nyomtatási_terület</vt:lpstr>
      <vt:lpstr>'19 ei. felh.terv kiadás'!Nyomtatási_terület</vt:lpstr>
      <vt:lpstr>'2 mérleg'!Nyomtatási_terület</vt:lpstr>
      <vt:lpstr>'3 működési bevételek'!Nyomtatási_terület</vt:lpstr>
      <vt:lpstr>'4 intézményi bevételek '!Nyomtatási_terület</vt:lpstr>
      <vt:lpstr>'5 normatíva'!Nyomtatási_terület</vt:lpstr>
      <vt:lpstr>'6 intézményi kiadások'!Nyomtatási_terület</vt:lpstr>
      <vt:lpstr>'7 létszám '!Nyomtatási_terület</vt:lpstr>
      <vt:lpstr>'8 oktatás'!Nyomtatási_terület</vt:lpstr>
      <vt:lpstr>'9 kultúra'!Nyomtatási_terület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Stéger Gábor</dc:creator>
  <cp:lastModifiedBy>Szalai Gergő dr.</cp:lastModifiedBy>
  <cp:lastPrinted>2025-01-30T14:47:21Z</cp:lastPrinted>
  <dcterms:created xsi:type="dcterms:W3CDTF">1998-01-10T07:52:54Z</dcterms:created>
  <dcterms:modified xsi:type="dcterms:W3CDTF">2025-01-30T14:47:29Z</dcterms:modified>
</cp:coreProperties>
</file>