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4\"/>
    </mc:Choice>
  </mc:AlternateContent>
  <xr:revisionPtr revIDLastSave="0" documentId="8_{70478A6D-9ECB-4AA7-BC88-F0357859EF00}" xr6:coauthVersionLast="47" xr6:coauthVersionMax="47" xr10:uidLastSave="{00000000-0000-0000-0000-000000000000}"/>
  <bookViews>
    <workbookView xWindow="-120" yWindow="-120" windowWidth="29040" windowHeight="15840" tabRatio="597" firstSheet="14" activeTab="15" xr2:uid="{00000000-000D-0000-FFFF-FFFF00000000}"/>
  </bookViews>
  <sheets>
    <sheet name="1 kiemelt előirányzatok telj. " sheetId="53" r:id="rId1"/>
    <sheet name="2 mérleg " sheetId="41" r:id="rId2"/>
    <sheet name="3 bev.részl" sheetId="39" r:id="rId3"/>
    <sheet name="4 int.bev." sheetId="68" r:id="rId4"/>
    <sheet name="5 normativa" sheetId="71" r:id="rId5"/>
    <sheet name="6. int. kiad." sheetId="69" r:id="rId6"/>
    <sheet name="7 létszám" sheetId="70" r:id="rId7"/>
    <sheet name="8 okt." sheetId="9" r:id="rId8"/>
    <sheet name="9 kult." sheetId="36" r:id="rId9"/>
    <sheet name="10 szoc." sheetId="11" r:id="rId10"/>
    <sheet name="11 eü." sheetId="12" r:id="rId11"/>
    <sheet name="12 Gyerm." sheetId="13" r:id="rId12"/>
    <sheet name="13 egyéb" sheetId="14" r:id="rId13"/>
    <sheet name="14 sport" sheetId="22" r:id="rId14"/>
    <sheet name="15 város.ü.,körny" sheetId="24" r:id="rId15"/>
    <sheet name="16 út-híd" sheetId="25" r:id="rId16"/>
    <sheet name="17 fbev." sheetId="40" r:id="rId17"/>
    <sheet name="18 fkia." sheetId="43" r:id="rId18"/>
    <sheet name="19 pénzeszkváltsa" sheetId="54" r:id="rId19"/>
    <sheet name="20 közvetett támogatás" sheetId="55" r:id="rId20"/>
    <sheet name="21 Eu projektek" sheetId="67" r:id="rId21"/>
    <sheet name="22 többév1" sheetId="57" r:id="rId22"/>
    <sheet name="23 eszközök" sheetId="58" r:id="rId23"/>
    <sheet name="24 források" sheetId="59" r:id="rId24"/>
    <sheet name="25 lakásalapelsz" sheetId="60" r:id="rId25"/>
    <sheet name="26 segély" sheetId="61" r:id="rId26"/>
    <sheet name="27 kataszter" sheetId="62" r:id="rId27"/>
    <sheet name="28 vagyonkimutatás " sheetId="63" r:id="rId28"/>
    <sheet name="29 Részesedések" sheetId="66" r:id="rId29"/>
    <sheet name="30 Lízing " sheetId="72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aaaaaaaaaaaaaaaaaaaaaaa" localSheetId="29">#REF!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esz" localSheetId="0">#REF!</definedName>
    <definedName name="besz" localSheetId="17">#REF!</definedName>
    <definedName name="besz">#REF!</definedName>
    <definedName name="bk" localSheetId="0">#REF!</definedName>
    <definedName name="bk" localSheetId="17">#REF!</definedName>
    <definedName name="bk" localSheetId="4">#REF!</definedName>
    <definedName name="bk" localSheetId="6">#REF!</definedName>
    <definedName name="bk">#REF!</definedName>
    <definedName name="cel_c" localSheetId="0">#REF!</definedName>
    <definedName name="cel_c" localSheetId="17">#REF!</definedName>
    <definedName name="cel_c">#REF!</definedName>
    <definedName name="cel_g" localSheetId="0">#REF!</definedName>
    <definedName name="cel_g" localSheetId="17">#REF!</definedName>
    <definedName name="cel_g">#REF!</definedName>
    <definedName name="cel_k" localSheetId="17">#REF!</definedName>
    <definedName name="cel_k">#REF!</definedName>
    <definedName name="cel_m" localSheetId="17">#REF!</definedName>
    <definedName name="cel_m">#REF!</definedName>
    <definedName name="cel_p" localSheetId="17">#REF!</definedName>
    <definedName name="cel_p">#REF!</definedName>
    <definedName name="css" localSheetId="0">#REF!</definedName>
    <definedName name="css" localSheetId="16">#REF!</definedName>
    <definedName name="css" localSheetId="17">#REF!</definedName>
    <definedName name="css" localSheetId="1">#REF!</definedName>
    <definedName name="css" localSheetId="2">#REF!</definedName>
    <definedName name="css" localSheetId="29">#REF!</definedName>
    <definedName name="css" localSheetId="4">#REF!</definedName>
    <definedName name="css" localSheetId="6">#REF!</definedName>
    <definedName name="css" localSheetId="8">#REF!</definedName>
    <definedName name="css">#REF!</definedName>
    <definedName name="css_k" localSheetId="0">[1]Családsegítés!$C$27:$C$86</definedName>
    <definedName name="css_k">[2]Családsegítés!$C$27:$C$86</definedName>
    <definedName name="css_k_" localSheetId="0">#REF!</definedName>
    <definedName name="css_k_" localSheetId="16">#REF!</definedName>
    <definedName name="css_k_" localSheetId="17">#REF!</definedName>
    <definedName name="css_k_" localSheetId="1">#REF!</definedName>
    <definedName name="css_k_" localSheetId="2">#REF!</definedName>
    <definedName name="css_k_" localSheetId="29">#REF!</definedName>
    <definedName name="css_k_" localSheetId="4">#REF!</definedName>
    <definedName name="css_k_" localSheetId="6">#REF!</definedName>
    <definedName name="css_k_" localSheetId="8">#REF!</definedName>
    <definedName name="css_k_">#REF!</definedName>
    <definedName name="d" localSheetId="17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0">#REF!</definedName>
    <definedName name="ffff" localSheetId="17">#REF!</definedName>
    <definedName name="ffff" localSheetId="4">#REF!</definedName>
    <definedName name="ffff">#REF!</definedName>
    <definedName name="g" localSheetId="0">#REF!</definedName>
    <definedName name="g" localSheetId="17">#REF!</definedName>
    <definedName name="g">#REF!</definedName>
    <definedName name="gyj" localSheetId="0">#REF!</definedName>
    <definedName name="gyj" localSheetId="16">#REF!</definedName>
    <definedName name="gyj" localSheetId="17">#REF!</definedName>
    <definedName name="gyj" localSheetId="1">#REF!</definedName>
    <definedName name="gyj" localSheetId="2">#REF!</definedName>
    <definedName name="gyj" localSheetId="29">#REF!</definedName>
    <definedName name="gyj" localSheetId="4">#REF!</definedName>
    <definedName name="gyj" localSheetId="6">#REF!</definedName>
    <definedName name="gyj" localSheetId="8">#REF!</definedName>
    <definedName name="gyj">#REF!</definedName>
    <definedName name="gyj_k" localSheetId="0">[1]Gyermekjóléti!$C$27:$C$86</definedName>
    <definedName name="gyj_k">[2]Gyermekjóléti!$C$27:$C$86</definedName>
    <definedName name="gyj_k_" localSheetId="0">#REF!</definedName>
    <definedName name="gyj_k_" localSheetId="16">#REF!</definedName>
    <definedName name="gyj_k_" localSheetId="17">#REF!</definedName>
    <definedName name="gyj_k_" localSheetId="1">#REF!</definedName>
    <definedName name="gyj_k_" localSheetId="2">#REF!</definedName>
    <definedName name="gyj_k_" localSheetId="29">#REF!</definedName>
    <definedName name="gyj_k_" localSheetId="4">#REF!</definedName>
    <definedName name="gyj_k_" localSheetId="6">#REF!</definedName>
    <definedName name="gyj_k_" localSheetId="8">#REF!</definedName>
    <definedName name="gyj_k_">#REF!</definedName>
    <definedName name="gyj_kl" localSheetId="0">#REF!</definedName>
    <definedName name="gyj_kl" localSheetId="17">#REF!</definedName>
    <definedName name="gyj_kl">#REF!</definedName>
    <definedName name="h" localSheetId="4">#REF!</definedName>
    <definedName name="h">#REF!</definedName>
    <definedName name="k" localSheetId="17">#REF!</definedName>
    <definedName name="k">#REF!</definedName>
    <definedName name="kjz" localSheetId="0">#REF!</definedName>
    <definedName name="kjz" localSheetId="16">#REF!</definedName>
    <definedName name="kjz" localSheetId="17">#REF!</definedName>
    <definedName name="kjz" localSheetId="1">#REF!</definedName>
    <definedName name="kjz" localSheetId="2">#REF!</definedName>
    <definedName name="kjz" localSheetId="29">#REF!</definedName>
    <definedName name="kjz" localSheetId="4">#REF!</definedName>
    <definedName name="kjz" localSheetId="6">#REF!</definedName>
    <definedName name="kjz" localSheetId="8">#REF!</definedName>
    <definedName name="kjz">#REF!</definedName>
    <definedName name="kjz_k" localSheetId="0">[1]körjegyzőség!$C$9:$C$28</definedName>
    <definedName name="kjz_k">[2]körjegyzőség!$C$9:$C$28</definedName>
    <definedName name="kjz_k_" localSheetId="0">#REF!</definedName>
    <definedName name="kjz_k_" localSheetId="16">#REF!</definedName>
    <definedName name="kjz_k_" localSheetId="17">#REF!</definedName>
    <definedName name="kjz_k_" localSheetId="1">#REF!</definedName>
    <definedName name="kjz_k_" localSheetId="2">#REF!</definedName>
    <definedName name="kjz_k_" localSheetId="29">#REF!</definedName>
    <definedName name="kjz_k_" localSheetId="4">#REF!</definedName>
    <definedName name="kjz_k_" localSheetId="6">#REF!</definedName>
    <definedName name="kjz_k_" localSheetId="8">#REF!</definedName>
    <definedName name="kjz_k_">#REF!</definedName>
    <definedName name="klj" localSheetId="17">#REF!</definedName>
    <definedName name="klj">#REF!</definedName>
    <definedName name="klj_k_" localSheetId="17">#REF!</definedName>
    <definedName name="klj_k_">#REF!</definedName>
    <definedName name="nev_b" localSheetId="4">#REF!</definedName>
    <definedName name="nev_b">#REF!</definedName>
    <definedName name="nev_c" localSheetId="0">#REF!</definedName>
    <definedName name="nev_c" localSheetId="16">#REF!</definedName>
    <definedName name="nev_c" localSheetId="17">#REF!</definedName>
    <definedName name="nev_c" localSheetId="1">#REF!</definedName>
    <definedName name="nev_c" localSheetId="2">#REF!</definedName>
    <definedName name="nev_c" localSheetId="29">#REF!</definedName>
    <definedName name="nev_c" localSheetId="4">#REF!</definedName>
    <definedName name="nev_c" localSheetId="6">#REF!</definedName>
    <definedName name="nev_c" localSheetId="8">#REF!</definedName>
    <definedName name="nev_c">#REF!</definedName>
    <definedName name="nev_g" localSheetId="0">#REF!</definedName>
    <definedName name="nev_g" localSheetId="16">#REF!</definedName>
    <definedName name="nev_g" localSheetId="17">#REF!</definedName>
    <definedName name="nev_g" localSheetId="1">#REF!</definedName>
    <definedName name="nev_g" localSheetId="2">#REF!</definedName>
    <definedName name="nev_g" localSheetId="29">#REF!</definedName>
    <definedName name="nev_g" localSheetId="4">#REF!</definedName>
    <definedName name="nev_g" localSheetId="6">#REF!</definedName>
    <definedName name="nev_g" localSheetId="8">#REF!</definedName>
    <definedName name="nev_g">#REF!</definedName>
    <definedName name="nev_k" localSheetId="0">#REF!</definedName>
    <definedName name="nev_k" localSheetId="16">#REF!</definedName>
    <definedName name="nev_k" localSheetId="17">#REF!</definedName>
    <definedName name="nev_k" localSheetId="1">#REF!</definedName>
    <definedName name="nev_k" localSheetId="2">#REF!</definedName>
    <definedName name="nev_k" localSheetId="29">#REF!</definedName>
    <definedName name="nev_k" localSheetId="4">#REF!</definedName>
    <definedName name="nev_k" localSheetId="6">#REF!</definedName>
    <definedName name="nev_k" localSheetId="8">#REF!</definedName>
    <definedName name="nev_k">#REF!</definedName>
    <definedName name="nev_k1" localSheetId="4">#REF!</definedName>
    <definedName name="nev_k1">#REF!</definedName>
    <definedName name="normatíva">[3]Családsegítés!$C$27:$C$86</definedName>
    <definedName name="_xlnm.Print_Titles" localSheetId="12">'13 egyéb'!$4:$5</definedName>
    <definedName name="_xlnm.Print_Titles" localSheetId="13">'14 sport'!$5:$6</definedName>
    <definedName name="_xlnm.Print_Titles" localSheetId="16">'17 fbev.'!$2:$4</definedName>
    <definedName name="_xlnm.Print_Titles" localSheetId="17">'18 fkia.'!$1:$5</definedName>
    <definedName name="_xlnm.Print_Titles" localSheetId="18">'19 pénzeszkváltsa'!$3:$5</definedName>
    <definedName name="_xlnm.Print_Titles" localSheetId="27">'28 vagyonkimutatás '!$8:$8</definedName>
    <definedName name="_xlnm.Print_Titles" localSheetId="2">'3 bev.részl'!$4:$6</definedName>
    <definedName name="_xlnm.Print_Titles" localSheetId="4">'5 normativa'!$5:$5</definedName>
    <definedName name="_xlnm.Print_Titles" localSheetId="6">'7 létszám'!$1:$7</definedName>
    <definedName name="_xlnm.Print_Titles" localSheetId="8">'9 kult.'!$4:$6</definedName>
    <definedName name="_xlnm.Print_Area" localSheetId="0">'1 kiemelt előirányzatok telj. '!$A$1:$K$22</definedName>
    <definedName name="_xlnm.Print_Area" localSheetId="9">'10 szoc.'!$A$1:$E$49</definedName>
    <definedName name="_xlnm.Print_Area" localSheetId="10">'11 eü.'!$A$2:$E$33</definedName>
    <definedName name="_xlnm.Print_Area" localSheetId="11">'12 Gyerm.'!$A$2:$E$23</definedName>
    <definedName name="_xlnm.Print_Area" localSheetId="12">'13 egyéb'!$A$2:$E$112</definedName>
    <definedName name="_xlnm.Print_Area" localSheetId="13">'14 sport'!$A$2:$E$22</definedName>
    <definedName name="_xlnm.Print_Area" localSheetId="14">'15 város.ü.,körny'!$A$2:$I$26</definedName>
    <definedName name="_xlnm.Print_Area" localSheetId="15">'16 út-híd'!$A$1:$E$40</definedName>
    <definedName name="_xlnm.Print_Area" localSheetId="16">'17 fbev.'!$A$1:$F$51</definedName>
    <definedName name="_xlnm.Print_Area" localSheetId="17">'18 fkia.'!$B$1:$G$118</definedName>
    <definedName name="_xlnm.Print_Area" localSheetId="18">'19 pénzeszkváltsa'!$B$1:$C$12</definedName>
    <definedName name="_xlnm.Print_Area" localSheetId="1">'2 mérleg '!$A$2:$M$61</definedName>
    <definedName name="_xlnm.Print_Area" localSheetId="19">'20 közvetett támogatás'!$A$1:$C$23</definedName>
    <definedName name="_xlnm.Print_Area" localSheetId="20">'21 Eu projektek'!$B$1:$D$79</definedName>
    <definedName name="_xlnm.Print_Area" localSheetId="21">'22 többév1'!$B$1:$H$24</definedName>
    <definedName name="_xlnm.Print_Area" localSheetId="22">'23 eszközök'!$B$4:$G$139</definedName>
    <definedName name="_xlnm.Print_Area" localSheetId="23">'24 források'!$B$2:$G$76</definedName>
    <definedName name="_xlnm.Print_Area" localSheetId="24">'25 lakásalapelsz'!$B$3:$F$231</definedName>
    <definedName name="_xlnm.Print_Area" localSheetId="25">'26 segély'!$B$3:$G$18</definedName>
    <definedName name="_xlnm.Print_Area" localSheetId="26">'27 kataszter'!$A$2:$K$38</definedName>
    <definedName name="_xlnm.Print_Area" localSheetId="27">'28 vagyonkimutatás '!$B$5:$G$90</definedName>
    <definedName name="_xlnm.Print_Area" localSheetId="2">'3 bev.részl'!$A$1:$I$129</definedName>
    <definedName name="_xlnm.Print_Area" localSheetId="29">'30 Lízing '!$B$2:$E$16</definedName>
    <definedName name="_xlnm.Print_Area" localSheetId="3">'4 int.bev.'!$A$1:$BG$49</definedName>
    <definedName name="_xlnm.Print_Area" localSheetId="4">'5 normativa'!$A$1:$E$97</definedName>
    <definedName name="_xlnm.Print_Area" localSheetId="5">'6. int. kiad.'!$A$1:$AV$49</definedName>
    <definedName name="_xlnm.Print_Area" localSheetId="6">'7 létszám'!$A$1:$G$48</definedName>
    <definedName name="_xlnm.Print_Area" localSheetId="7">'8 okt.'!$B$1:$F$39</definedName>
    <definedName name="_xlnm.Print_Area" localSheetId="8">'9 kult.'!$A$1:$E$92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Projektek_2019ei" localSheetId="0">#REF!</definedName>
    <definedName name="Projektek_2019ei" localSheetId="25">#REF!</definedName>
    <definedName name="Projektek_2019ei">#REF!</definedName>
    <definedName name="rmI" localSheetId="25">#REF!</definedName>
    <definedName name="rmI" localSheetId="4">#REF!</definedName>
    <definedName name="rmI">#REF!</definedName>
    <definedName name="x" localSheetId="0">#REF!</definedName>
    <definedName name="x" localSheetId="17">#REF!</definedName>
    <definedName name="x" localSheetId="29">#REF!</definedName>
    <definedName name="x" localSheetId="4">#REF!</definedName>
    <definedName name="x" localSheetId="6">#REF!</definedName>
    <definedName name="x">#REF!</definedName>
    <definedName name="Z_186732C5_520C_4E06_B066_B4F3F0A3E322_.wvu.PrintArea" localSheetId="16" hidden="1">'17 fbev.'!$A$1:$B$37</definedName>
    <definedName name="Z_186732C5_520C_4E06_B066_B4F3F0A3E322_.wvu.PrintArea" localSheetId="1" hidden="1">'2 mérleg '!$A$2:$I$61</definedName>
    <definedName name="Z_186732C5_520C_4E06_B066_B4F3F0A3E322_.wvu.PrintArea" localSheetId="20" hidden="1">'21 Eu projektek'!$B$3:$C$23</definedName>
    <definedName name="Z_186732C5_520C_4E06_B066_B4F3F0A3E322_.wvu.PrintArea" localSheetId="2" hidden="1">'3 bev.részl'!$A$1:$E$129</definedName>
    <definedName name="Z_186732C5_520C_4E06_B066_B4F3F0A3E322_.wvu.PrintArea" localSheetId="8" hidden="1">'9 kult.'!$A$1:$A$79</definedName>
    <definedName name="Z_6D4B996F_8915_4E78_98C2_E7EAE9C4580C_.wvu.PrintArea" localSheetId="16" hidden="1">'17 fbev.'!$A$1:$B$37</definedName>
    <definedName name="Z_6D4B996F_8915_4E78_98C2_E7EAE9C4580C_.wvu.PrintArea" localSheetId="1" hidden="1">'2 mérleg '!$A$2:$I$61</definedName>
    <definedName name="Z_6D4B996F_8915_4E78_98C2_E7EAE9C4580C_.wvu.PrintArea" localSheetId="20" hidden="1">'21 Eu projektek'!$B$3:$C$23</definedName>
    <definedName name="Z_6D4B996F_8915_4E78_98C2_E7EAE9C4580C_.wvu.PrintArea" localSheetId="2" hidden="1">'3 bev.részl'!$A$1:$E$129</definedName>
    <definedName name="Z_6D4B996F_8915_4E78_98C2_E7EAE9C4580C_.wvu.PrintArea" localSheetId="8" hidden="1">'9 kult.'!$A$1:$A$79</definedName>
    <definedName name="Z_F05CDCE5_D631_41F9_80C7_3F3E8464BF12_.wvu.PrintArea" localSheetId="6" hidden="1">'7 létszám'!$A$1:$E$48</definedName>
    <definedName name="Z_F05CDCE5_D631_41F9_80C7_3F3E8464BF12_.wvu.PrintTitles" localSheetId="6" hidden="1">'7 létszám'!$1:$7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8" i="60" l="1"/>
  <c r="C16" i="72"/>
  <c r="D15" i="72" s="1"/>
  <c r="E15" i="72" s="1"/>
  <c r="C15" i="72"/>
  <c r="E8" i="72"/>
  <c r="D10" i="72" l="1"/>
  <c r="E10" i="72" s="1"/>
  <c r="D12" i="72"/>
  <c r="E12" i="72" s="1"/>
  <c r="D14" i="72"/>
  <c r="E14" i="72" s="1"/>
  <c r="D9" i="72"/>
  <c r="D11" i="72"/>
  <c r="E11" i="72" s="1"/>
  <c r="D13" i="72"/>
  <c r="E13" i="72" s="1"/>
  <c r="D16" i="72" l="1"/>
  <c r="E16" i="72" s="1"/>
  <c r="E9" i="72"/>
  <c r="M53" i="41" l="1"/>
  <c r="E46" i="63"/>
  <c r="F42" i="63"/>
  <c r="F13" i="63"/>
  <c r="G41" i="59"/>
  <c r="G45" i="59"/>
  <c r="G29" i="59"/>
  <c r="G33" i="59" s="1"/>
  <c r="G110" i="58"/>
  <c r="G109" i="58"/>
  <c r="G125" i="58"/>
  <c r="G102" i="58"/>
  <c r="F87" i="63"/>
  <c r="F86" i="63"/>
  <c r="G114" i="58" l="1"/>
  <c r="E41" i="63"/>
  <c r="D14" i="53"/>
  <c r="D10" i="53"/>
  <c r="C14" i="53" l="1"/>
  <c r="D11" i="53"/>
  <c r="D9" i="53"/>
  <c r="D28" i="11"/>
  <c r="F38" i="63" l="1"/>
  <c r="E38" i="63"/>
  <c r="F34" i="63"/>
  <c r="E34" i="63"/>
  <c r="F32" i="63"/>
  <c r="E32" i="63"/>
  <c r="G28" i="63"/>
  <c r="G29" i="63"/>
  <c r="G30" i="63"/>
  <c r="G31" i="63"/>
  <c r="G33" i="63"/>
  <c r="G35" i="63"/>
  <c r="F25" i="63"/>
  <c r="E25" i="63"/>
  <c r="G22" i="63"/>
  <c r="G23" i="63"/>
  <c r="G24" i="63"/>
  <c r="G26" i="63"/>
  <c r="G21" i="63"/>
  <c r="G17" i="63"/>
  <c r="G16" i="63"/>
  <c r="G13" i="63"/>
  <c r="G14" i="63"/>
  <c r="G12" i="63"/>
  <c r="I10" i="53"/>
  <c r="H15" i="53"/>
  <c r="D96" i="71"/>
  <c r="E96" i="71" s="1"/>
  <c r="D95" i="71"/>
  <c r="E95" i="71" s="1"/>
  <c r="C91" i="71"/>
  <c r="B91" i="71"/>
  <c r="D90" i="71"/>
  <c r="E90" i="71" s="1"/>
  <c r="D89" i="71"/>
  <c r="E89" i="71" s="1"/>
  <c r="D88" i="71"/>
  <c r="E88" i="71" s="1"/>
  <c r="D87" i="71"/>
  <c r="E87" i="71" s="1"/>
  <c r="D86" i="71"/>
  <c r="E86" i="71" s="1"/>
  <c r="D85" i="71"/>
  <c r="E85" i="71" s="1"/>
  <c r="D84" i="71"/>
  <c r="E84" i="71" s="1"/>
  <c r="D83" i="71"/>
  <c r="E83" i="71" s="1"/>
  <c r="D82" i="71"/>
  <c r="E82" i="71" s="1"/>
  <c r="D81" i="71"/>
  <c r="E81" i="71" s="1"/>
  <c r="E80" i="71"/>
  <c r="C77" i="71"/>
  <c r="B77" i="71"/>
  <c r="D76" i="71"/>
  <c r="D75" i="71"/>
  <c r="E75" i="71" s="1"/>
  <c r="C73" i="71"/>
  <c r="B73" i="71"/>
  <c r="D72" i="71"/>
  <c r="E72" i="71" s="1"/>
  <c r="D71" i="71"/>
  <c r="E71" i="71" s="1"/>
  <c r="D70" i="71"/>
  <c r="C66" i="71"/>
  <c r="B66" i="71"/>
  <c r="E65" i="71"/>
  <c r="D64" i="71"/>
  <c r="D66" i="71" s="1"/>
  <c r="C62" i="71"/>
  <c r="B62" i="71"/>
  <c r="D61" i="71"/>
  <c r="E61" i="71" s="1"/>
  <c r="D60" i="71"/>
  <c r="E60" i="71" s="1"/>
  <c r="D59" i="71"/>
  <c r="E59" i="71" s="1"/>
  <c r="C56" i="71"/>
  <c r="B56" i="71"/>
  <c r="D55" i="71"/>
  <c r="E55" i="71" s="1"/>
  <c r="D54" i="71"/>
  <c r="E54" i="71" s="1"/>
  <c r="D53" i="71"/>
  <c r="E53" i="71" s="1"/>
  <c r="D52" i="71"/>
  <c r="E52" i="71" s="1"/>
  <c r="D51" i="71"/>
  <c r="E51" i="71" s="1"/>
  <c r="D50" i="71"/>
  <c r="E50" i="71" s="1"/>
  <c r="D49" i="71"/>
  <c r="C46" i="71"/>
  <c r="B46" i="71"/>
  <c r="D45" i="71"/>
  <c r="E45" i="71" s="1"/>
  <c r="D44" i="71"/>
  <c r="E44" i="71" s="1"/>
  <c r="D43" i="71"/>
  <c r="E43" i="71" s="1"/>
  <c r="D42" i="71"/>
  <c r="E42" i="71" s="1"/>
  <c r="D41" i="71"/>
  <c r="E41" i="71" s="1"/>
  <c r="D40" i="71"/>
  <c r="E40" i="71" s="1"/>
  <c r="D39" i="71"/>
  <c r="E39" i="71" s="1"/>
  <c r="D38" i="71"/>
  <c r="E38" i="71" s="1"/>
  <c r="D37" i="71"/>
  <c r="E37" i="71" s="1"/>
  <c r="D36" i="71"/>
  <c r="E36" i="71" s="1"/>
  <c r="D35" i="71"/>
  <c r="E35" i="71" s="1"/>
  <c r="D34" i="71"/>
  <c r="E34" i="71" s="1"/>
  <c r="D33" i="71"/>
  <c r="E33" i="71" s="1"/>
  <c r="D32" i="71"/>
  <c r="E32" i="71" s="1"/>
  <c r="D31" i="71"/>
  <c r="E31" i="71" s="1"/>
  <c r="D30" i="71"/>
  <c r="E30" i="71" s="1"/>
  <c r="D29" i="71"/>
  <c r="E29" i="71" s="1"/>
  <c r="D28" i="71"/>
  <c r="E28" i="71" s="1"/>
  <c r="D27" i="71"/>
  <c r="E27" i="71" s="1"/>
  <c r="D26" i="71"/>
  <c r="E26" i="71" s="1"/>
  <c r="D25" i="71"/>
  <c r="E25" i="71" s="1"/>
  <c r="D24" i="71"/>
  <c r="E24" i="71" s="1"/>
  <c r="D23" i="71"/>
  <c r="E23" i="71" s="1"/>
  <c r="D22" i="71"/>
  <c r="E22" i="71" s="1"/>
  <c r="D21" i="71"/>
  <c r="E21" i="71" s="1"/>
  <c r="D20" i="71"/>
  <c r="E20" i="71" s="1"/>
  <c r="D19" i="71"/>
  <c r="E19" i="71" s="1"/>
  <c r="D18" i="71"/>
  <c r="C15" i="71"/>
  <c r="B15" i="71"/>
  <c r="D14" i="71"/>
  <c r="E14" i="71" s="1"/>
  <c r="D13" i="71"/>
  <c r="E13" i="71" s="1"/>
  <c r="D12" i="71"/>
  <c r="E12" i="71" s="1"/>
  <c r="D11" i="71"/>
  <c r="E11" i="71" s="1"/>
  <c r="D10" i="71"/>
  <c r="E10" i="71" s="1"/>
  <c r="D9" i="71"/>
  <c r="E9" i="71" s="1"/>
  <c r="D8" i="71"/>
  <c r="E8" i="71" s="1"/>
  <c r="D7" i="71"/>
  <c r="E66" i="71" l="1"/>
  <c r="G25" i="63"/>
  <c r="B67" i="71"/>
  <c r="B78" i="71"/>
  <c r="B92" i="71" s="1"/>
  <c r="D46" i="71"/>
  <c r="D77" i="71"/>
  <c r="G34" i="63"/>
  <c r="G32" i="63"/>
  <c r="C67" i="71"/>
  <c r="C78" i="71" s="1"/>
  <c r="D73" i="71"/>
  <c r="D15" i="71"/>
  <c r="D56" i="71"/>
  <c r="D62" i="71"/>
  <c r="E70" i="71"/>
  <c r="E73" i="71" s="1"/>
  <c r="D91" i="71"/>
  <c r="B97" i="71"/>
  <c r="E91" i="71"/>
  <c r="E62" i="71"/>
  <c r="E7" i="71"/>
  <c r="E15" i="71" s="1"/>
  <c r="E18" i="71"/>
  <c r="E46" i="71" s="1"/>
  <c r="E49" i="71"/>
  <c r="E56" i="71" s="1"/>
  <c r="E64" i="71"/>
  <c r="E76" i="71"/>
  <c r="E77" i="71" l="1"/>
  <c r="D67" i="71"/>
  <c r="D78" i="71" s="1"/>
  <c r="D97" i="71" s="1"/>
  <c r="C97" i="71"/>
  <c r="C92" i="71"/>
  <c r="E67" i="71"/>
  <c r="E78" i="71" l="1"/>
  <c r="E97" i="71" s="1"/>
  <c r="D92" i="71"/>
  <c r="E92" i="71" l="1"/>
  <c r="E88" i="36"/>
  <c r="E89" i="36"/>
  <c r="E87" i="36"/>
  <c r="E86" i="36"/>
  <c r="E45" i="70" l="1"/>
  <c r="D45" i="70"/>
  <c r="C45" i="70"/>
  <c r="B45" i="70"/>
  <c r="E44" i="70"/>
  <c r="E46" i="70" s="1"/>
  <c r="D44" i="70"/>
  <c r="C44" i="70"/>
  <c r="C46" i="70" s="1"/>
  <c r="B44" i="70"/>
  <c r="B46" i="70" s="1"/>
  <c r="E42" i="70"/>
  <c r="D42" i="70"/>
  <c r="C42" i="70"/>
  <c r="B42" i="70"/>
  <c r="E40" i="70"/>
  <c r="D40" i="70"/>
  <c r="C40" i="70"/>
  <c r="B40" i="70"/>
  <c r="E38" i="70"/>
  <c r="D38" i="70"/>
  <c r="C38" i="70"/>
  <c r="B38" i="70"/>
  <c r="E35" i="70"/>
  <c r="D35" i="70"/>
  <c r="C35" i="70"/>
  <c r="B35" i="70"/>
  <c r="E34" i="70"/>
  <c r="D34" i="70"/>
  <c r="C34" i="70"/>
  <c r="B34" i="70"/>
  <c r="E33" i="70"/>
  <c r="D33" i="70"/>
  <c r="C33" i="70"/>
  <c r="B33" i="70"/>
  <c r="E32" i="70"/>
  <c r="D32" i="70"/>
  <c r="C32" i="70"/>
  <c r="B32" i="70"/>
  <c r="E28" i="70"/>
  <c r="D28" i="70"/>
  <c r="C28" i="70"/>
  <c r="B28" i="70"/>
  <c r="E26" i="70"/>
  <c r="D26" i="70"/>
  <c r="C26" i="70"/>
  <c r="B26" i="70"/>
  <c r="E25" i="70"/>
  <c r="D25" i="70"/>
  <c r="C25" i="70"/>
  <c r="B25" i="70"/>
  <c r="E24" i="70"/>
  <c r="D24" i="70"/>
  <c r="C24" i="70"/>
  <c r="B24" i="70"/>
  <c r="E23" i="70"/>
  <c r="D23" i="70"/>
  <c r="C23" i="70"/>
  <c r="B23" i="70"/>
  <c r="E22" i="70"/>
  <c r="D22" i="70"/>
  <c r="C22" i="70"/>
  <c r="B22" i="70"/>
  <c r="E21" i="70"/>
  <c r="D21" i="70"/>
  <c r="C21" i="70"/>
  <c r="B21" i="70"/>
  <c r="E20" i="70"/>
  <c r="D20" i="70"/>
  <c r="C20" i="70"/>
  <c r="B20" i="70"/>
  <c r="E19" i="70"/>
  <c r="D19" i="70"/>
  <c r="C19" i="70"/>
  <c r="B19" i="70"/>
  <c r="E18" i="70"/>
  <c r="D18" i="70"/>
  <c r="C18" i="70"/>
  <c r="B18" i="70"/>
  <c r="E17" i="70"/>
  <c r="D17" i="70"/>
  <c r="C17" i="70"/>
  <c r="B17" i="70"/>
  <c r="E16" i="70"/>
  <c r="D16" i="70"/>
  <c r="C16" i="70"/>
  <c r="B16" i="70"/>
  <c r="E15" i="70"/>
  <c r="D15" i="70"/>
  <c r="C15" i="70"/>
  <c r="B15" i="70"/>
  <c r="E14" i="70"/>
  <c r="D14" i="70"/>
  <c r="C14" i="70"/>
  <c r="B14" i="70"/>
  <c r="E13" i="70"/>
  <c r="D13" i="70"/>
  <c r="C13" i="70"/>
  <c r="B13" i="70"/>
  <c r="E12" i="70"/>
  <c r="D12" i="70"/>
  <c r="C12" i="70"/>
  <c r="B12" i="70"/>
  <c r="E11" i="70"/>
  <c r="D11" i="70"/>
  <c r="C11" i="70"/>
  <c r="B11" i="70"/>
  <c r="E10" i="70"/>
  <c r="D10" i="70"/>
  <c r="C10" i="70"/>
  <c r="B10" i="70"/>
  <c r="E9" i="70"/>
  <c r="E27" i="70" s="1"/>
  <c r="E29" i="70" s="1"/>
  <c r="D9" i="70"/>
  <c r="D27" i="70" s="1"/>
  <c r="D29" i="70" s="1"/>
  <c r="C9" i="70"/>
  <c r="C27" i="70" s="1"/>
  <c r="C29" i="70" s="1"/>
  <c r="B9" i="70"/>
  <c r="B27" i="70" s="1"/>
  <c r="B29" i="70" s="1"/>
  <c r="D46" i="70" l="1"/>
  <c r="F10" i="70"/>
  <c r="F12" i="70"/>
  <c r="F16" i="70"/>
  <c r="F19" i="70"/>
  <c r="F21" i="70"/>
  <c r="F23" i="70"/>
  <c r="F25" i="70"/>
  <c r="F28" i="70"/>
  <c r="F33" i="70"/>
  <c r="F34" i="70"/>
  <c r="F38" i="70"/>
  <c r="F40" i="70"/>
  <c r="F42" i="70"/>
  <c r="F11" i="70"/>
  <c r="F13" i="70"/>
  <c r="F15" i="70"/>
  <c r="F17" i="70"/>
  <c r="F18" i="70"/>
  <c r="F20" i="70"/>
  <c r="F22" i="70"/>
  <c r="F24" i="70"/>
  <c r="F26" i="70"/>
  <c r="F35" i="70"/>
  <c r="F45" i="70"/>
  <c r="G10" i="70"/>
  <c r="G11" i="70"/>
  <c r="G12" i="70"/>
  <c r="G13" i="70"/>
  <c r="G14" i="70"/>
  <c r="G15" i="70"/>
  <c r="G16" i="70"/>
  <c r="G17" i="70"/>
  <c r="G18" i="70"/>
  <c r="G19" i="70"/>
  <c r="G20" i="70"/>
  <c r="G21" i="70"/>
  <c r="G22" i="70"/>
  <c r="G23" i="70"/>
  <c r="G24" i="70"/>
  <c r="G25" i="70"/>
  <c r="G26" i="70"/>
  <c r="G28" i="70"/>
  <c r="G33" i="70"/>
  <c r="G34" i="70"/>
  <c r="G35" i="70"/>
  <c r="G38" i="70"/>
  <c r="G40" i="70"/>
  <c r="G42" i="70"/>
  <c r="G45" i="70"/>
  <c r="B36" i="70"/>
  <c r="B47" i="70" s="1"/>
  <c r="B48" i="70" s="1"/>
  <c r="C36" i="70"/>
  <c r="C47" i="70" s="1"/>
  <c r="C48" i="70" s="1"/>
  <c r="D36" i="70"/>
  <c r="D47" i="70" s="1"/>
  <c r="D48" i="70" s="1"/>
  <c r="E36" i="70"/>
  <c r="E47" i="70" s="1"/>
  <c r="E48" i="70" s="1"/>
  <c r="F14" i="70"/>
  <c r="F9" i="70"/>
  <c r="G9" i="70"/>
  <c r="F32" i="70"/>
  <c r="F44" i="70"/>
  <c r="G32" i="70"/>
  <c r="G44" i="70"/>
  <c r="F36" i="70" l="1"/>
  <c r="G46" i="70"/>
  <c r="G27" i="70"/>
  <c r="G29" i="70" s="1"/>
  <c r="F46" i="70"/>
  <c r="F27" i="70"/>
  <c r="F29" i="70" s="1"/>
  <c r="G36" i="70"/>
  <c r="G47" i="70" s="1"/>
  <c r="G48" i="70" l="1"/>
  <c r="F47" i="70"/>
  <c r="F48" i="70" s="1"/>
  <c r="AL47" i="69"/>
  <c r="AH47" i="69"/>
  <c r="AD47" i="69"/>
  <c r="U47" i="69"/>
  <c r="Q47" i="69"/>
  <c r="L47" i="69"/>
  <c r="AQ46" i="69"/>
  <c r="AK46" i="69"/>
  <c r="AJ46" i="69"/>
  <c r="AG46" i="69"/>
  <c r="AF46" i="69"/>
  <c r="AC46" i="69"/>
  <c r="AB46" i="69"/>
  <c r="T46" i="69"/>
  <c r="V46" i="69" s="1"/>
  <c r="S46" i="69"/>
  <c r="P46" i="69"/>
  <c r="O46" i="69"/>
  <c r="K46" i="69"/>
  <c r="M46" i="69" s="1"/>
  <c r="J46" i="69"/>
  <c r="G46" i="69"/>
  <c r="I46" i="69" s="1"/>
  <c r="F46" i="69"/>
  <c r="D46" i="69"/>
  <c r="D47" i="69" s="1"/>
  <c r="C46" i="69"/>
  <c r="B46" i="69"/>
  <c r="AQ45" i="69"/>
  <c r="AK45" i="69"/>
  <c r="AJ45" i="69"/>
  <c r="AG45" i="69"/>
  <c r="AF45" i="69"/>
  <c r="AC45" i="69"/>
  <c r="AE45" i="69" s="1"/>
  <c r="AB45" i="69"/>
  <c r="T45" i="69"/>
  <c r="S45" i="69"/>
  <c r="P45" i="69"/>
  <c r="O45" i="69"/>
  <c r="K45" i="69"/>
  <c r="J45" i="69"/>
  <c r="H45" i="69"/>
  <c r="G45" i="69"/>
  <c r="F45" i="69"/>
  <c r="C45" i="69"/>
  <c r="B45" i="69"/>
  <c r="AK43" i="69"/>
  <c r="AJ43" i="69"/>
  <c r="AH43" i="69"/>
  <c r="AG43" i="69"/>
  <c r="AF43" i="69"/>
  <c r="AC43" i="69"/>
  <c r="AB43" i="69"/>
  <c r="T43" i="69"/>
  <c r="S43" i="69"/>
  <c r="P43" i="69"/>
  <c r="O43" i="69"/>
  <c r="K43" i="69"/>
  <c r="J43" i="69"/>
  <c r="G43" i="69"/>
  <c r="I43" i="69" s="1"/>
  <c r="F43" i="69"/>
  <c r="D43" i="69"/>
  <c r="Y43" i="69" s="1"/>
  <c r="C43" i="69"/>
  <c r="B43" i="69"/>
  <c r="AQ41" i="69"/>
  <c r="AK41" i="69"/>
  <c r="AJ41" i="69"/>
  <c r="AG41" i="69"/>
  <c r="AI41" i="69" s="1"/>
  <c r="AF41" i="69"/>
  <c r="AC41" i="69"/>
  <c r="AE41" i="69" s="1"/>
  <c r="AB41" i="69"/>
  <c r="Y41" i="69"/>
  <c r="T41" i="69"/>
  <c r="S41" i="69"/>
  <c r="P41" i="69"/>
  <c r="O41" i="69"/>
  <c r="K41" i="69"/>
  <c r="M41" i="69" s="1"/>
  <c r="J41" i="69"/>
  <c r="G41" i="69"/>
  <c r="I41" i="69" s="1"/>
  <c r="F41" i="69"/>
  <c r="C41" i="69"/>
  <c r="E41" i="69" s="1"/>
  <c r="B41" i="69"/>
  <c r="AQ39" i="69"/>
  <c r="AK39" i="69"/>
  <c r="AJ39" i="69"/>
  <c r="AG39" i="69"/>
  <c r="AI39" i="69" s="1"/>
  <c r="AF39" i="69"/>
  <c r="AC39" i="69"/>
  <c r="AB39" i="69"/>
  <c r="T39" i="69"/>
  <c r="S39" i="69"/>
  <c r="P39" i="69"/>
  <c r="O39" i="69"/>
  <c r="L39" i="69"/>
  <c r="Y39" i="69" s="1"/>
  <c r="K39" i="69"/>
  <c r="J39" i="69"/>
  <c r="G39" i="69"/>
  <c r="I39" i="69" s="1"/>
  <c r="F39" i="69"/>
  <c r="C39" i="69"/>
  <c r="E39" i="69" s="1"/>
  <c r="B39" i="69"/>
  <c r="AL37" i="69"/>
  <c r="AH37" i="69"/>
  <c r="U37" i="69"/>
  <c r="Q37" i="69"/>
  <c r="L37" i="69"/>
  <c r="H37" i="69"/>
  <c r="D37" i="69"/>
  <c r="AQ36" i="69"/>
  <c r="AK36" i="69"/>
  <c r="AJ36" i="69"/>
  <c r="AG36" i="69"/>
  <c r="AF36" i="69"/>
  <c r="AC36" i="69"/>
  <c r="AE36" i="69" s="1"/>
  <c r="AB36" i="69"/>
  <c r="Y36" i="69"/>
  <c r="T36" i="69"/>
  <c r="S36" i="69"/>
  <c r="P36" i="69"/>
  <c r="O36" i="69"/>
  <c r="K36" i="69"/>
  <c r="M36" i="69" s="1"/>
  <c r="J36" i="69"/>
  <c r="G36" i="69"/>
  <c r="I36" i="69" s="1"/>
  <c r="F36" i="69"/>
  <c r="C36" i="69"/>
  <c r="B36" i="69"/>
  <c r="AK35" i="69"/>
  <c r="AJ35" i="69"/>
  <c r="AG35" i="69"/>
  <c r="AF35" i="69"/>
  <c r="AD35" i="69"/>
  <c r="AQ35" i="69" s="1"/>
  <c r="AC35" i="69"/>
  <c r="AB35" i="69"/>
  <c r="Y35" i="69"/>
  <c r="T35" i="69"/>
  <c r="V35" i="69" s="1"/>
  <c r="S35" i="69"/>
  <c r="P35" i="69"/>
  <c r="O35" i="69"/>
  <c r="K35" i="69"/>
  <c r="M35" i="69" s="1"/>
  <c r="J35" i="69"/>
  <c r="G35" i="69"/>
  <c r="I35" i="69" s="1"/>
  <c r="F35" i="69"/>
  <c r="C35" i="69"/>
  <c r="B35" i="69"/>
  <c r="AK34" i="69"/>
  <c r="AJ34" i="69"/>
  <c r="AG34" i="69"/>
  <c r="AF34" i="69"/>
  <c r="AD34" i="69"/>
  <c r="AQ34" i="69" s="1"/>
  <c r="AC34" i="69"/>
  <c r="AB34" i="69"/>
  <c r="Y34" i="69"/>
  <c r="T34" i="69"/>
  <c r="V34" i="69" s="1"/>
  <c r="S34" i="69"/>
  <c r="P34" i="69"/>
  <c r="O34" i="69"/>
  <c r="K34" i="69"/>
  <c r="M34" i="69" s="1"/>
  <c r="J34" i="69"/>
  <c r="G34" i="69"/>
  <c r="I34" i="69" s="1"/>
  <c r="F34" i="69"/>
  <c r="C34" i="69"/>
  <c r="E34" i="69" s="1"/>
  <c r="B34" i="69"/>
  <c r="AQ33" i="69"/>
  <c r="AK33" i="69"/>
  <c r="AJ33" i="69"/>
  <c r="AG33" i="69"/>
  <c r="AF33" i="69"/>
  <c r="AC33" i="69"/>
  <c r="AB33" i="69"/>
  <c r="Y33" i="69"/>
  <c r="T33" i="69"/>
  <c r="V33" i="69" s="1"/>
  <c r="S33" i="69"/>
  <c r="P33" i="69"/>
  <c r="O33" i="69"/>
  <c r="K33" i="69"/>
  <c r="M33" i="69" s="1"/>
  <c r="J33" i="69"/>
  <c r="G33" i="69"/>
  <c r="I33" i="69" s="1"/>
  <c r="F33" i="69"/>
  <c r="C33" i="69"/>
  <c r="B33" i="69"/>
  <c r="AQ29" i="69"/>
  <c r="AK29" i="69"/>
  <c r="AJ29" i="69"/>
  <c r="AG29" i="69"/>
  <c r="AF29" i="69"/>
  <c r="AC29" i="69"/>
  <c r="AE29" i="69" s="1"/>
  <c r="AB29" i="69"/>
  <c r="Y29" i="69"/>
  <c r="T29" i="69"/>
  <c r="S29" i="69"/>
  <c r="P29" i="69"/>
  <c r="O29" i="69"/>
  <c r="K29" i="69"/>
  <c r="M29" i="69" s="1"/>
  <c r="J29" i="69"/>
  <c r="G29" i="69"/>
  <c r="I29" i="69" s="1"/>
  <c r="F29" i="69"/>
  <c r="C29" i="69"/>
  <c r="B29" i="69"/>
  <c r="AL28" i="69"/>
  <c r="AL30" i="69" s="1"/>
  <c r="AH28" i="69"/>
  <c r="AH30" i="69" s="1"/>
  <c r="U28" i="69"/>
  <c r="U30" i="69" s="1"/>
  <c r="Q28" i="69"/>
  <c r="Q30" i="69" s="1"/>
  <c r="AQ27" i="69"/>
  <c r="AK27" i="69"/>
  <c r="AJ27" i="69"/>
  <c r="AG27" i="69"/>
  <c r="AF27" i="69"/>
  <c r="AC27" i="69"/>
  <c r="AE27" i="69" s="1"/>
  <c r="AB27" i="69"/>
  <c r="Y27" i="69"/>
  <c r="T27" i="69"/>
  <c r="S27" i="69"/>
  <c r="P27" i="69"/>
  <c r="O27" i="69"/>
  <c r="K27" i="69"/>
  <c r="M27" i="69" s="1"/>
  <c r="J27" i="69"/>
  <c r="G27" i="69"/>
  <c r="I27" i="69" s="1"/>
  <c r="F27" i="69"/>
  <c r="C27" i="69"/>
  <c r="B27" i="69"/>
  <c r="AQ26" i="69"/>
  <c r="AK26" i="69"/>
  <c r="AJ26" i="69"/>
  <c r="AG26" i="69"/>
  <c r="AF26" i="69"/>
  <c r="AC26" i="69"/>
  <c r="AB26" i="69"/>
  <c r="Y26" i="69"/>
  <c r="T26" i="69"/>
  <c r="S26" i="69"/>
  <c r="P26" i="69"/>
  <c r="O26" i="69"/>
  <c r="K26" i="69"/>
  <c r="M26" i="69" s="1"/>
  <c r="J26" i="69"/>
  <c r="G26" i="69"/>
  <c r="I26" i="69" s="1"/>
  <c r="F26" i="69"/>
  <c r="C26" i="69"/>
  <c r="B26" i="69"/>
  <c r="AQ25" i="69"/>
  <c r="AK25" i="69"/>
  <c r="AJ25" i="69"/>
  <c r="AG25" i="69"/>
  <c r="AF25" i="69"/>
  <c r="AC25" i="69"/>
  <c r="AE25" i="69" s="1"/>
  <c r="AB25" i="69"/>
  <c r="Y25" i="69"/>
  <c r="T25" i="69"/>
  <c r="S25" i="69"/>
  <c r="P25" i="69"/>
  <c r="O25" i="69"/>
  <c r="K25" i="69"/>
  <c r="M25" i="69" s="1"/>
  <c r="J25" i="69"/>
  <c r="G25" i="69"/>
  <c r="I25" i="69" s="1"/>
  <c r="F25" i="69"/>
  <c r="C25" i="69"/>
  <c r="B25" i="69"/>
  <c r="AQ24" i="69"/>
  <c r="AK24" i="69"/>
  <c r="AJ24" i="69"/>
  <c r="AG24" i="69"/>
  <c r="AF24" i="69"/>
  <c r="AC24" i="69"/>
  <c r="AE24" i="69" s="1"/>
  <c r="AB24" i="69"/>
  <c r="Y24" i="69"/>
  <c r="T24" i="69"/>
  <c r="S24" i="69"/>
  <c r="P24" i="69"/>
  <c r="O24" i="69"/>
  <c r="K24" i="69"/>
  <c r="M24" i="69" s="1"/>
  <c r="J24" i="69"/>
  <c r="G24" i="69"/>
  <c r="I24" i="69" s="1"/>
  <c r="F24" i="69"/>
  <c r="C24" i="69"/>
  <c r="E24" i="69" s="1"/>
  <c r="B24" i="69"/>
  <c r="AQ23" i="69"/>
  <c r="AK23" i="69"/>
  <c r="AJ23" i="69"/>
  <c r="AG23" i="69"/>
  <c r="AI23" i="69" s="1"/>
  <c r="AF23" i="69"/>
  <c r="AC23" i="69"/>
  <c r="AB23" i="69"/>
  <c r="T23" i="69"/>
  <c r="S23" i="69"/>
  <c r="P23" i="69"/>
  <c r="O23" i="69"/>
  <c r="K23" i="69"/>
  <c r="M23" i="69" s="1"/>
  <c r="J23" i="69"/>
  <c r="G23" i="69"/>
  <c r="I23" i="69" s="1"/>
  <c r="F23" i="69"/>
  <c r="D23" i="69"/>
  <c r="Y23" i="69" s="1"/>
  <c r="C23" i="69"/>
  <c r="B23" i="69"/>
  <c r="AQ22" i="69"/>
  <c r="AK22" i="69"/>
  <c r="AJ22" i="69"/>
  <c r="AG22" i="69"/>
  <c r="AF22" i="69"/>
  <c r="AC22" i="69"/>
  <c r="AB22" i="69"/>
  <c r="Y22" i="69"/>
  <c r="T22" i="69"/>
  <c r="S22" i="69"/>
  <c r="P22" i="69"/>
  <c r="O22" i="69"/>
  <c r="K22" i="69"/>
  <c r="J22" i="69"/>
  <c r="G22" i="69"/>
  <c r="I22" i="69" s="1"/>
  <c r="F22" i="69"/>
  <c r="C22" i="69"/>
  <c r="E22" i="69" s="1"/>
  <c r="B22" i="69"/>
  <c r="AQ21" i="69"/>
  <c r="AK21" i="69"/>
  <c r="AJ21" i="69"/>
  <c r="AG21" i="69"/>
  <c r="AF21" i="69"/>
  <c r="AC21" i="69"/>
  <c r="AB21" i="69"/>
  <c r="Y21" i="69"/>
  <c r="T21" i="69"/>
  <c r="S21" i="69"/>
  <c r="P21" i="69"/>
  <c r="O21" i="69"/>
  <c r="K21" i="69"/>
  <c r="M21" i="69" s="1"/>
  <c r="J21" i="69"/>
  <c r="G21" i="69"/>
  <c r="I21" i="69" s="1"/>
  <c r="F21" i="69"/>
  <c r="C21" i="69"/>
  <c r="B21" i="69"/>
  <c r="AQ20" i="69"/>
  <c r="AK20" i="69"/>
  <c r="AJ20" i="69"/>
  <c r="AG20" i="69"/>
  <c r="AF20" i="69"/>
  <c r="AC20" i="69"/>
  <c r="AE20" i="69" s="1"/>
  <c r="AB20" i="69"/>
  <c r="Y20" i="69"/>
  <c r="T20" i="69"/>
  <c r="S20" i="69"/>
  <c r="P20" i="69"/>
  <c r="O20" i="69"/>
  <c r="K20" i="69"/>
  <c r="M20" i="69" s="1"/>
  <c r="J20" i="69"/>
  <c r="G20" i="69"/>
  <c r="I20" i="69" s="1"/>
  <c r="F20" i="69"/>
  <c r="C20" i="69"/>
  <c r="B20" i="69"/>
  <c r="AQ19" i="69"/>
  <c r="AK19" i="69"/>
  <c r="AJ19" i="69"/>
  <c r="AG19" i="69"/>
  <c r="AI19" i="69" s="1"/>
  <c r="AF19" i="69"/>
  <c r="AC19" i="69"/>
  <c r="AE19" i="69" s="1"/>
  <c r="AB19" i="69"/>
  <c r="Y19" i="69"/>
  <c r="T19" i="69"/>
  <c r="S19" i="69"/>
  <c r="P19" i="69"/>
  <c r="O19" i="69"/>
  <c r="K19" i="69"/>
  <c r="M19" i="69" s="1"/>
  <c r="J19" i="69"/>
  <c r="G19" i="69"/>
  <c r="I19" i="69" s="1"/>
  <c r="F19" i="69"/>
  <c r="C19" i="69"/>
  <c r="B19" i="69"/>
  <c r="AQ18" i="69"/>
  <c r="AK18" i="69"/>
  <c r="AJ18" i="69"/>
  <c r="AG18" i="69"/>
  <c r="AF18" i="69"/>
  <c r="AC18" i="69"/>
  <c r="AB18" i="69"/>
  <c r="T18" i="69"/>
  <c r="S18" i="69"/>
  <c r="P18" i="69"/>
  <c r="O18" i="69"/>
  <c r="K18" i="69"/>
  <c r="M18" i="69" s="1"/>
  <c r="J18" i="69"/>
  <c r="H18" i="69"/>
  <c r="G18" i="69"/>
  <c r="F18" i="69"/>
  <c r="D18" i="69"/>
  <c r="C18" i="69"/>
  <c r="B18" i="69"/>
  <c r="AQ17" i="69"/>
  <c r="AK17" i="69"/>
  <c r="AJ17" i="69"/>
  <c r="AG17" i="69"/>
  <c r="AI17" i="69" s="1"/>
  <c r="AF17" i="69"/>
  <c r="AC17" i="69"/>
  <c r="AB17" i="69"/>
  <c r="T17" i="69"/>
  <c r="S17" i="69"/>
  <c r="P17" i="69"/>
  <c r="O17" i="69"/>
  <c r="K17" i="69"/>
  <c r="M17" i="69" s="1"/>
  <c r="J17" i="69"/>
  <c r="H17" i="69"/>
  <c r="G17" i="69"/>
  <c r="I17" i="69" s="1"/>
  <c r="F17" i="69"/>
  <c r="D17" i="69"/>
  <c r="C17" i="69"/>
  <c r="E17" i="69" s="1"/>
  <c r="B17" i="69"/>
  <c r="AQ16" i="69"/>
  <c r="AK16" i="69"/>
  <c r="AJ16" i="69"/>
  <c r="AG16" i="69"/>
  <c r="AF16" i="69"/>
  <c r="AC16" i="69"/>
  <c r="AE16" i="69" s="1"/>
  <c r="AB16" i="69"/>
  <c r="Y16" i="69"/>
  <c r="T16" i="69"/>
  <c r="S16" i="69"/>
  <c r="P16" i="69"/>
  <c r="O16" i="69"/>
  <c r="K16" i="69"/>
  <c r="M16" i="69" s="1"/>
  <c r="J16" i="69"/>
  <c r="G16" i="69"/>
  <c r="F16" i="69"/>
  <c r="C16" i="69"/>
  <c r="E16" i="69" s="1"/>
  <c r="B16" i="69"/>
  <c r="AK15" i="69"/>
  <c r="AJ15" i="69"/>
  <c r="AG15" i="69"/>
  <c r="AI15" i="69" s="1"/>
  <c r="AF15" i="69"/>
  <c r="AD15" i="69"/>
  <c r="AQ15" i="69" s="1"/>
  <c r="AC15" i="69"/>
  <c r="AE15" i="69" s="1"/>
  <c r="AB15" i="69"/>
  <c r="Y15" i="69"/>
  <c r="T15" i="69"/>
  <c r="S15" i="69"/>
  <c r="P15" i="69"/>
  <c r="O15" i="69"/>
  <c r="K15" i="69"/>
  <c r="M15" i="69" s="1"/>
  <c r="J15" i="69"/>
  <c r="G15" i="69"/>
  <c r="I15" i="69" s="1"/>
  <c r="F15" i="69"/>
  <c r="C15" i="69"/>
  <c r="B15" i="69"/>
  <c r="AQ14" i="69"/>
  <c r="AK14" i="69"/>
  <c r="AJ14" i="69"/>
  <c r="AG14" i="69"/>
  <c r="AF14" i="69"/>
  <c r="AC14" i="69"/>
  <c r="AB14" i="69"/>
  <c r="T14" i="69"/>
  <c r="S14" i="69"/>
  <c r="P14" i="69"/>
  <c r="O14" i="69"/>
  <c r="L14" i="69"/>
  <c r="K14" i="69"/>
  <c r="J14" i="69"/>
  <c r="G14" i="69"/>
  <c r="I14" i="69" s="1"/>
  <c r="F14" i="69"/>
  <c r="C14" i="69"/>
  <c r="B14" i="69"/>
  <c r="AQ13" i="69"/>
  <c r="AK13" i="69"/>
  <c r="AJ13" i="69"/>
  <c r="AG13" i="69"/>
  <c r="AF13" i="69"/>
  <c r="AC13" i="69"/>
  <c r="AE13" i="69" s="1"/>
  <c r="AB13" i="69"/>
  <c r="Y13" i="69"/>
  <c r="T13" i="69"/>
  <c r="S13" i="69"/>
  <c r="P13" i="69"/>
  <c r="O13" i="69"/>
  <c r="K13" i="69"/>
  <c r="M13" i="69" s="1"/>
  <c r="J13" i="69"/>
  <c r="G13" i="69"/>
  <c r="F13" i="69"/>
  <c r="C13" i="69"/>
  <c r="E13" i="69" s="1"/>
  <c r="B13" i="69"/>
  <c r="AQ12" i="69"/>
  <c r="AK12" i="69"/>
  <c r="AJ12" i="69"/>
  <c r="AG12" i="69"/>
  <c r="AF12" i="69"/>
  <c r="AC12" i="69"/>
  <c r="AE12" i="69" s="1"/>
  <c r="AB12" i="69"/>
  <c r="Y12" i="69"/>
  <c r="T12" i="69"/>
  <c r="S12" i="69"/>
  <c r="P12" i="69"/>
  <c r="O12" i="69"/>
  <c r="K12" i="69"/>
  <c r="M12" i="69" s="1"/>
  <c r="J12" i="69"/>
  <c r="G12" i="69"/>
  <c r="I12" i="69" s="1"/>
  <c r="F12" i="69"/>
  <c r="C12" i="69"/>
  <c r="E12" i="69" s="1"/>
  <c r="B12" i="69"/>
  <c r="AK11" i="69"/>
  <c r="AJ11" i="69"/>
  <c r="AG11" i="69"/>
  <c r="AF11" i="69"/>
  <c r="AD11" i="69"/>
  <c r="AQ11" i="69" s="1"/>
  <c r="AC11" i="69"/>
  <c r="AB11" i="69"/>
  <c r="Y11" i="69"/>
  <c r="T11" i="69"/>
  <c r="S11" i="69"/>
  <c r="P11" i="69"/>
  <c r="O11" i="69"/>
  <c r="K11" i="69"/>
  <c r="M11" i="69" s="1"/>
  <c r="J11" i="69"/>
  <c r="G11" i="69"/>
  <c r="I11" i="69" s="1"/>
  <c r="F11" i="69"/>
  <c r="C11" i="69"/>
  <c r="E11" i="69" s="1"/>
  <c r="B11" i="69"/>
  <c r="AQ10" i="69"/>
  <c r="AK10" i="69"/>
  <c r="AJ10" i="69"/>
  <c r="AG10" i="69"/>
  <c r="AF10" i="69"/>
  <c r="AC10" i="69"/>
  <c r="AB10" i="69"/>
  <c r="Y10" i="69"/>
  <c r="T10" i="69"/>
  <c r="S10" i="69"/>
  <c r="P10" i="69"/>
  <c r="O10" i="69"/>
  <c r="K10" i="69"/>
  <c r="M10" i="69" s="1"/>
  <c r="J10" i="69"/>
  <c r="G10" i="69"/>
  <c r="I10" i="69" s="1"/>
  <c r="F10" i="69"/>
  <c r="C10" i="69"/>
  <c r="E10" i="69" s="1"/>
  <c r="B10" i="69"/>
  <c r="AX47" i="68"/>
  <c r="AO47" i="68"/>
  <c r="AM47" i="68"/>
  <c r="AG47" i="68"/>
  <c r="AC47" i="68"/>
  <c r="Y47" i="68"/>
  <c r="P47" i="68"/>
  <c r="L47" i="68"/>
  <c r="H47" i="68"/>
  <c r="D47" i="68"/>
  <c r="AW46" i="68"/>
  <c r="AY46" i="68" s="1"/>
  <c r="AV46" i="68"/>
  <c r="AT46" i="68"/>
  <c r="BB46" i="68" s="1"/>
  <c r="AS46" i="68"/>
  <c r="AR46" i="68"/>
  <c r="AN46" i="68"/>
  <c r="AP46" i="68" s="1"/>
  <c r="AK46" i="68"/>
  <c r="AF46" i="68"/>
  <c r="AE46" i="68"/>
  <c r="AB46" i="68"/>
  <c r="AA46" i="68"/>
  <c r="X46" i="68"/>
  <c r="W46" i="68"/>
  <c r="T46" i="68"/>
  <c r="O46" i="68"/>
  <c r="Q46" i="68" s="1"/>
  <c r="N46" i="68"/>
  <c r="K46" i="68"/>
  <c r="M46" i="68" s="1"/>
  <c r="J46" i="68"/>
  <c r="G46" i="68"/>
  <c r="I46" i="68" s="1"/>
  <c r="F46" i="68"/>
  <c r="C46" i="68"/>
  <c r="E46" i="68" s="1"/>
  <c r="B46" i="68"/>
  <c r="AW45" i="68"/>
  <c r="AY45" i="68" s="1"/>
  <c r="AV45" i="68"/>
  <c r="AT45" i="68"/>
  <c r="BB45" i="68" s="1"/>
  <c r="AS45" i="68"/>
  <c r="AR45" i="68"/>
  <c r="AN45" i="68"/>
  <c r="AK45" i="68"/>
  <c r="AF45" i="68"/>
  <c r="AE45" i="68"/>
  <c r="AB45" i="68"/>
  <c r="AA45" i="68"/>
  <c r="X45" i="68"/>
  <c r="W45" i="68"/>
  <c r="T45" i="68"/>
  <c r="O45" i="68"/>
  <c r="N45" i="68"/>
  <c r="K45" i="68"/>
  <c r="J45" i="68"/>
  <c r="G45" i="68"/>
  <c r="F45" i="68"/>
  <c r="C45" i="68"/>
  <c r="B45" i="68"/>
  <c r="AW43" i="68"/>
  <c r="AY43" i="68" s="1"/>
  <c r="AV43" i="68"/>
  <c r="AT43" i="68"/>
  <c r="BB43" i="68" s="1"/>
  <c r="AS43" i="68"/>
  <c r="AR43" i="68"/>
  <c r="AN43" i="68"/>
  <c r="AP43" i="68" s="1"/>
  <c r="AK43" i="68"/>
  <c r="AF43" i="68"/>
  <c r="AE43" i="68"/>
  <c r="AB43" i="68"/>
  <c r="AA43" i="68"/>
  <c r="X43" i="68"/>
  <c r="W43" i="68"/>
  <c r="T43" i="68"/>
  <c r="O43" i="68"/>
  <c r="N43" i="68"/>
  <c r="K43" i="68"/>
  <c r="J43" i="68"/>
  <c r="G43" i="68"/>
  <c r="I43" i="68" s="1"/>
  <c r="F43" i="68"/>
  <c r="C43" i="68"/>
  <c r="B43" i="68"/>
  <c r="AW41" i="68"/>
  <c r="AY41" i="68" s="1"/>
  <c r="AV41" i="68"/>
  <c r="AT41" i="68"/>
  <c r="AS41" i="68"/>
  <c r="AR41" i="68"/>
  <c r="AN41" i="68"/>
  <c r="AP41" i="68" s="1"/>
  <c r="AK41" i="68"/>
  <c r="AF41" i="68"/>
  <c r="AE41" i="68"/>
  <c r="AB41" i="68"/>
  <c r="AD41" i="68" s="1"/>
  <c r="AA41" i="68"/>
  <c r="X41" i="68"/>
  <c r="W41" i="68"/>
  <c r="T41" i="68"/>
  <c r="O41" i="68"/>
  <c r="N41" i="68"/>
  <c r="K41" i="68"/>
  <c r="J41" i="68"/>
  <c r="G41" i="68"/>
  <c r="I41" i="68" s="1"/>
  <c r="F41" i="68"/>
  <c r="C41" i="68"/>
  <c r="B41" i="68"/>
  <c r="AW39" i="68"/>
  <c r="AY39" i="68" s="1"/>
  <c r="AV39" i="68"/>
  <c r="AT39" i="68"/>
  <c r="AS39" i="68"/>
  <c r="AR39" i="68"/>
  <c r="AN39" i="68"/>
  <c r="AP39" i="68" s="1"/>
  <c r="AK39" i="68"/>
  <c r="AF39" i="68"/>
  <c r="AE39" i="68"/>
  <c r="AB39" i="68"/>
  <c r="AA39" i="68"/>
  <c r="X39" i="68"/>
  <c r="W39" i="68"/>
  <c r="O39" i="68"/>
  <c r="N39" i="68"/>
  <c r="K39" i="68"/>
  <c r="M39" i="68" s="1"/>
  <c r="J39" i="68"/>
  <c r="H39" i="68"/>
  <c r="G39" i="68"/>
  <c r="F39" i="68"/>
  <c r="C39" i="68"/>
  <c r="E39" i="68" s="1"/>
  <c r="B39" i="68"/>
  <c r="AX37" i="68"/>
  <c r="AO37" i="68"/>
  <c r="AM37" i="68"/>
  <c r="AM48" i="68" s="1"/>
  <c r="AG37" i="68"/>
  <c r="AG48" i="68" s="1"/>
  <c r="Y37" i="68"/>
  <c r="P37" i="68"/>
  <c r="L37" i="68"/>
  <c r="H37" i="68"/>
  <c r="BB36" i="68"/>
  <c r="AW36" i="68"/>
  <c r="AY36" i="68" s="1"/>
  <c r="AV36" i="68"/>
  <c r="AS36" i="68"/>
  <c r="AR36" i="68"/>
  <c r="AN36" i="68"/>
  <c r="AP36" i="68" s="1"/>
  <c r="AK36" i="68"/>
  <c r="AF36" i="68"/>
  <c r="AE36" i="68"/>
  <c r="AB36" i="68"/>
  <c r="AD36" i="68" s="1"/>
  <c r="AA36" i="68"/>
  <c r="X36" i="68"/>
  <c r="Z36" i="68" s="1"/>
  <c r="W36" i="68"/>
  <c r="O36" i="68"/>
  <c r="N36" i="68"/>
  <c r="K36" i="68"/>
  <c r="M36" i="68" s="1"/>
  <c r="J36" i="68"/>
  <c r="G36" i="68"/>
  <c r="I36" i="68" s="1"/>
  <c r="F36" i="68"/>
  <c r="D36" i="68"/>
  <c r="T36" i="68" s="1"/>
  <c r="C36" i="68"/>
  <c r="B36" i="68"/>
  <c r="AW35" i="68"/>
  <c r="AY35" i="68" s="1"/>
  <c r="AV35" i="68"/>
  <c r="AT35" i="68"/>
  <c r="BB35" i="68" s="1"/>
  <c r="AS35" i="68"/>
  <c r="AR35" i="68"/>
  <c r="AN35" i="68"/>
  <c r="AP35" i="68" s="1"/>
  <c r="AK35" i="68"/>
  <c r="AF35" i="68"/>
  <c r="AE35" i="68"/>
  <c r="AB35" i="68"/>
  <c r="AA35" i="68"/>
  <c r="X35" i="68"/>
  <c r="W35" i="68"/>
  <c r="T35" i="68"/>
  <c r="O35" i="68"/>
  <c r="N35" i="68"/>
  <c r="K35" i="68"/>
  <c r="M35" i="68" s="1"/>
  <c r="J35" i="68"/>
  <c r="G35" i="68"/>
  <c r="I35" i="68" s="1"/>
  <c r="F35" i="68"/>
  <c r="C35" i="68"/>
  <c r="E35" i="68" s="1"/>
  <c r="B35" i="68"/>
  <c r="BB34" i="68"/>
  <c r="AW34" i="68"/>
  <c r="AY34" i="68" s="1"/>
  <c r="AV34" i="68"/>
  <c r="AS34" i="68"/>
  <c r="AR34" i="68"/>
  <c r="AN34" i="68"/>
  <c r="AP34" i="68" s="1"/>
  <c r="AF34" i="68"/>
  <c r="AE34" i="68"/>
  <c r="AC34" i="68"/>
  <c r="AK34" i="68" s="1"/>
  <c r="AB34" i="68"/>
  <c r="AA34" i="68"/>
  <c r="X34" i="68"/>
  <c r="W34" i="68"/>
  <c r="O34" i="68"/>
  <c r="N34" i="68"/>
  <c r="K34" i="68"/>
  <c r="M34" i="68" s="1"/>
  <c r="J34" i="68"/>
  <c r="G34" i="68"/>
  <c r="I34" i="68" s="1"/>
  <c r="F34" i="68"/>
  <c r="D34" i="68"/>
  <c r="T34" i="68" s="1"/>
  <c r="C34" i="68"/>
  <c r="B34" i="68"/>
  <c r="BB33" i="68"/>
  <c r="AW33" i="68"/>
  <c r="AV33" i="68"/>
  <c r="AT33" i="68"/>
  <c r="AS33" i="68"/>
  <c r="AR33" i="68"/>
  <c r="AZ33" i="68" s="1"/>
  <c r="AN33" i="68"/>
  <c r="AP33" i="68" s="1"/>
  <c r="AK33" i="68"/>
  <c r="AF33" i="68"/>
  <c r="AE33" i="68"/>
  <c r="AB33" i="68"/>
  <c r="AA33" i="68"/>
  <c r="X33" i="68"/>
  <c r="W33" i="68"/>
  <c r="T33" i="68"/>
  <c r="O33" i="68"/>
  <c r="N33" i="68"/>
  <c r="K33" i="68"/>
  <c r="J33" i="68"/>
  <c r="G33" i="68"/>
  <c r="F33" i="68"/>
  <c r="C33" i="68"/>
  <c r="E33" i="68" s="1"/>
  <c r="B33" i="68"/>
  <c r="AW29" i="68"/>
  <c r="AY29" i="68" s="1"/>
  <c r="AV29" i="68"/>
  <c r="AT29" i="68"/>
  <c r="AS29" i="68"/>
  <c r="AR29" i="68"/>
  <c r="AN29" i="68"/>
  <c r="AP29" i="68" s="1"/>
  <c r="AK29" i="68"/>
  <c r="AF29" i="68"/>
  <c r="AE29" i="68"/>
  <c r="AB29" i="68"/>
  <c r="AA29" i="68"/>
  <c r="X29" i="68"/>
  <c r="W29" i="68"/>
  <c r="T29" i="68"/>
  <c r="O29" i="68"/>
  <c r="N29" i="68"/>
  <c r="K29" i="68"/>
  <c r="J29" i="68"/>
  <c r="G29" i="68"/>
  <c r="F29" i="68"/>
  <c r="C29" i="68"/>
  <c r="E29" i="68" s="1"/>
  <c r="B29" i="68"/>
  <c r="AX28" i="68"/>
  <c r="AX30" i="68" s="1"/>
  <c r="AO28" i="68"/>
  <c r="AO30" i="68" s="1"/>
  <c r="AM28" i="68"/>
  <c r="AM30" i="68" s="1"/>
  <c r="AG28" i="68"/>
  <c r="AG30" i="68" s="1"/>
  <c r="AC28" i="68"/>
  <c r="AC30" i="68" s="1"/>
  <c r="Y28" i="68"/>
  <c r="Y30" i="68" s="1"/>
  <c r="P28" i="68"/>
  <c r="P30" i="68" s="1"/>
  <c r="L28" i="68"/>
  <c r="L30" i="68" s="1"/>
  <c r="H28" i="68"/>
  <c r="H30" i="68" s="1"/>
  <c r="D28" i="68"/>
  <c r="D30" i="68" s="1"/>
  <c r="BB27" i="68"/>
  <c r="AW27" i="68"/>
  <c r="AY27" i="68" s="1"/>
  <c r="AV27" i="68"/>
  <c r="AT27" i="68"/>
  <c r="AS27" i="68"/>
  <c r="AR27" i="68"/>
  <c r="AN27" i="68"/>
  <c r="AP27" i="68" s="1"/>
  <c r="AK27" i="68"/>
  <c r="AF27" i="68"/>
  <c r="AE27" i="68"/>
  <c r="AB27" i="68"/>
  <c r="AA27" i="68"/>
  <c r="X27" i="68"/>
  <c r="W27" i="68"/>
  <c r="T27" i="68"/>
  <c r="O27" i="68"/>
  <c r="N27" i="68"/>
  <c r="K27" i="68"/>
  <c r="J27" i="68"/>
  <c r="G27" i="68"/>
  <c r="F27" i="68"/>
  <c r="C27" i="68"/>
  <c r="B27" i="68"/>
  <c r="AW26" i="68"/>
  <c r="AY26" i="68" s="1"/>
  <c r="AV26" i="68"/>
  <c r="AT26" i="68"/>
  <c r="BB26" i="68" s="1"/>
  <c r="AS26" i="68"/>
  <c r="AR26" i="68"/>
  <c r="AN26" i="68"/>
  <c r="AP26" i="68" s="1"/>
  <c r="AK26" i="68"/>
  <c r="AF26" i="68"/>
  <c r="AE26" i="68"/>
  <c r="AB26" i="68"/>
  <c r="AA26" i="68"/>
  <c r="X26" i="68"/>
  <c r="W26" i="68"/>
  <c r="T26" i="68"/>
  <c r="O26" i="68"/>
  <c r="N26" i="68"/>
  <c r="K26" i="68"/>
  <c r="J26" i="68"/>
  <c r="G26" i="68"/>
  <c r="F26" i="68"/>
  <c r="C26" i="68"/>
  <c r="B26" i="68"/>
  <c r="AW25" i="68"/>
  <c r="AY25" i="68" s="1"/>
  <c r="AV25" i="68"/>
  <c r="AT25" i="68"/>
  <c r="BB25" i="68" s="1"/>
  <c r="AS25" i="68"/>
  <c r="AR25" i="68"/>
  <c r="AN25" i="68"/>
  <c r="AP25" i="68" s="1"/>
  <c r="AK25" i="68"/>
  <c r="AF25" i="68"/>
  <c r="AE25" i="68"/>
  <c r="AB25" i="68"/>
  <c r="AA25" i="68"/>
  <c r="X25" i="68"/>
  <c r="W25" i="68"/>
  <c r="T25" i="68"/>
  <c r="O25" i="68"/>
  <c r="N25" i="68"/>
  <c r="K25" i="68"/>
  <c r="J25" i="68"/>
  <c r="G25" i="68"/>
  <c r="F25" i="68"/>
  <c r="C25" i="68"/>
  <c r="B25" i="68"/>
  <c r="AW24" i="68"/>
  <c r="AY24" i="68" s="1"/>
  <c r="AV24" i="68"/>
  <c r="AT24" i="68"/>
  <c r="BB24" i="68" s="1"/>
  <c r="AS24" i="68"/>
  <c r="AR24" i="68"/>
  <c r="AN24" i="68"/>
  <c r="AP24" i="68" s="1"/>
  <c r="AK24" i="68"/>
  <c r="AF24" i="68"/>
  <c r="AE24" i="68"/>
  <c r="AB24" i="68"/>
  <c r="AA24" i="68"/>
  <c r="X24" i="68"/>
  <c r="W24" i="68"/>
  <c r="T24" i="68"/>
  <c r="O24" i="68"/>
  <c r="N24" i="68"/>
  <c r="K24" i="68"/>
  <c r="J24" i="68"/>
  <c r="G24" i="68"/>
  <c r="F24" i="68"/>
  <c r="C24" i="68"/>
  <c r="E24" i="68" s="1"/>
  <c r="B24" i="68"/>
  <c r="AW23" i="68"/>
  <c r="AY23" i="68" s="1"/>
  <c r="AV23" i="68"/>
  <c r="AT23" i="68"/>
  <c r="BB23" i="68" s="1"/>
  <c r="AS23" i="68"/>
  <c r="AR23" i="68"/>
  <c r="AN23" i="68"/>
  <c r="AP23" i="68" s="1"/>
  <c r="AK23" i="68"/>
  <c r="AF23" i="68"/>
  <c r="AE23" i="68"/>
  <c r="AB23" i="68"/>
  <c r="AA23" i="68"/>
  <c r="X23" i="68"/>
  <c r="W23" i="68"/>
  <c r="T23" i="68"/>
  <c r="O23" i="68"/>
  <c r="N23" i="68"/>
  <c r="K23" i="68"/>
  <c r="J23" i="68"/>
  <c r="G23" i="68"/>
  <c r="I23" i="68" s="1"/>
  <c r="F23" i="68"/>
  <c r="C23" i="68"/>
  <c r="B23" i="68"/>
  <c r="AW22" i="68"/>
  <c r="AY22" i="68" s="1"/>
  <c r="AV22" i="68"/>
  <c r="AT22" i="68"/>
  <c r="BB22" i="68" s="1"/>
  <c r="AS22" i="68"/>
  <c r="AR22" i="68"/>
  <c r="AN22" i="68"/>
  <c r="AP22" i="68" s="1"/>
  <c r="AK22" i="68"/>
  <c r="AF22" i="68"/>
  <c r="AE22" i="68"/>
  <c r="AB22" i="68"/>
  <c r="AA22" i="68"/>
  <c r="X22" i="68"/>
  <c r="W22" i="68"/>
  <c r="T22" i="68"/>
  <c r="O22" i="68"/>
  <c r="N22" i="68"/>
  <c r="K22" i="68"/>
  <c r="J22" i="68"/>
  <c r="G22" i="68"/>
  <c r="F22" i="68"/>
  <c r="C22" i="68"/>
  <c r="B22" i="68"/>
  <c r="AW21" i="68"/>
  <c r="AY21" i="68" s="1"/>
  <c r="AV21" i="68"/>
  <c r="AT21" i="68"/>
  <c r="BB21" i="68" s="1"/>
  <c r="AS21" i="68"/>
  <c r="AR21" i="68"/>
  <c r="AN21" i="68"/>
  <c r="AP21" i="68" s="1"/>
  <c r="AK21" i="68"/>
  <c r="AF21" i="68"/>
  <c r="AE21" i="68"/>
  <c r="AB21" i="68"/>
  <c r="AA21" i="68"/>
  <c r="X21" i="68"/>
  <c r="W21" i="68"/>
  <c r="T21" i="68"/>
  <c r="O21" i="68"/>
  <c r="N21" i="68"/>
  <c r="K21" i="68"/>
  <c r="J21" i="68"/>
  <c r="G21" i="68"/>
  <c r="F21" i="68"/>
  <c r="C21" i="68"/>
  <c r="B21" i="68"/>
  <c r="AW20" i="68"/>
  <c r="AY20" i="68" s="1"/>
  <c r="AV20" i="68"/>
  <c r="AT20" i="68"/>
  <c r="AS20" i="68"/>
  <c r="AR20" i="68"/>
  <c r="AN20" i="68"/>
  <c r="AP20" i="68" s="1"/>
  <c r="AK20" i="68"/>
  <c r="AF20" i="68"/>
  <c r="AE20" i="68"/>
  <c r="AB20" i="68"/>
  <c r="AA20" i="68"/>
  <c r="X20" i="68"/>
  <c r="W20" i="68"/>
  <c r="T20" i="68"/>
  <c r="O20" i="68"/>
  <c r="N20" i="68"/>
  <c r="K20" i="68"/>
  <c r="J20" i="68"/>
  <c r="G20" i="68"/>
  <c r="F20" i="68"/>
  <c r="C20" i="68"/>
  <c r="E20" i="68" s="1"/>
  <c r="B20" i="68"/>
  <c r="AW19" i="68"/>
  <c r="AY19" i="68" s="1"/>
  <c r="AV19" i="68"/>
  <c r="AT19" i="68"/>
  <c r="BB19" i="68" s="1"/>
  <c r="AS19" i="68"/>
  <c r="AR19" i="68"/>
  <c r="AN19" i="68"/>
  <c r="AP19" i="68" s="1"/>
  <c r="AK19" i="68"/>
  <c r="AF19" i="68"/>
  <c r="AE19" i="68"/>
  <c r="AB19" i="68"/>
  <c r="AA19" i="68"/>
  <c r="X19" i="68"/>
  <c r="W19" i="68"/>
  <c r="T19" i="68"/>
  <c r="O19" i="68"/>
  <c r="N19" i="68"/>
  <c r="K19" i="68"/>
  <c r="J19" i="68"/>
  <c r="G19" i="68"/>
  <c r="F19" i="68"/>
  <c r="C19" i="68"/>
  <c r="B19" i="68"/>
  <c r="AW18" i="68"/>
  <c r="AY18" i="68" s="1"/>
  <c r="AV18" i="68"/>
  <c r="AT18" i="68"/>
  <c r="BB18" i="68" s="1"/>
  <c r="AS18" i="68"/>
  <c r="AR18" i="68"/>
  <c r="AN18" i="68"/>
  <c r="AP18" i="68" s="1"/>
  <c r="AK18" i="68"/>
  <c r="AF18" i="68"/>
  <c r="AE18" i="68"/>
  <c r="AB18" i="68"/>
  <c r="AA18" i="68"/>
  <c r="X18" i="68"/>
  <c r="W18" i="68"/>
  <c r="T18" i="68"/>
  <c r="O18" i="68"/>
  <c r="N18" i="68"/>
  <c r="K18" i="68"/>
  <c r="J18" i="68"/>
  <c r="G18" i="68"/>
  <c r="F18" i="68"/>
  <c r="C18" i="68"/>
  <c r="B18" i="68"/>
  <c r="AW17" i="68"/>
  <c r="AY17" i="68" s="1"/>
  <c r="AV17" i="68"/>
  <c r="AT17" i="68"/>
  <c r="BB17" i="68" s="1"/>
  <c r="AS17" i="68"/>
  <c r="AR17" i="68"/>
  <c r="AN17" i="68"/>
  <c r="AP17" i="68" s="1"/>
  <c r="AK17" i="68"/>
  <c r="AF17" i="68"/>
  <c r="AE17" i="68"/>
  <c r="AB17" i="68"/>
  <c r="AA17" i="68"/>
  <c r="X17" i="68"/>
  <c r="W17" i="68"/>
  <c r="T17" i="68"/>
  <c r="O17" i="68"/>
  <c r="N17" i="68"/>
  <c r="K17" i="68"/>
  <c r="J17" i="68"/>
  <c r="G17" i="68"/>
  <c r="F17" i="68"/>
  <c r="C17" i="68"/>
  <c r="B17" i="68"/>
  <c r="AW16" i="68"/>
  <c r="AY16" i="68" s="1"/>
  <c r="AV16" i="68"/>
  <c r="AT16" i="68"/>
  <c r="AS16" i="68"/>
  <c r="AR16" i="68"/>
  <c r="AN16" i="68"/>
  <c r="AP16" i="68" s="1"/>
  <c r="AK16" i="68"/>
  <c r="AF16" i="68"/>
  <c r="AE16" i="68"/>
  <c r="AB16" i="68"/>
  <c r="AA16" i="68"/>
  <c r="X16" i="68"/>
  <c r="W16" i="68"/>
  <c r="T16" i="68"/>
  <c r="O16" i="68"/>
  <c r="N16" i="68"/>
  <c r="K16" i="68"/>
  <c r="J16" i="68"/>
  <c r="G16" i="68"/>
  <c r="F16" i="68"/>
  <c r="C16" i="68"/>
  <c r="E16" i="68" s="1"/>
  <c r="B16" i="68"/>
  <c r="AW15" i="68"/>
  <c r="AY15" i="68" s="1"/>
  <c r="AV15" i="68"/>
  <c r="AT15" i="68"/>
  <c r="BB15" i="68" s="1"/>
  <c r="AS15" i="68"/>
  <c r="AR15" i="68"/>
  <c r="AN15" i="68"/>
  <c r="AP15" i="68" s="1"/>
  <c r="AK15" i="68"/>
  <c r="AF15" i="68"/>
  <c r="AE15" i="68"/>
  <c r="AB15" i="68"/>
  <c r="AA15" i="68"/>
  <c r="X15" i="68"/>
  <c r="W15" i="68"/>
  <c r="T15" i="68"/>
  <c r="O15" i="68"/>
  <c r="N15" i="68"/>
  <c r="K15" i="68"/>
  <c r="M15" i="68" s="1"/>
  <c r="J15" i="68"/>
  <c r="G15" i="68"/>
  <c r="F15" i="68"/>
  <c r="C15" i="68"/>
  <c r="B15" i="68"/>
  <c r="AW14" i="68"/>
  <c r="AY14" i="68" s="1"/>
  <c r="AV14" i="68"/>
  <c r="AT14" i="68"/>
  <c r="BB14" i="68" s="1"/>
  <c r="AS14" i="68"/>
  <c r="AR14" i="68"/>
  <c r="AN14" i="68"/>
  <c r="AP14" i="68" s="1"/>
  <c r="AK14" i="68"/>
  <c r="AF14" i="68"/>
  <c r="AE14" i="68"/>
  <c r="AB14" i="68"/>
  <c r="AA14" i="68"/>
  <c r="X14" i="68"/>
  <c r="W14" i="68"/>
  <c r="T14" i="68"/>
  <c r="O14" i="68"/>
  <c r="N14" i="68"/>
  <c r="K14" i="68"/>
  <c r="J14" i="68"/>
  <c r="G14" i="68"/>
  <c r="F14" i="68"/>
  <c r="C14" i="68"/>
  <c r="E14" i="68" s="1"/>
  <c r="B14" i="68"/>
  <c r="AW13" i="68"/>
  <c r="AY13" i="68" s="1"/>
  <c r="AV13" i="68"/>
  <c r="AT13" i="68"/>
  <c r="BB13" i="68" s="1"/>
  <c r="AS13" i="68"/>
  <c r="AR13" i="68"/>
  <c r="AN13" i="68"/>
  <c r="AP13" i="68" s="1"/>
  <c r="AK13" i="68"/>
  <c r="AF13" i="68"/>
  <c r="AE13" i="68"/>
  <c r="AB13" i="68"/>
  <c r="AA13" i="68"/>
  <c r="X13" i="68"/>
  <c r="W13" i="68"/>
  <c r="T13" i="68"/>
  <c r="O13" i="68"/>
  <c r="N13" i="68"/>
  <c r="K13" i="68"/>
  <c r="J13" i="68"/>
  <c r="G13" i="68"/>
  <c r="F13" i="68"/>
  <c r="C13" i="68"/>
  <c r="B13" i="68"/>
  <c r="AW12" i="68"/>
  <c r="AY12" i="68" s="1"/>
  <c r="AV12" i="68"/>
  <c r="AT12" i="68"/>
  <c r="BB12" i="68" s="1"/>
  <c r="AS12" i="68"/>
  <c r="AR12" i="68"/>
  <c r="AN12" i="68"/>
  <c r="AP12" i="68" s="1"/>
  <c r="AK12" i="68"/>
  <c r="AF12" i="68"/>
  <c r="AE12" i="68"/>
  <c r="AB12" i="68"/>
  <c r="AA12" i="68"/>
  <c r="X12" i="68"/>
  <c r="W12" i="68"/>
  <c r="T12" i="68"/>
  <c r="O12" i="68"/>
  <c r="N12" i="68"/>
  <c r="K12" i="68"/>
  <c r="J12" i="68"/>
  <c r="G12" i="68"/>
  <c r="I12" i="68" s="1"/>
  <c r="F12" i="68"/>
  <c r="C12" i="68"/>
  <c r="B12" i="68"/>
  <c r="AW11" i="68"/>
  <c r="AY11" i="68" s="1"/>
  <c r="AV11" i="68"/>
  <c r="AT11" i="68"/>
  <c r="AS11" i="68"/>
  <c r="AR11" i="68"/>
  <c r="AN11" i="68"/>
  <c r="AP11" i="68" s="1"/>
  <c r="AK11" i="68"/>
  <c r="AF11" i="68"/>
  <c r="AE11" i="68"/>
  <c r="AB11" i="68"/>
  <c r="AA11" i="68"/>
  <c r="X11" i="68"/>
  <c r="W11" i="68"/>
  <c r="T11" i="68"/>
  <c r="O11" i="68"/>
  <c r="N11" i="68"/>
  <c r="K11" i="68"/>
  <c r="J11" i="68"/>
  <c r="G11" i="68"/>
  <c r="F11" i="68"/>
  <c r="C11" i="68"/>
  <c r="E11" i="68" s="1"/>
  <c r="B11" i="68"/>
  <c r="AW10" i="68"/>
  <c r="AY10" i="68" s="1"/>
  <c r="AV10" i="68"/>
  <c r="AT10" i="68"/>
  <c r="BB10" i="68" s="1"/>
  <c r="AS10" i="68"/>
  <c r="AR10" i="68"/>
  <c r="AN10" i="68"/>
  <c r="AP10" i="68" s="1"/>
  <c r="AK10" i="68"/>
  <c r="AF10" i="68"/>
  <c r="AE10" i="68"/>
  <c r="AB10" i="68"/>
  <c r="AA10" i="68"/>
  <c r="X10" i="68"/>
  <c r="W10" i="68"/>
  <c r="T10" i="68"/>
  <c r="O10" i="68"/>
  <c r="N10" i="68"/>
  <c r="K10" i="68"/>
  <c r="J10" i="68"/>
  <c r="G10" i="68"/>
  <c r="F10" i="68"/>
  <c r="C10" i="68"/>
  <c r="B10" i="68"/>
  <c r="H94" i="39"/>
  <c r="AU21" i="69" l="1"/>
  <c r="AL48" i="69"/>
  <c r="H28" i="69"/>
  <c r="AE35" i="69"/>
  <c r="M39" i="69"/>
  <c r="E46" i="69"/>
  <c r="AU33" i="68"/>
  <c r="AK47" i="68"/>
  <c r="AT37" i="68"/>
  <c r="P48" i="68"/>
  <c r="P49" i="68" s="1"/>
  <c r="BF46" i="68"/>
  <c r="AK28" i="68"/>
  <c r="AK30" i="68" s="1"/>
  <c r="H48" i="68"/>
  <c r="H49" i="68" s="1"/>
  <c r="AL49" i="69"/>
  <c r="AU22" i="69"/>
  <c r="AQ47" i="69"/>
  <c r="Y46" i="69"/>
  <c r="AU46" i="69" s="1"/>
  <c r="AU27" i="69"/>
  <c r="E23" i="69"/>
  <c r="BF21" i="68"/>
  <c r="BF25" i="68"/>
  <c r="BB47" i="68"/>
  <c r="BF14" i="68"/>
  <c r="BF22" i="68"/>
  <c r="AC37" i="68"/>
  <c r="AC48" i="68" s="1"/>
  <c r="AC49" i="68" s="1"/>
  <c r="BF12" i="68"/>
  <c r="AU19" i="68"/>
  <c r="AM49" i="68"/>
  <c r="AU46" i="68"/>
  <c r="AT47" i="68"/>
  <c r="D37" i="68"/>
  <c r="D48" i="68" s="1"/>
  <c r="AG49" i="68"/>
  <c r="AK37" i="68"/>
  <c r="BF33" i="68"/>
  <c r="AU15" i="68"/>
  <c r="AU35" i="68"/>
  <c r="C47" i="68"/>
  <c r="E47" i="68" s="1"/>
  <c r="K47" i="68"/>
  <c r="W47" i="68"/>
  <c r="AR47" i="68"/>
  <c r="AU19" i="69"/>
  <c r="Y37" i="69"/>
  <c r="AH48" i="69"/>
  <c r="AH49" i="69" s="1"/>
  <c r="AU39" i="69"/>
  <c r="AU13" i="69"/>
  <c r="AU26" i="69"/>
  <c r="AU35" i="69"/>
  <c r="L48" i="69"/>
  <c r="D28" i="69"/>
  <c r="D30" i="69" s="1"/>
  <c r="Q48" i="69"/>
  <c r="Q49" i="69" s="1"/>
  <c r="BA21" i="68"/>
  <c r="BC21" i="68" s="1"/>
  <c r="BA22" i="68"/>
  <c r="BC22" i="68" s="1"/>
  <c r="AP18" i="69"/>
  <c r="AR18" i="69" s="1"/>
  <c r="AI26" i="68"/>
  <c r="AO16" i="69"/>
  <c r="AO36" i="69"/>
  <c r="T47" i="69"/>
  <c r="V47" i="69" s="1"/>
  <c r="AZ16" i="68"/>
  <c r="AI14" i="68"/>
  <c r="AI21" i="68"/>
  <c r="BA10" i="68"/>
  <c r="BC10" i="68" s="1"/>
  <c r="BA11" i="68"/>
  <c r="AZ13" i="68"/>
  <c r="AZ14" i="68"/>
  <c r="AZ15" i="68"/>
  <c r="AZ21" i="68"/>
  <c r="AZ22" i="68"/>
  <c r="O37" i="68"/>
  <c r="AJ14" i="68"/>
  <c r="AJ18" i="68"/>
  <c r="AJ21" i="68"/>
  <c r="AI27" i="68"/>
  <c r="AI12" i="68"/>
  <c r="AJ10" i="68"/>
  <c r="AZ10" i="68"/>
  <c r="R11" i="68"/>
  <c r="AZ34" i="68"/>
  <c r="AB47" i="68"/>
  <c r="AN47" i="68"/>
  <c r="AP47" i="68" s="1"/>
  <c r="F47" i="69"/>
  <c r="BA12" i="68"/>
  <c r="BC12" i="68" s="1"/>
  <c r="BA15" i="68"/>
  <c r="BC15" i="68" s="1"/>
  <c r="R22" i="68"/>
  <c r="AZ24" i="68"/>
  <c r="BA25" i="68"/>
  <c r="BC25" i="68" s="1"/>
  <c r="G37" i="68"/>
  <c r="I37" i="68" s="1"/>
  <c r="AZ36" i="68"/>
  <c r="BA43" i="68"/>
  <c r="BC43" i="68" s="1"/>
  <c r="AA47" i="68"/>
  <c r="AP33" i="69"/>
  <c r="AR33" i="69" s="1"/>
  <c r="AK47" i="69"/>
  <c r="R13" i="68"/>
  <c r="R14" i="68"/>
  <c r="AZ19" i="68"/>
  <c r="AI22" i="68"/>
  <c r="AZ23" i="68"/>
  <c r="AF37" i="69"/>
  <c r="AO43" i="69"/>
  <c r="J47" i="69"/>
  <c r="S47" i="69"/>
  <c r="AC47" i="69"/>
  <c r="AE47" i="69" s="1"/>
  <c r="AZ35" i="68"/>
  <c r="BA20" i="68"/>
  <c r="AZ25" i="68"/>
  <c r="AU41" i="68"/>
  <c r="AZ43" i="68"/>
  <c r="N47" i="68"/>
  <c r="AU10" i="68"/>
  <c r="AI20" i="68"/>
  <c r="S34" i="68"/>
  <c r="U34" i="68" s="1"/>
  <c r="AI13" i="68"/>
  <c r="R19" i="68"/>
  <c r="W35" i="69"/>
  <c r="AJ13" i="68"/>
  <c r="AI25" i="68"/>
  <c r="AO29" i="69"/>
  <c r="AP34" i="69"/>
  <c r="AR34" i="69" s="1"/>
  <c r="AZ11" i="68"/>
  <c r="R12" i="68"/>
  <c r="AB28" i="68"/>
  <c r="AB30" i="68" s="1"/>
  <c r="AJ15" i="68"/>
  <c r="S18" i="68"/>
  <c r="U18" i="68" s="1"/>
  <c r="AI18" i="68"/>
  <c r="AP10" i="69"/>
  <c r="AR10" i="69" s="1"/>
  <c r="W25" i="69"/>
  <c r="W29" i="69"/>
  <c r="F37" i="69"/>
  <c r="AP35" i="69"/>
  <c r="AR35" i="69" s="1"/>
  <c r="AF47" i="69"/>
  <c r="AF48" i="69" s="1"/>
  <c r="P37" i="69"/>
  <c r="AI11" i="68"/>
  <c r="R18" i="68"/>
  <c r="S19" i="68"/>
  <c r="U19" i="68" s="1"/>
  <c r="AO10" i="69"/>
  <c r="AO15" i="69"/>
  <c r="AO19" i="69"/>
  <c r="AJ16" i="68"/>
  <c r="BA16" i="68"/>
  <c r="AI17" i="68"/>
  <c r="AZ17" i="68"/>
  <c r="BA18" i="68"/>
  <c r="BC18" i="68" s="1"/>
  <c r="AJ24" i="68"/>
  <c r="AI29" i="68"/>
  <c r="AZ39" i="68"/>
  <c r="AO41" i="69"/>
  <c r="K47" i="69"/>
  <c r="M47" i="69" s="1"/>
  <c r="AO46" i="69"/>
  <c r="B47" i="68"/>
  <c r="W12" i="69"/>
  <c r="AE18" i="69"/>
  <c r="AZ20" i="68"/>
  <c r="E45" i="68"/>
  <c r="AO18" i="69"/>
  <c r="AU12" i="68"/>
  <c r="R16" i="68"/>
  <c r="BA19" i="68"/>
  <c r="BC19" i="68" s="1"/>
  <c r="AJ22" i="68"/>
  <c r="BA35" i="68"/>
  <c r="BC35" i="68" s="1"/>
  <c r="AJ43" i="68"/>
  <c r="W34" i="69"/>
  <c r="S16" i="68"/>
  <c r="U16" i="68" s="1"/>
  <c r="AI16" i="68"/>
  <c r="AJ19" i="68"/>
  <c r="AJ35" i="68"/>
  <c r="S39" i="68"/>
  <c r="W26" i="69"/>
  <c r="O47" i="69"/>
  <c r="AJ47" i="69"/>
  <c r="X29" i="69"/>
  <c r="Z29" i="69" s="1"/>
  <c r="E29" i="69"/>
  <c r="AZ12" i="68"/>
  <c r="AU13" i="68"/>
  <c r="BA13" i="68"/>
  <c r="BC13" i="68" s="1"/>
  <c r="BA29" i="68"/>
  <c r="X24" i="69"/>
  <c r="AS28" i="68"/>
  <c r="AS30" i="68" s="1"/>
  <c r="AJ12" i="68"/>
  <c r="BA24" i="68"/>
  <c r="BC24" i="68" s="1"/>
  <c r="AE37" i="68"/>
  <c r="AP14" i="69"/>
  <c r="AR14" i="69" s="1"/>
  <c r="AE14" i="69"/>
  <c r="AP23" i="69"/>
  <c r="AR23" i="69" s="1"/>
  <c r="AE23" i="69"/>
  <c r="B28" i="68"/>
  <c r="B30" i="68" s="1"/>
  <c r="J28" i="68"/>
  <c r="J30" i="68" s="1"/>
  <c r="R25" i="68"/>
  <c r="AV47" i="68"/>
  <c r="AZ45" i="68"/>
  <c r="X12" i="69"/>
  <c r="Z12" i="69" s="1"/>
  <c r="S13" i="68"/>
  <c r="U13" i="68" s="1"/>
  <c r="AU14" i="68"/>
  <c r="AJ17" i="68"/>
  <c r="BA17" i="68"/>
  <c r="BC17" i="68" s="1"/>
  <c r="S20" i="68"/>
  <c r="U20" i="68" s="1"/>
  <c r="AU21" i="68"/>
  <c r="R23" i="68"/>
  <c r="AJ23" i="68"/>
  <c r="AU25" i="68"/>
  <c r="AJ26" i="68"/>
  <c r="BA26" i="68"/>
  <c r="BC26" i="68" s="1"/>
  <c r="BA27" i="68"/>
  <c r="BC27" i="68" s="1"/>
  <c r="AF37" i="68"/>
  <c r="AI34" i="68"/>
  <c r="E36" i="68"/>
  <c r="AI36" i="68"/>
  <c r="R39" i="68"/>
  <c r="I39" i="68"/>
  <c r="AJ39" i="68"/>
  <c r="BA39" i="68"/>
  <c r="S41" i="68"/>
  <c r="U41" i="68" s="1"/>
  <c r="AJ41" i="68"/>
  <c r="AL41" i="68" s="1"/>
  <c r="AU43" i="68"/>
  <c r="F47" i="68"/>
  <c r="X10" i="69"/>
  <c r="AO11" i="69"/>
  <c r="AP13" i="69"/>
  <c r="AR13" i="69" s="1"/>
  <c r="W17" i="69"/>
  <c r="AO17" i="69"/>
  <c r="AO20" i="69"/>
  <c r="W21" i="69"/>
  <c r="X33" i="69"/>
  <c r="Z33" i="69" s="1"/>
  <c r="AO35" i="69"/>
  <c r="W36" i="69"/>
  <c r="W43" i="69"/>
  <c r="P47" i="69"/>
  <c r="AP46" i="69"/>
  <c r="AR46" i="69" s="1"/>
  <c r="AV28" i="68"/>
  <c r="AV30" i="68" s="1"/>
  <c r="S11" i="68"/>
  <c r="U11" i="68" s="1"/>
  <c r="AI15" i="68"/>
  <c r="AU18" i="68"/>
  <c r="AI19" i="68"/>
  <c r="AJ20" i="68"/>
  <c r="R21" i="68"/>
  <c r="AU22" i="68"/>
  <c r="AI23" i="68"/>
  <c r="S24" i="68"/>
  <c r="AI24" i="68"/>
  <c r="AJ25" i="68"/>
  <c r="AJ27" i="68"/>
  <c r="R29" i="68"/>
  <c r="B37" i="68"/>
  <c r="R33" i="68"/>
  <c r="AA37" i="68"/>
  <c r="AJ34" i="68"/>
  <c r="AL34" i="68" s="1"/>
  <c r="AI35" i="68"/>
  <c r="AI39" i="68"/>
  <c r="E41" i="68"/>
  <c r="R41" i="68"/>
  <c r="Z41" i="68"/>
  <c r="AZ41" i="68"/>
  <c r="AI43" i="68"/>
  <c r="G47" i="68"/>
  <c r="I47" i="68" s="1"/>
  <c r="AJ45" i="68"/>
  <c r="AS47" i="68"/>
  <c r="AU47" i="68" s="1"/>
  <c r="AJ46" i="68"/>
  <c r="AL46" i="68" s="1"/>
  <c r="P28" i="69"/>
  <c r="P30" i="69" s="1"/>
  <c r="AO14" i="69"/>
  <c r="AP16" i="69"/>
  <c r="AR16" i="69" s="1"/>
  <c r="X17" i="69"/>
  <c r="W19" i="69"/>
  <c r="W20" i="69"/>
  <c r="AP20" i="69"/>
  <c r="AO21" i="69"/>
  <c r="W23" i="69"/>
  <c r="AO26" i="69"/>
  <c r="AP27" i="69"/>
  <c r="AR27" i="69" s="1"/>
  <c r="AJ37" i="69"/>
  <c r="AO34" i="69"/>
  <c r="W39" i="69"/>
  <c r="AE46" i="69"/>
  <c r="R17" i="68"/>
  <c r="R20" i="68"/>
  <c r="R26" i="68"/>
  <c r="R35" i="68"/>
  <c r="AI41" i="68"/>
  <c r="S45" i="68"/>
  <c r="U45" i="68" s="1"/>
  <c r="J47" i="68"/>
  <c r="AJ28" i="69"/>
  <c r="AJ30" i="69" s="1"/>
  <c r="AO13" i="69"/>
  <c r="W15" i="69"/>
  <c r="AP15" i="69"/>
  <c r="AR15" i="69" s="1"/>
  <c r="E18" i="69"/>
  <c r="X23" i="69"/>
  <c r="AO24" i="69"/>
  <c r="AO25" i="69"/>
  <c r="W27" i="69"/>
  <c r="AO27" i="69"/>
  <c r="G37" i="69"/>
  <c r="I37" i="69" s="1"/>
  <c r="AK37" i="69"/>
  <c r="X34" i="69"/>
  <c r="AP36" i="69"/>
  <c r="AR36" i="69" s="1"/>
  <c r="X39" i="69"/>
  <c r="Z39" i="69" s="1"/>
  <c r="AP41" i="69"/>
  <c r="AR41" i="69" s="1"/>
  <c r="G47" i="69"/>
  <c r="M45" i="69"/>
  <c r="AN28" i="68"/>
  <c r="R15" i="68"/>
  <c r="BF15" i="68"/>
  <c r="AU17" i="68"/>
  <c r="S23" i="68"/>
  <c r="U23" i="68" s="1"/>
  <c r="E23" i="68"/>
  <c r="K37" i="68"/>
  <c r="K48" i="68" s="1"/>
  <c r="M33" i="68"/>
  <c r="BA34" i="68"/>
  <c r="BC34" i="68" s="1"/>
  <c r="AU34" i="68"/>
  <c r="R36" i="68"/>
  <c r="AX48" i="68"/>
  <c r="AX49" i="68" s="1"/>
  <c r="AI45" i="68"/>
  <c r="S12" i="68"/>
  <c r="E12" i="68"/>
  <c r="S14" i="68"/>
  <c r="M14" i="68"/>
  <c r="BB16" i="68"/>
  <c r="AU16" i="68"/>
  <c r="BA23" i="68"/>
  <c r="BC23" i="68" s="1"/>
  <c r="AU23" i="68"/>
  <c r="F28" i="68"/>
  <c r="F30" i="68" s="1"/>
  <c r="N28" i="68"/>
  <c r="N30" i="68" s="1"/>
  <c r="AJ11" i="68"/>
  <c r="X28" i="68"/>
  <c r="X30" i="68" s="1"/>
  <c r="AF28" i="68"/>
  <c r="AF30" i="68" s="1"/>
  <c r="BA14" i="68"/>
  <c r="BC14" i="68" s="1"/>
  <c r="S15" i="68"/>
  <c r="S17" i="68"/>
  <c r="E17" i="68"/>
  <c r="BF17" i="68"/>
  <c r="AZ18" i="68"/>
  <c r="BB20" i="68"/>
  <c r="AU20" i="68"/>
  <c r="S22" i="68"/>
  <c r="S25" i="68"/>
  <c r="E25" i="68"/>
  <c r="S26" i="68"/>
  <c r="E26" i="68"/>
  <c r="R27" i="68"/>
  <c r="BF27" i="68"/>
  <c r="AZ27" i="68"/>
  <c r="AJ29" i="68"/>
  <c r="F37" i="68"/>
  <c r="N37" i="68"/>
  <c r="BF34" i="68"/>
  <c r="J37" i="68"/>
  <c r="T28" i="68"/>
  <c r="BF10" i="68"/>
  <c r="BF13" i="68"/>
  <c r="S21" i="68"/>
  <c r="E21" i="68"/>
  <c r="AA28" i="68"/>
  <c r="AA30" i="68" s="1"/>
  <c r="AI10" i="68"/>
  <c r="AR28" i="68"/>
  <c r="AR30" i="68" s="1"/>
  <c r="BB11" i="68"/>
  <c r="BF11" i="68" s="1"/>
  <c r="AU11" i="68"/>
  <c r="BF19" i="68"/>
  <c r="W28" i="68"/>
  <c r="W30" i="68" s="1"/>
  <c r="I29" i="68"/>
  <c r="S29" i="68"/>
  <c r="U29" i="68" s="1"/>
  <c r="AU29" i="68"/>
  <c r="BB29" i="68"/>
  <c r="BF29" i="68" s="1"/>
  <c r="AJ33" i="68"/>
  <c r="X37" i="68"/>
  <c r="Z37" i="68" s="1"/>
  <c r="R34" i="68"/>
  <c r="BF36" i="68"/>
  <c r="BB41" i="68"/>
  <c r="M22" i="69"/>
  <c r="X22" i="69"/>
  <c r="Z22" i="69" s="1"/>
  <c r="AU25" i="69"/>
  <c r="D48" i="69"/>
  <c r="U48" i="69"/>
  <c r="U49" i="69" s="1"/>
  <c r="O28" i="68"/>
  <c r="O30" i="68" s="1"/>
  <c r="BF18" i="68"/>
  <c r="R24" i="68"/>
  <c r="AZ26" i="68"/>
  <c r="S33" i="68"/>
  <c r="U33" i="68" s="1"/>
  <c r="AI33" i="68"/>
  <c r="E34" i="68"/>
  <c r="BF35" i="68"/>
  <c r="S36" i="68"/>
  <c r="AO48" i="68"/>
  <c r="BB37" i="68"/>
  <c r="T39" i="68"/>
  <c r="BB39" i="68"/>
  <c r="AU39" i="68"/>
  <c r="G28" i="69"/>
  <c r="G30" i="69" s="1"/>
  <c r="AE17" i="69"/>
  <c r="AP17" i="69"/>
  <c r="W18" i="69"/>
  <c r="E21" i="69"/>
  <c r="X21" i="69"/>
  <c r="AB28" i="69"/>
  <c r="AB30" i="69" s="1"/>
  <c r="H30" i="69"/>
  <c r="C28" i="68"/>
  <c r="R10" i="68"/>
  <c r="AE28" i="68"/>
  <c r="AE30" i="68" s="1"/>
  <c r="E15" i="68"/>
  <c r="E18" i="68"/>
  <c r="E22" i="68"/>
  <c r="BF23" i="68"/>
  <c r="AW28" i="68"/>
  <c r="Z29" i="68"/>
  <c r="AZ29" i="68"/>
  <c r="I33" i="68"/>
  <c r="AB37" i="68"/>
  <c r="AK48" i="68"/>
  <c r="AS37" i="68"/>
  <c r="BA33" i="68"/>
  <c r="BC33" i="68" s="1"/>
  <c r="AW37" i="68"/>
  <c r="AY37" i="68" s="1"/>
  <c r="BA36" i="68"/>
  <c r="BC36" i="68" s="1"/>
  <c r="AE47" i="68"/>
  <c r="S46" i="68"/>
  <c r="U46" i="68" s="1"/>
  <c r="Z46" i="68"/>
  <c r="AZ46" i="68"/>
  <c r="O47" i="68"/>
  <c r="Q47" i="68" s="1"/>
  <c r="X47" i="68"/>
  <c r="Z47" i="68" s="1"/>
  <c r="L48" i="68"/>
  <c r="Y48" i="68"/>
  <c r="Y49" i="68" s="1"/>
  <c r="W11" i="69"/>
  <c r="AP11" i="69"/>
  <c r="AU11" i="69"/>
  <c r="AU12" i="69"/>
  <c r="L28" i="69"/>
  <c r="Y14" i="69"/>
  <c r="AU15" i="69"/>
  <c r="AE21" i="69"/>
  <c r="AP21" i="69"/>
  <c r="AU23" i="69"/>
  <c r="Z24" i="69"/>
  <c r="AU24" i="69"/>
  <c r="X35" i="69"/>
  <c r="E35" i="69"/>
  <c r="C37" i="69"/>
  <c r="X26" i="69"/>
  <c r="E26" i="69"/>
  <c r="O37" i="69"/>
  <c r="W33" i="69"/>
  <c r="G28" i="68"/>
  <c r="G30" i="68" s="1"/>
  <c r="E10" i="68"/>
  <c r="K28" i="68"/>
  <c r="K30" i="68" s="1"/>
  <c r="S10" i="68"/>
  <c r="U10" i="68" s="1"/>
  <c r="AT28" i="68"/>
  <c r="E13" i="68"/>
  <c r="E19" i="68"/>
  <c r="BF24" i="68"/>
  <c r="AU24" i="68"/>
  <c r="AU26" i="68"/>
  <c r="BF26" i="68"/>
  <c r="S27" i="68"/>
  <c r="E27" i="68"/>
  <c r="AU27" i="68"/>
  <c r="W37" i="68"/>
  <c r="AN37" i="68"/>
  <c r="AY33" i="68"/>
  <c r="Z34" i="68"/>
  <c r="AD34" i="68"/>
  <c r="S35" i="68"/>
  <c r="AJ36" i="68"/>
  <c r="AU36" i="68"/>
  <c r="C37" i="68"/>
  <c r="T37" i="68"/>
  <c r="BA41" i="68"/>
  <c r="R43" i="68"/>
  <c r="R45" i="68"/>
  <c r="AF47" i="68"/>
  <c r="AP45" i="68"/>
  <c r="AU45" i="68"/>
  <c r="R46" i="68"/>
  <c r="J28" i="69"/>
  <c r="J30" i="69" s="1"/>
  <c r="W10" i="69"/>
  <c r="AG28" i="69"/>
  <c r="AQ28" i="69"/>
  <c r="AU10" i="69"/>
  <c r="X11" i="69"/>
  <c r="Z11" i="69" s="1"/>
  <c r="AD28" i="69"/>
  <c r="AE11" i="69"/>
  <c r="AP12" i="69"/>
  <c r="W14" i="69"/>
  <c r="M14" i="69"/>
  <c r="X20" i="69"/>
  <c r="E20" i="69"/>
  <c r="AP22" i="69"/>
  <c r="AE22" i="69"/>
  <c r="W24" i="69"/>
  <c r="AB47" i="69"/>
  <c r="AO45" i="69"/>
  <c r="AO47" i="69" s="1"/>
  <c r="AI45" i="69"/>
  <c r="AG47" i="69"/>
  <c r="AI47" i="69" s="1"/>
  <c r="AR37" i="68"/>
  <c r="AV37" i="68"/>
  <c r="S43" i="68"/>
  <c r="E43" i="68"/>
  <c r="BF43" i="68"/>
  <c r="BF45" i="68"/>
  <c r="T47" i="68"/>
  <c r="AW47" i="68"/>
  <c r="AY47" i="68" s="1"/>
  <c r="AI46" i="68"/>
  <c r="BA46" i="68"/>
  <c r="BC46" i="68" s="1"/>
  <c r="C28" i="69"/>
  <c r="C30" i="69" s="1"/>
  <c r="O28" i="69"/>
  <c r="O30" i="69" s="1"/>
  <c r="AC28" i="69"/>
  <c r="AC30" i="69" s="1"/>
  <c r="AE10" i="69"/>
  <c r="AO12" i="69"/>
  <c r="W13" i="69"/>
  <c r="X13" i="69"/>
  <c r="I13" i="69"/>
  <c r="X14" i="69"/>
  <c r="E14" i="69"/>
  <c r="X15" i="69"/>
  <c r="E15" i="69"/>
  <c r="W16" i="69"/>
  <c r="X16" i="69"/>
  <c r="I16" i="69"/>
  <c r="AU16" i="69"/>
  <c r="AP29" i="69"/>
  <c r="AR29" i="69" s="1"/>
  <c r="AI29" i="69"/>
  <c r="AU41" i="69"/>
  <c r="BA45" i="68"/>
  <c r="F28" i="69"/>
  <c r="F30" i="69" s="1"/>
  <c r="K28" i="69"/>
  <c r="K30" i="69" s="1"/>
  <c r="S28" i="69"/>
  <c r="S30" i="69" s="1"/>
  <c r="AK28" i="69"/>
  <c r="AK30" i="69" s="1"/>
  <c r="X18" i="69"/>
  <c r="I18" i="69"/>
  <c r="Y18" i="69"/>
  <c r="X19" i="69"/>
  <c r="E19" i="69"/>
  <c r="AO23" i="69"/>
  <c r="AP24" i="69"/>
  <c r="X25" i="69"/>
  <c r="Z25" i="69" s="1"/>
  <c r="AP25" i="69"/>
  <c r="AG37" i="69"/>
  <c r="AQ37" i="69"/>
  <c r="AU36" i="69"/>
  <c r="B28" i="69"/>
  <c r="B30" i="69" s="1"/>
  <c r="T28" i="69"/>
  <c r="T30" i="69" s="1"/>
  <c r="AF28" i="69"/>
  <c r="AF30" i="69" s="1"/>
  <c r="AR20" i="69"/>
  <c r="W22" i="69"/>
  <c r="AO22" i="69"/>
  <c r="AB37" i="69"/>
  <c r="AO33" i="69"/>
  <c r="X36" i="69"/>
  <c r="E36" i="69"/>
  <c r="AE39" i="69"/>
  <c r="AP39" i="69"/>
  <c r="AQ43" i="69"/>
  <c r="AU43" i="69" s="1"/>
  <c r="AI43" i="69"/>
  <c r="Y17" i="69"/>
  <c r="AP19" i="69"/>
  <c r="AU20" i="69"/>
  <c r="AP26" i="69"/>
  <c r="AP43" i="69"/>
  <c r="AE43" i="69"/>
  <c r="E25" i="69"/>
  <c r="AE26" i="69"/>
  <c r="X27" i="69"/>
  <c r="E27" i="69"/>
  <c r="E33" i="69"/>
  <c r="J37" i="69"/>
  <c r="S37" i="69"/>
  <c r="AE34" i="69"/>
  <c r="AD37" i="69"/>
  <c r="AO39" i="69"/>
  <c r="W41" i="69"/>
  <c r="X41" i="69"/>
  <c r="M43" i="69"/>
  <c r="X43" i="69"/>
  <c r="Z43" i="69" s="1"/>
  <c r="AU29" i="69"/>
  <c r="AC37" i="69"/>
  <c r="AU33" i="69"/>
  <c r="K37" i="69"/>
  <c r="C47" i="69"/>
  <c r="E47" i="69" s="1"/>
  <c r="X45" i="69"/>
  <c r="H47" i="69"/>
  <c r="Y45" i="69"/>
  <c r="AP45" i="69"/>
  <c r="W46" i="69"/>
  <c r="AS46" i="69" s="1"/>
  <c r="X46" i="69"/>
  <c r="B47" i="69"/>
  <c r="B37" i="69"/>
  <c r="T37" i="69"/>
  <c r="AE33" i="69"/>
  <c r="AU34" i="69"/>
  <c r="E43" i="69"/>
  <c r="E45" i="69"/>
  <c r="I45" i="69"/>
  <c r="W45" i="69"/>
  <c r="C23" i="67"/>
  <c r="C79" i="67"/>
  <c r="G133" i="58"/>
  <c r="J48" i="69" l="1"/>
  <c r="O48" i="69"/>
  <c r="AR48" i="68"/>
  <c r="AS16" i="69"/>
  <c r="BF37" i="68"/>
  <c r="BB28" i="68"/>
  <c r="AT48" i="68"/>
  <c r="AZ47" i="68"/>
  <c r="BD22" i="68"/>
  <c r="C48" i="68"/>
  <c r="T48" i="69"/>
  <c r="V48" i="69" s="1"/>
  <c r="W48" i="68"/>
  <c r="W49" i="68" s="1"/>
  <c r="BE21" i="68"/>
  <c r="BG21" i="68" s="1"/>
  <c r="B48" i="68"/>
  <c r="B49" i="68" s="1"/>
  <c r="AN48" i="68"/>
  <c r="AP48" i="68" s="1"/>
  <c r="BC20" i="68"/>
  <c r="BD25" i="68"/>
  <c r="N48" i="68"/>
  <c r="N49" i="68" s="1"/>
  <c r="S48" i="69"/>
  <c r="S49" i="69" s="1"/>
  <c r="AS36" i="69"/>
  <c r="AT18" i="69"/>
  <c r="AT34" i="69"/>
  <c r="AV34" i="69" s="1"/>
  <c r="AT10" i="69"/>
  <c r="AV10" i="69" s="1"/>
  <c r="AT16" i="69"/>
  <c r="AV16" i="69" s="1"/>
  <c r="AS48" i="68"/>
  <c r="AS49" i="68" s="1"/>
  <c r="AK48" i="69"/>
  <c r="AK49" i="69" s="1"/>
  <c r="J48" i="68"/>
  <c r="J49" i="68" s="1"/>
  <c r="AT23" i="69"/>
  <c r="AV23" i="69" s="1"/>
  <c r="BE24" i="68"/>
  <c r="BG24" i="68" s="1"/>
  <c r="BD14" i="68"/>
  <c r="AS39" i="69"/>
  <c r="AT39" i="69"/>
  <c r="AV39" i="69" s="1"/>
  <c r="BE11" i="68"/>
  <c r="AO37" i="69"/>
  <c r="AO48" i="69" s="1"/>
  <c r="AB48" i="68"/>
  <c r="AB49" i="68" s="1"/>
  <c r="BD26" i="68"/>
  <c r="BC11" i="68"/>
  <c r="AS26" i="69"/>
  <c r="BD21" i="68"/>
  <c r="AR21" i="69"/>
  <c r="BD15" i="68"/>
  <c r="BD39" i="68"/>
  <c r="AA48" i="68"/>
  <c r="AA49" i="68" s="1"/>
  <c r="BD43" i="68"/>
  <c r="AJ47" i="68"/>
  <c r="AL47" i="68" s="1"/>
  <c r="BD16" i="68"/>
  <c r="AS23" i="69"/>
  <c r="AS12" i="69"/>
  <c r="BE25" i="68"/>
  <c r="BG25" i="68" s="1"/>
  <c r="BE17" i="68"/>
  <c r="BG17" i="68" s="1"/>
  <c r="AS25" i="69"/>
  <c r="AS34" i="69"/>
  <c r="AS29" i="69"/>
  <c r="F48" i="69"/>
  <c r="F49" i="69" s="1"/>
  <c r="BD11" i="68"/>
  <c r="AC48" i="69"/>
  <c r="AC49" i="69" s="1"/>
  <c r="AB48" i="69"/>
  <c r="AB49" i="69" s="1"/>
  <c r="AT33" i="69"/>
  <c r="AV33" i="69" s="1"/>
  <c r="AS27" i="69"/>
  <c r="AF48" i="68"/>
  <c r="AF49" i="68" s="1"/>
  <c r="K49" i="68"/>
  <c r="Z10" i="69"/>
  <c r="AE48" i="68"/>
  <c r="AE49" i="68" s="1"/>
  <c r="BD17" i="68"/>
  <c r="AS19" i="69"/>
  <c r="BD13" i="68"/>
  <c r="AS24" i="69"/>
  <c r="BE35" i="68"/>
  <c r="BG35" i="68" s="1"/>
  <c r="I28" i="68"/>
  <c r="U25" i="68"/>
  <c r="AJ48" i="69"/>
  <c r="AJ49" i="69" s="1"/>
  <c r="P48" i="69"/>
  <c r="P49" i="69" s="1"/>
  <c r="BE34" i="68"/>
  <c r="AZ37" i="68"/>
  <c r="G48" i="68"/>
  <c r="I48" i="68" s="1"/>
  <c r="AP37" i="69"/>
  <c r="AR37" i="69" s="1"/>
  <c r="M48" i="68"/>
  <c r="M37" i="68"/>
  <c r="BE18" i="68"/>
  <c r="BG18" i="68" s="1"/>
  <c r="BD19" i="68"/>
  <c r="AG48" i="69"/>
  <c r="AI48" i="69" s="1"/>
  <c r="AT17" i="69"/>
  <c r="C48" i="69"/>
  <c r="C49" i="69" s="1"/>
  <c r="AS11" i="69"/>
  <c r="U24" i="68"/>
  <c r="AS43" i="69"/>
  <c r="BE39" i="68"/>
  <c r="AR17" i="69"/>
  <c r="AS35" i="69"/>
  <c r="BE16" i="68"/>
  <c r="BE41" i="68"/>
  <c r="AS18" i="69"/>
  <c r="BE29" i="68"/>
  <c r="BG29" i="68" s="1"/>
  <c r="BE15" i="68"/>
  <c r="BG15" i="68" s="1"/>
  <c r="BC16" i="68"/>
  <c r="AS20" i="69"/>
  <c r="AT46" i="69"/>
  <c r="AV46" i="69" s="1"/>
  <c r="AT41" i="69"/>
  <c r="AV41" i="69" s="1"/>
  <c r="BD34" i="68"/>
  <c r="BE19" i="68"/>
  <c r="BG19" i="68" s="1"/>
  <c r="AS41" i="69"/>
  <c r="E48" i="68"/>
  <c r="AS14" i="69"/>
  <c r="BD29" i="68"/>
  <c r="AS15" i="69"/>
  <c r="BD20" i="68"/>
  <c r="BD12" i="68"/>
  <c r="Z34" i="69"/>
  <c r="AI28" i="68"/>
  <c r="AI30" i="68" s="1"/>
  <c r="F48" i="68"/>
  <c r="F49" i="68" s="1"/>
  <c r="AZ28" i="68"/>
  <c r="AZ30" i="68" s="1"/>
  <c r="BD36" i="68"/>
  <c r="BD35" i="68"/>
  <c r="BD41" i="68"/>
  <c r="AT24" i="69"/>
  <c r="X37" i="69"/>
  <c r="Z37" i="69" s="1"/>
  <c r="AT14" i="69"/>
  <c r="AV48" i="68"/>
  <c r="AV49" i="68" s="1"/>
  <c r="AS22" i="69"/>
  <c r="J49" i="69"/>
  <c r="AT21" i="69"/>
  <c r="AV21" i="69" s="1"/>
  <c r="AI37" i="68"/>
  <c r="BD24" i="68"/>
  <c r="V37" i="69"/>
  <c r="BC29" i="68"/>
  <c r="BA28" i="68"/>
  <c r="BA30" i="68" s="1"/>
  <c r="BE14" i="68"/>
  <c r="BG14" i="68" s="1"/>
  <c r="BE45" i="68"/>
  <c r="BG45" i="68" s="1"/>
  <c r="BE13" i="68"/>
  <c r="BG13" i="68" s="1"/>
  <c r="G48" i="69"/>
  <c r="G49" i="69" s="1"/>
  <c r="AS17" i="69"/>
  <c r="BE20" i="68"/>
  <c r="AS13" i="69"/>
  <c r="I47" i="69"/>
  <c r="AT25" i="69"/>
  <c r="AV25" i="69" s="1"/>
  <c r="BC39" i="68"/>
  <c r="BE36" i="68"/>
  <c r="BG36" i="68" s="1"/>
  <c r="Z23" i="69"/>
  <c r="X48" i="68"/>
  <c r="Z48" i="68" s="1"/>
  <c r="BD18" i="68"/>
  <c r="U21" i="68"/>
  <c r="U15" i="68"/>
  <c r="AS21" i="69"/>
  <c r="BD23" i="68"/>
  <c r="AT45" i="69"/>
  <c r="X47" i="69"/>
  <c r="BE43" i="68"/>
  <c r="BG43" i="68" s="1"/>
  <c r="U43" i="68"/>
  <c r="AR22" i="69"/>
  <c r="BE27" i="68"/>
  <c r="BG27" i="68" s="1"/>
  <c r="U27" i="68"/>
  <c r="AU14" i="69"/>
  <c r="Z14" i="69"/>
  <c r="T30" i="68"/>
  <c r="Z46" i="69"/>
  <c r="AP47" i="69"/>
  <c r="AR47" i="69" s="1"/>
  <c r="AR45" i="69"/>
  <c r="AD48" i="69"/>
  <c r="AE37" i="69"/>
  <c r="AR43" i="69"/>
  <c r="AF49" i="69"/>
  <c r="AR25" i="69"/>
  <c r="BF47" i="68"/>
  <c r="AD30" i="69"/>
  <c r="AE28" i="69"/>
  <c r="AQ30" i="69"/>
  <c r="BD46" i="68"/>
  <c r="T48" i="68"/>
  <c r="D49" i="68"/>
  <c r="Z41" i="69"/>
  <c r="E30" i="69"/>
  <c r="D49" i="69"/>
  <c r="M28" i="69"/>
  <c r="L30" i="69"/>
  <c r="AU48" i="68"/>
  <c r="AW30" i="68"/>
  <c r="AY28" i="68"/>
  <c r="I30" i="69"/>
  <c r="AT12" i="69"/>
  <c r="AV12" i="69" s="1"/>
  <c r="BB48" i="68"/>
  <c r="BE33" i="68"/>
  <c r="S37" i="68"/>
  <c r="AR24" i="69"/>
  <c r="AL36" i="68"/>
  <c r="AJ37" i="68"/>
  <c r="U14" i="68"/>
  <c r="AK49" i="68"/>
  <c r="U26" i="68"/>
  <c r="BE26" i="68"/>
  <c r="BG26" i="68" s="1"/>
  <c r="E37" i="68"/>
  <c r="AJ28" i="68"/>
  <c r="AJ30" i="68" s="1"/>
  <c r="BB30" i="68"/>
  <c r="AU45" i="69"/>
  <c r="Y47" i="69"/>
  <c r="Z45" i="69"/>
  <c r="AR19" i="69"/>
  <c r="AR39" i="69"/>
  <c r="AT36" i="69"/>
  <c r="AV36" i="69" s="1"/>
  <c r="Z36" i="69"/>
  <c r="AQ48" i="69"/>
  <c r="Z21" i="69"/>
  <c r="AT19" i="69"/>
  <c r="Z19" i="69"/>
  <c r="Z16" i="69"/>
  <c r="O49" i="69"/>
  <c r="Z20" i="69"/>
  <c r="AT20" i="69"/>
  <c r="AT11" i="69"/>
  <c r="AV11" i="69" s="1"/>
  <c r="AG30" i="69"/>
  <c r="AI28" i="69"/>
  <c r="M30" i="68"/>
  <c r="AT30" i="68"/>
  <c r="AU28" i="68"/>
  <c r="I30" i="68"/>
  <c r="AT26" i="69"/>
  <c r="Z26" i="69"/>
  <c r="Z35" i="69"/>
  <c r="AT35" i="69"/>
  <c r="E28" i="69"/>
  <c r="AP28" i="69"/>
  <c r="AP30" i="69" s="1"/>
  <c r="AW48" i="68"/>
  <c r="AY48" i="68" s="1"/>
  <c r="M28" i="68"/>
  <c r="R28" i="68"/>
  <c r="R30" i="68" s="1"/>
  <c r="BD10" i="68"/>
  <c r="I28" i="69"/>
  <c r="AR12" i="69"/>
  <c r="AP37" i="68"/>
  <c r="L49" i="68"/>
  <c r="E37" i="69"/>
  <c r="AR11" i="69"/>
  <c r="AO28" i="69"/>
  <c r="AO30" i="69" s="1"/>
  <c r="U36" i="68"/>
  <c r="BF20" i="68"/>
  <c r="AR49" i="68"/>
  <c r="BE22" i="68"/>
  <c r="BG22" i="68" s="1"/>
  <c r="U22" i="68"/>
  <c r="AD37" i="68"/>
  <c r="U35" i="68"/>
  <c r="BE12" i="68"/>
  <c r="BG12" i="68" s="1"/>
  <c r="U12" i="68"/>
  <c r="AI47" i="68"/>
  <c r="BE23" i="68"/>
  <c r="K48" i="69"/>
  <c r="M48" i="69" s="1"/>
  <c r="M37" i="69"/>
  <c r="AR26" i="69"/>
  <c r="AT13" i="69"/>
  <c r="Z13" i="69"/>
  <c r="X28" i="69"/>
  <c r="X30" i="69" s="1"/>
  <c r="BF39" i="68"/>
  <c r="U39" i="68"/>
  <c r="BG11" i="68"/>
  <c r="R37" i="68"/>
  <c r="W47" i="69"/>
  <c r="AS45" i="69"/>
  <c r="B48" i="69"/>
  <c r="B49" i="69" s="1"/>
  <c r="AU37" i="69"/>
  <c r="AT43" i="69"/>
  <c r="AT27" i="69"/>
  <c r="Z27" i="69"/>
  <c r="H48" i="69"/>
  <c r="Z17" i="69"/>
  <c r="AU17" i="69"/>
  <c r="AU18" i="69"/>
  <c r="Z18" i="69"/>
  <c r="Y28" i="69"/>
  <c r="BA47" i="68"/>
  <c r="BC47" i="68" s="1"/>
  <c r="BC45" i="68"/>
  <c r="AT29" i="69"/>
  <c r="AT15" i="69"/>
  <c r="Z15" i="69"/>
  <c r="W28" i="69"/>
  <c r="W30" i="69" s="1"/>
  <c r="AS10" i="69"/>
  <c r="R47" i="68"/>
  <c r="BD45" i="68"/>
  <c r="AU37" i="68"/>
  <c r="S28" i="68"/>
  <c r="S30" i="68" s="1"/>
  <c r="BE10" i="68"/>
  <c r="W37" i="69"/>
  <c r="AS33" i="69"/>
  <c r="BE46" i="68"/>
  <c r="BG46" i="68" s="1"/>
  <c r="BA37" i="68"/>
  <c r="E28" i="68"/>
  <c r="C30" i="68"/>
  <c r="AT22" i="69"/>
  <c r="BC41" i="68"/>
  <c r="BF41" i="68"/>
  <c r="AO49" i="68"/>
  <c r="BD27" i="68"/>
  <c r="U17" i="68"/>
  <c r="O48" i="68"/>
  <c r="Q48" i="68" s="1"/>
  <c r="BD33" i="68"/>
  <c r="S47" i="68"/>
  <c r="U47" i="68" s="1"/>
  <c r="BF16" i="68"/>
  <c r="AN30" i="68"/>
  <c r="AP28" i="68"/>
  <c r="E21" i="43"/>
  <c r="E22" i="43"/>
  <c r="AZ48" i="68" l="1"/>
  <c r="BG16" i="68"/>
  <c r="T49" i="69"/>
  <c r="V49" i="69" s="1"/>
  <c r="AE48" i="69"/>
  <c r="AD48" i="68"/>
  <c r="W48" i="69"/>
  <c r="W49" i="69" s="1"/>
  <c r="BD47" i="68"/>
  <c r="E48" i="69"/>
  <c r="AZ49" i="68"/>
  <c r="X48" i="69"/>
  <c r="X49" i="69" s="1"/>
  <c r="AD49" i="68"/>
  <c r="BG41" i="68"/>
  <c r="X49" i="68"/>
  <c r="BA48" i="68"/>
  <c r="BA49" i="68" s="1"/>
  <c r="AP48" i="69"/>
  <c r="AP49" i="69" s="1"/>
  <c r="AV24" i="69"/>
  <c r="BG34" i="68"/>
  <c r="BG20" i="68"/>
  <c r="I48" i="69"/>
  <c r="G49" i="68"/>
  <c r="O49" i="68"/>
  <c r="BD37" i="68"/>
  <c r="BC28" i="68"/>
  <c r="AI48" i="68"/>
  <c r="AI49" i="68" s="1"/>
  <c r="AV15" i="69"/>
  <c r="AO49" i="69"/>
  <c r="BE28" i="68"/>
  <c r="BE30" i="68" s="1"/>
  <c r="AG49" i="69"/>
  <c r="AI30" i="69"/>
  <c r="AU47" i="69"/>
  <c r="AV45" i="69"/>
  <c r="AV14" i="69"/>
  <c r="AV22" i="69"/>
  <c r="AS28" i="69"/>
  <c r="AU28" i="69"/>
  <c r="AV18" i="69"/>
  <c r="AV17" i="69"/>
  <c r="AV27" i="69"/>
  <c r="BG39" i="68"/>
  <c r="BF48" i="68"/>
  <c r="AV26" i="69"/>
  <c r="AT49" i="68"/>
  <c r="AU30" i="68"/>
  <c r="AT28" i="69"/>
  <c r="AV29" i="69"/>
  <c r="BB49" i="68"/>
  <c r="BC30" i="68"/>
  <c r="BC37" i="68"/>
  <c r="H49" i="69"/>
  <c r="AW49" i="68"/>
  <c r="AY30" i="68"/>
  <c r="K49" i="69"/>
  <c r="AV20" i="69"/>
  <c r="U28" i="68"/>
  <c r="AR28" i="69"/>
  <c r="AT47" i="69"/>
  <c r="AN49" i="68"/>
  <c r="AP30" i="68"/>
  <c r="BG10" i="68"/>
  <c r="AS37" i="69"/>
  <c r="AU48" i="69"/>
  <c r="R48" i="68"/>
  <c r="R49" i="68" s="1"/>
  <c r="M49" i="68"/>
  <c r="BD28" i="68"/>
  <c r="BD30" i="68" s="1"/>
  <c r="AV35" i="69"/>
  <c r="AV19" i="69"/>
  <c r="AV43" i="69"/>
  <c r="S48" i="68"/>
  <c r="S49" i="68" s="1"/>
  <c r="L49" i="69"/>
  <c r="M30" i="69"/>
  <c r="AD49" i="69"/>
  <c r="AE30" i="69"/>
  <c r="AS47" i="69"/>
  <c r="E49" i="69"/>
  <c r="T49" i="68"/>
  <c r="U30" i="68"/>
  <c r="BF28" i="68"/>
  <c r="Q49" i="68"/>
  <c r="C49" i="68"/>
  <c r="E30" i="68"/>
  <c r="Y30" i="69"/>
  <c r="Z28" i="69"/>
  <c r="AT37" i="69"/>
  <c r="AV13" i="69"/>
  <c r="Z47" i="69"/>
  <c r="Y48" i="69"/>
  <c r="BE47" i="68"/>
  <c r="BG47" i="68" s="1"/>
  <c r="AJ48" i="68"/>
  <c r="AL48" i="68" s="1"/>
  <c r="AL37" i="68"/>
  <c r="BE37" i="68"/>
  <c r="BG33" i="68"/>
  <c r="BG23" i="68"/>
  <c r="U37" i="68"/>
  <c r="AQ49" i="69"/>
  <c r="AR30" i="69"/>
  <c r="D23" i="67"/>
  <c r="D39" i="67"/>
  <c r="D79" i="67" s="1"/>
  <c r="BC48" i="68" l="1"/>
  <c r="BD48" i="68"/>
  <c r="BD49" i="68" s="1"/>
  <c r="AR48" i="69"/>
  <c r="Z48" i="69"/>
  <c r="Z49" i="68"/>
  <c r="U48" i="68"/>
  <c r="I49" i="68"/>
  <c r="E49" i="68"/>
  <c r="M49" i="69"/>
  <c r="AY49" i="68"/>
  <c r="BE48" i="68"/>
  <c r="BE49" i="68" s="1"/>
  <c r="BG37" i="68"/>
  <c r="BG28" i="68"/>
  <c r="BF30" i="68"/>
  <c r="I49" i="69"/>
  <c r="BC49" i="68"/>
  <c r="AP49" i="68"/>
  <c r="AT48" i="69"/>
  <c r="AE49" i="69"/>
  <c r="AV37" i="69"/>
  <c r="AU49" i="68"/>
  <c r="AV28" i="69"/>
  <c r="AU30" i="69"/>
  <c r="AI49" i="69"/>
  <c r="AR49" i="69"/>
  <c r="Y49" i="69"/>
  <c r="Z30" i="69"/>
  <c r="AS30" i="69"/>
  <c r="AS48" i="69"/>
  <c r="U49" i="68"/>
  <c r="AJ49" i="68"/>
  <c r="AT30" i="69"/>
  <c r="AV47" i="69"/>
  <c r="BG48" i="68" l="1"/>
  <c r="AV48" i="69"/>
  <c r="BF49" i="68"/>
  <c r="BG30" i="68"/>
  <c r="AS49" i="69"/>
  <c r="AU49" i="69"/>
  <c r="AV30" i="69"/>
  <c r="AL49" i="68"/>
  <c r="AT49" i="69"/>
  <c r="Z49" i="69"/>
  <c r="I9" i="66"/>
  <c r="K9" i="66" s="1"/>
  <c r="H22" i="66"/>
  <c r="H21" i="66"/>
  <c r="K21" i="66" s="1"/>
  <c r="H18" i="66"/>
  <c r="K18" i="66" s="1"/>
  <c r="H17" i="66"/>
  <c r="K17" i="66" s="1"/>
  <c r="H16" i="66"/>
  <c r="K16" i="66" s="1"/>
  <c r="H13" i="66"/>
  <c r="K13" i="66" s="1"/>
  <c r="F21" i="66"/>
  <c r="F17" i="66"/>
  <c r="F16" i="66"/>
  <c r="F13" i="66"/>
  <c r="F10" i="66"/>
  <c r="F9" i="66"/>
  <c r="J27" i="66"/>
  <c r="I27" i="66"/>
  <c r="H27" i="66"/>
  <c r="K26" i="66"/>
  <c r="K25" i="66"/>
  <c r="K24" i="66"/>
  <c r="J23" i="66"/>
  <c r="I23" i="66"/>
  <c r="K20" i="66"/>
  <c r="K19" i="66"/>
  <c r="J15" i="66"/>
  <c r="K14" i="66"/>
  <c r="K12" i="66"/>
  <c r="K11" i="66"/>
  <c r="K10" i="66"/>
  <c r="AV49" i="69" l="1"/>
  <c r="BG49" i="68"/>
  <c r="K15" i="66"/>
  <c r="K22" i="66"/>
  <c r="K23" i="66" s="1"/>
  <c r="K27" i="66"/>
  <c r="H15" i="66"/>
  <c r="J28" i="66"/>
  <c r="I15" i="66"/>
  <c r="I28" i="66" s="1"/>
  <c r="H23" i="66"/>
  <c r="H28" i="66" l="1"/>
  <c r="K28" i="66"/>
  <c r="E231" i="60" l="1"/>
  <c r="C231" i="60"/>
  <c r="F134" i="58" l="1"/>
  <c r="F133" i="58"/>
  <c r="F98" i="58"/>
  <c r="F97" i="58"/>
  <c r="F72" i="58"/>
  <c r="F71" i="58"/>
  <c r="F52" i="58"/>
  <c r="F51" i="58"/>
  <c r="F40" i="58"/>
  <c r="F39" i="58"/>
  <c r="F123" i="58"/>
  <c r="G15" i="57"/>
  <c r="C6" i="54"/>
  <c r="I95" i="39" l="1"/>
  <c r="I68" i="39"/>
  <c r="I19" i="53" l="1"/>
  <c r="G89" i="63" l="1"/>
  <c r="G88" i="63"/>
  <c r="G87" i="63"/>
  <c r="F85" i="63"/>
  <c r="E85" i="63"/>
  <c r="G76" i="63"/>
  <c r="G75" i="63"/>
  <c r="G74" i="63"/>
  <c r="F73" i="63"/>
  <c r="E73" i="63"/>
  <c r="G71" i="63"/>
  <c r="G70" i="63"/>
  <c r="G69" i="63"/>
  <c r="G68" i="63"/>
  <c r="F67" i="63"/>
  <c r="E67" i="63"/>
  <c r="G59" i="63"/>
  <c r="G55" i="63"/>
  <c r="G53" i="63"/>
  <c r="F53" i="63"/>
  <c r="E53" i="63"/>
  <c r="G49" i="63"/>
  <c r="E49" i="63"/>
  <c r="G48" i="63"/>
  <c r="G47" i="63"/>
  <c r="G46" i="63"/>
  <c r="F45" i="63"/>
  <c r="E45" i="63"/>
  <c r="G44" i="63"/>
  <c r="G43" i="63"/>
  <c r="G42" i="63"/>
  <c r="G41" i="63"/>
  <c r="F40" i="63"/>
  <c r="E40" i="63"/>
  <c r="G39" i="63"/>
  <c r="G38" i="63"/>
  <c r="G37" i="63"/>
  <c r="F36" i="63"/>
  <c r="E36" i="63"/>
  <c r="F27" i="63"/>
  <c r="F20" i="63"/>
  <c r="G15" i="63"/>
  <c r="F15" i="63"/>
  <c r="E15" i="63"/>
  <c r="G11" i="63"/>
  <c r="F11" i="63"/>
  <c r="E11" i="63"/>
  <c r="F17" i="61"/>
  <c r="F13" i="61"/>
  <c r="F11" i="61"/>
  <c r="E225" i="60"/>
  <c r="C225" i="60"/>
  <c r="E219" i="60"/>
  <c r="C219" i="60"/>
  <c r="E213" i="60"/>
  <c r="C213" i="60"/>
  <c r="E207" i="60"/>
  <c r="C207" i="60"/>
  <c r="E201" i="60"/>
  <c r="C201" i="60"/>
  <c r="E195" i="60"/>
  <c r="C195" i="60"/>
  <c r="E188" i="60"/>
  <c r="C188" i="60"/>
  <c r="E181" i="60"/>
  <c r="C181" i="60"/>
  <c r="E173" i="60"/>
  <c r="C173" i="60"/>
  <c r="E165" i="60"/>
  <c r="C165" i="60"/>
  <c r="E159" i="60"/>
  <c r="C159" i="60"/>
  <c r="E152" i="60"/>
  <c r="C152" i="60"/>
  <c r="E146" i="60"/>
  <c r="C146" i="60"/>
  <c r="C140" i="60"/>
  <c r="E139" i="60"/>
  <c r="E140" i="60" s="1"/>
  <c r="E134" i="60"/>
  <c r="C134" i="60"/>
  <c r="E133" i="60"/>
  <c r="C128" i="60"/>
  <c r="E127" i="60"/>
  <c r="E128" i="60" s="1"/>
  <c r="C121" i="60"/>
  <c r="E118" i="60"/>
  <c r="E121" i="60" s="1"/>
  <c r="C114" i="60"/>
  <c r="E113" i="60"/>
  <c r="E111" i="60"/>
  <c r="E114" i="60" s="1"/>
  <c r="E106" i="60"/>
  <c r="C106" i="60"/>
  <c r="E98" i="60"/>
  <c r="C98" i="60"/>
  <c r="E88" i="60"/>
  <c r="E91" i="60" s="1"/>
  <c r="C86" i="60"/>
  <c r="C91" i="60" s="1"/>
  <c r="E84" i="60"/>
  <c r="C84" i="60"/>
  <c r="C76" i="60"/>
  <c r="E73" i="60"/>
  <c r="E76" i="60" s="1"/>
  <c r="C70" i="60"/>
  <c r="E69" i="60"/>
  <c r="E66" i="60"/>
  <c r="E65" i="60"/>
  <c r="C65" i="60"/>
  <c r="C57" i="60"/>
  <c r="E54" i="60"/>
  <c r="E57" i="60" s="1"/>
  <c r="C48" i="60"/>
  <c r="E45" i="60"/>
  <c r="E43" i="60"/>
  <c r="E42" i="60"/>
  <c r="E41" i="60"/>
  <c r="C34" i="60"/>
  <c r="E28" i="60"/>
  <c r="E34" i="60" s="1"/>
  <c r="F34" i="60" s="1"/>
  <c r="E17" i="60"/>
  <c r="C17" i="60"/>
  <c r="G71" i="59"/>
  <c r="F71" i="59"/>
  <c r="G70" i="59"/>
  <c r="F70" i="59"/>
  <c r="G68" i="59"/>
  <c r="F68" i="59"/>
  <c r="G64" i="59"/>
  <c r="F64" i="59"/>
  <c r="G60" i="59"/>
  <c r="F60" i="59"/>
  <c r="G56" i="59"/>
  <c r="F56" i="59"/>
  <c r="G50" i="59"/>
  <c r="F50" i="59"/>
  <c r="G49" i="59"/>
  <c r="F49" i="59"/>
  <c r="G47" i="59"/>
  <c r="F47" i="59"/>
  <c r="G43" i="59"/>
  <c r="F43" i="59"/>
  <c r="G39" i="59"/>
  <c r="F39" i="59"/>
  <c r="G34" i="59"/>
  <c r="F34" i="59"/>
  <c r="F33" i="59"/>
  <c r="G31" i="59"/>
  <c r="F31" i="59"/>
  <c r="G27" i="59"/>
  <c r="F27" i="59"/>
  <c r="G23" i="59"/>
  <c r="F23" i="59"/>
  <c r="G19" i="59"/>
  <c r="F19" i="59"/>
  <c r="G15" i="59"/>
  <c r="F15" i="59"/>
  <c r="G11" i="59"/>
  <c r="F11" i="59"/>
  <c r="G134" i="58"/>
  <c r="G131" i="58"/>
  <c r="F131" i="58"/>
  <c r="G127" i="58"/>
  <c r="F127" i="58"/>
  <c r="G123" i="58"/>
  <c r="G119" i="58"/>
  <c r="F119" i="58"/>
  <c r="F114" i="58"/>
  <c r="G113" i="58"/>
  <c r="F113" i="58"/>
  <c r="G111" i="58"/>
  <c r="F111" i="58"/>
  <c r="G107" i="58"/>
  <c r="F107" i="58"/>
  <c r="G103" i="58"/>
  <c r="F103" i="58"/>
  <c r="G98" i="58"/>
  <c r="G97" i="58"/>
  <c r="G94" i="58"/>
  <c r="F94" i="58"/>
  <c r="G90" i="58"/>
  <c r="F90" i="58"/>
  <c r="G86" i="58"/>
  <c r="F86" i="58"/>
  <c r="G82" i="58"/>
  <c r="F82" i="58"/>
  <c r="G72" i="58"/>
  <c r="G71" i="58"/>
  <c r="G69" i="58"/>
  <c r="F69" i="58"/>
  <c r="G65" i="58"/>
  <c r="F65" i="58"/>
  <c r="G57" i="58"/>
  <c r="F57" i="58"/>
  <c r="G52" i="58"/>
  <c r="G51" i="58"/>
  <c r="G49" i="58"/>
  <c r="F49" i="58"/>
  <c r="G45" i="58"/>
  <c r="F45" i="58"/>
  <c r="F41" i="58"/>
  <c r="G40" i="58"/>
  <c r="G39" i="58"/>
  <c r="G37" i="58"/>
  <c r="F37" i="58"/>
  <c r="G33" i="58"/>
  <c r="F33" i="58"/>
  <c r="G29" i="58"/>
  <c r="F29" i="58"/>
  <c r="G25" i="58"/>
  <c r="F25" i="58"/>
  <c r="G20" i="58"/>
  <c r="F20" i="58"/>
  <c r="F60" i="58" s="1"/>
  <c r="G19" i="58"/>
  <c r="F19" i="58"/>
  <c r="F59" i="58" s="1"/>
  <c r="F137" i="58" s="1"/>
  <c r="G17" i="58"/>
  <c r="F17" i="58"/>
  <c r="G13" i="58"/>
  <c r="F13" i="58"/>
  <c r="H18" i="57"/>
  <c r="G18" i="57"/>
  <c r="F18" i="57"/>
  <c r="E18" i="57"/>
  <c r="D18" i="57"/>
  <c r="H15" i="57"/>
  <c r="F15" i="57"/>
  <c r="E15" i="57"/>
  <c r="D15" i="57"/>
  <c r="H12" i="57"/>
  <c r="G12" i="57"/>
  <c r="F12" i="57"/>
  <c r="E12" i="57"/>
  <c r="D12" i="57"/>
  <c r="H9" i="57"/>
  <c r="G9" i="57"/>
  <c r="G19" i="57" s="1"/>
  <c r="F9" i="57"/>
  <c r="F19" i="57" s="1"/>
  <c r="E9" i="57"/>
  <c r="D9" i="57"/>
  <c r="C16" i="55"/>
  <c r="J19" i="53"/>
  <c r="E19" i="53"/>
  <c r="I17" i="53"/>
  <c r="H17" i="53"/>
  <c r="D17" i="53"/>
  <c r="C17" i="53"/>
  <c r="J16" i="53"/>
  <c r="E16" i="53"/>
  <c r="J15" i="53"/>
  <c r="E15" i="53"/>
  <c r="J14" i="53"/>
  <c r="E14" i="53"/>
  <c r="H13" i="53"/>
  <c r="D13" i="53"/>
  <c r="J12" i="53"/>
  <c r="J11" i="53"/>
  <c r="C13" i="53"/>
  <c r="J10" i="53"/>
  <c r="E10" i="53"/>
  <c r="J9" i="53"/>
  <c r="E9" i="53"/>
  <c r="J8" i="53"/>
  <c r="I13" i="53"/>
  <c r="E8" i="53"/>
  <c r="F49" i="40"/>
  <c r="F42" i="40"/>
  <c r="F41" i="40"/>
  <c r="D19" i="57" l="1"/>
  <c r="H19" i="57"/>
  <c r="G60" i="58"/>
  <c r="G138" i="58" s="1"/>
  <c r="F17" i="60"/>
  <c r="F10" i="63"/>
  <c r="E19" i="57"/>
  <c r="F138" i="58"/>
  <c r="G137" i="58"/>
  <c r="E70" i="60"/>
  <c r="E48" i="60"/>
  <c r="F48" i="60"/>
  <c r="F57" i="60" s="1"/>
  <c r="F65" i="60" s="1"/>
  <c r="F70" i="60" s="1"/>
  <c r="F76" i="60" s="1"/>
  <c r="F84" i="60" s="1"/>
  <c r="F91" i="60" s="1"/>
  <c r="F98" i="60" s="1"/>
  <c r="F106" i="60" s="1"/>
  <c r="F114" i="60" s="1"/>
  <c r="F121" i="60" s="1"/>
  <c r="F128" i="60" s="1"/>
  <c r="F134" i="60" s="1"/>
  <c r="F140" i="60" s="1"/>
  <c r="F146" i="60" s="1"/>
  <c r="F152" i="60" s="1"/>
  <c r="F159" i="60" s="1"/>
  <c r="F165" i="60" s="1"/>
  <c r="F173" i="60" s="1"/>
  <c r="F181" i="60" s="1"/>
  <c r="F188" i="60" s="1"/>
  <c r="F195" i="60" s="1"/>
  <c r="F201" i="60" s="1"/>
  <c r="F207" i="60" s="1"/>
  <c r="F213" i="60" s="1"/>
  <c r="F219" i="60" s="1"/>
  <c r="F225" i="60" s="1"/>
  <c r="F231" i="60" s="1"/>
  <c r="G73" i="63"/>
  <c r="G67" i="63"/>
  <c r="G45" i="63"/>
  <c r="F19" i="63"/>
  <c r="F18" i="63" s="1"/>
  <c r="F9" i="63" s="1"/>
  <c r="E10" i="63"/>
  <c r="G10" i="63"/>
  <c r="F18" i="61"/>
  <c r="G10" i="61" s="1"/>
  <c r="G51" i="59"/>
  <c r="G74" i="59"/>
  <c r="F72" i="59"/>
  <c r="F51" i="59"/>
  <c r="F75" i="59"/>
  <c r="F35" i="59"/>
  <c r="G135" i="58"/>
  <c r="G115" i="58"/>
  <c r="G73" i="58"/>
  <c r="G53" i="58"/>
  <c r="G41" i="58"/>
  <c r="F135" i="58"/>
  <c r="F115" i="58"/>
  <c r="F99" i="58"/>
  <c r="F73" i="58"/>
  <c r="F53" i="58"/>
  <c r="I18" i="53"/>
  <c r="I20" i="53" s="1"/>
  <c r="H18" i="53"/>
  <c r="H20" i="53" s="1"/>
  <c r="E17" i="53"/>
  <c r="D18" i="53"/>
  <c r="D20" i="53" s="1"/>
  <c r="G35" i="59"/>
  <c r="F21" i="58"/>
  <c r="G99" i="58"/>
  <c r="G75" i="59"/>
  <c r="G72" i="59"/>
  <c r="F74" i="59"/>
  <c r="G27" i="63"/>
  <c r="E27" i="63"/>
  <c r="G36" i="63"/>
  <c r="G40" i="63"/>
  <c r="G20" i="63"/>
  <c r="E20" i="63"/>
  <c r="G86" i="63"/>
  <c r="G85" i="63" s="1"/>
  <c r="G59" i="58"/>
  <c r="G21" i="58"/>
  <c r="C18" i="53"/>
  <c r="C20" i="53" s="1"/>
  <c r="E13" i="53"/>
  <c r="J13" i="53"/>
  <c r="J17" i="53"/>
  <c r="E11" i="53"/>
  <c r="G19" i="63" l="1"/>
  <c r="G14" i="61"/>
  <c r="G12" i="61"/>
  <c r="G15" i="61"/>
  <c r="G16" i="61"/>
  <c r="G11" i="61"/>
  <c r="G18" i="61"/>
  <c r="G13" i="61"/>
  <c r="G17" i="61"/>
  <c r="G76" i="59"/>
  <c r="F76" i="59"/>
  <c r="F139" i="58"/>
  <c r="F61" i="58"/>
  <c r="G139" i="58"/>
  <c r="G61" i="58"/>
  <c r="E19" i="63"/>
  <c r="E18" i="63" s="1"/>
  <c r="E20" i="53"/>
  <c r="C4" i="54" s="1"/>
  <c r="J18" i="53"/>
  <c r="E18" i="53"/>
  <c r="F72" i="43"/>
  <c r="H88" i="39"/>
  <c r="F22" i="43"/>
  <c r="G88" i="43"/>
  <c r="G89" i="43"/>
  <c r="G90" i="43"/>
  <c r="E24" i="25"/>
  <c r="K25" i="41"/>
  <c r="M16" i="41"/>
  <c r="G73" i="43"/>
  <c r="G44" i="43"/>
  <c r="E82" i="14"/>
  <c r="E61" i="14"/>
  <c r="E38" i="25"/>
  <c r="E35" i="11"/>
  <c r="G18" i="63" l="1"/>
  <c r="E9" i="63"/>
  <c r="J20" i="53"/>
  <c r="C8" i="54" s="1"/>
  <c r="C9" i="54" s="1"/>
  <c r="G74" i="43"/>
  <c r="G9" i="63" l="1"/>
  <c r="D21" i="14"/>
  <c r="F13" i="40"/>
  <c r="G116" i="43"/>
  <c r="G110" i="43"/>
  <c r="G112" i="43"/>
  <c r="G70" i="43"/>
  <c r="G71" i="43"/>
  <c r="G56" i="43"/>
  <c r="G27" i="43"/>
  <c r="G25" i="43"/>
  <c r="G21" i="43"/>
  <c r="G53" i="41"/>
  <c r="F34" i="40"/>
  <c r="F23" i="40"/>
  <c r="F24" i="40"/>
  <c r="F25" i="40"/>
  <c r="I35" i="39"/>
  <c r="I43" i="39"/>
  <c r="I54" i="39"/>
  <c r="I67" i="39"/>
  <c r="I70" i="39"/>
  <c r="I71" i="39"/>
  <c r="I106" i="39"/>
  <c r="I112" i="39"/>
  <c r="I113" i="39"/>
  <c r="I114" i="39"/>
  <c r="I100" i="39"/>
  <c r="I105" i="39"/>
  <c r="I109" i="39"/>
  <c r="I111" i="39"/>
  <c r="D36" i="14"/>
  <c r="C36" i="40" l="1"/>
  <c r="D36" i="40"/>
  <c r="E36" i="40"/>
  <c r="F35" i="40"/>
  <c r="E36" i="25"/>
  <c r="F113" i="43"/>
  <c r="E34" i="11"/>
  <c r="E33" i="11"/>
  <c r="G63" i="43"/>
  <c r="D70" i="36"/>
  <c r="G95" i="43"/>
  <c r="F39" i="40"/>
  <c r="E37" i="25"/>
  <c r="E35" i="25"/>
  <c r="E34" i="25"/>
  <c r="E33" i="25"/>
  <c r="E32" i="25"/>
  <c r="E31" i="25"/>
  <c r="E30" i="25"/>
  <c r="C88" i="14" l="1"/>
  <c r="E60" i="14"/>
  <c r="I91" i="39" l="1"/>
  <c r="I30" i="39"/>
  <c r="C26" i="40"/>
  <c r="D26" i="40"/>
  <c r="E26" i="40"/>
  <c r="F7" i="9" l="1"/>
  <c r="G35" i="43"/>
  <c r="E67" i="14"/>
  <c r="E68" i="14"/>
  <c r="E70" i="14"/>
  <c r="E84" i="14"/>
  <c r="H97" i="39"/>
  <c r="I76" i="39"/>
  <c r="G82" i="43"/>
  <c r="G83" i="43"/>
  <c r="G84" i="43"/>
  <c r="G85" i="43"/>
  <c r="G86" i="43"/>
  <c r="G87" i="43"/>
  <c r="G91" i="43"/>
  <c r="E18" i="40"/>
  <c r="F11" i="40"/>
  <c r="F14" i="40"/>
  <c r="F15" i="40"/>
  <c r="G51" i="43"/>
  <c r="G52" i="43"/>
  <c r="G41" i="43"/>
  <c r="G33" i="43"/>
  <c r="E66" i="14"/>
  <c r="E67" i="36"/>
  <c r="D73" i="36"/>
  <c r="G57" i="43"/>
  <c r="D51" i="36"/>
  <c r="E68" i="36"/>
  <c r="I64" i="39"/>
  <c r="E85" i="14"/>
  <c r="E16" i="14"/>
  <c r="E39" i="14"/>
  <c r="H128" i="39"/>
  <c r="H115" i="39"/>
  <c r="H65" i="39"/>
  <c r="H50" i="39"/>
  <c r="H32" i="39"/>
  <c r="H27" i="39"/>
  <c r="H20" i="39"/>
  <c r="D18" i="40" l="1"/>
  <c r="G58" i="43"/>
  <c r="G42" i="43"/>
  <c r="G29" i="43"/>
  <c r="G117" i="43"/>
  <c r="G101" i="43"/>
  <c r="G102" i="43"/>
  <c r="G103" i="43"/>
  <c r="G104" i="43"/>
  <c r="G105" i="43"/>
  <c r="G106" i="43"/>
  <c r="G107" i="43"/>
  <c r="G65" i="43"/>
  <c r="G66" i="43"/>
  <c r="G69" i="43"/>
  <c r="G64" i="43"/>
  <c r="G36" i="43"/>
  <c r="G37" i="43"/>
  <c r="G43" i="43"/>
  <c r="G26" i="43"/>
  <c r="G28" i="43"/>
  <c r="G24" i="43"/>
  <c r="G78" i="43"/>
  <c r="G97" i="43"/>
  <c r="G98" i="43"/>
  <c r="G96" i="43"/>
  <c r="G80" i="43"/>
  <c r="D15" i="43"/>
  <c r="F15" i="43"/>
  <c r="E15" i="43"/>
  <c r="G14" i="43"/>
  <c r="G8" i="43"/>
  <c r="F45" i="40"/>
  <c r="F33" i="40"/>
  <c r="F32" i="40"/>
  <c r="F30" i="40"/>
  <c r="F29" i="40"/>
  <c r="F22" i="40"/>
  <c r="F21" i="40"/>
  <c r="F12" i="40"/>
  <c r="F16" i="40"/>
  <c r="F10" i="40"/>
  <c r="F17" i="40"/>
  <c r="E7" i="25" l="1"/>
  <c r="E39" i="25"/>
  <c r="E29" i="25"/>
  <c r="E28" i="25"/>
  <c r="E27" i="25"/>
  <c r="E26" i="25"/>
  <c r="E25" i="25"/>
  <c r="E23" i="25"/>
  <c r="E22" i="25"/>
  <c r="E21" i="25"/>
  <c r="E20" i="25"/>
  <c r="E19" i="25"/>
  <c r="E18" i="25"/>
  <c r="E17" i="25"/>
  <c r="E15" i="25"/>
  <c r="E13" i="25"/>
  <c r="E12" i="25"/>
  <c r="E11" i="25"/>
  <c r="E10" i="25"/>
  <c r="E9" i="25"/>
  <c r="I25" i="24"/>
  <c r="I24" i="24"/>
  <c r="I23" i="24"/>
  <c r="I21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98" i="14"/>
  <c r="E97" i="14"/>
  <c r="E96" i="14"/>
  <c r="E95" i="14"/>
  <c r="E94" i="14"/>
  <c r="E93" i="14"/>
  <c r="E92" i="14"/>
  <c r="E91" i="14"/>
  <c r="E87" i="14"/>
  <c r="E83" i="14"/>
  <c r="E81" i="14"/>
  <c r="E79" i="14"/>
  <c r="E78" i="14"/>
  <c r="E77" i="14"/>
  <c r="E76" i="14"/>
  <c r="E75" i="14"/>
  <c r="E74" i="14"/>
  <c r="E73" i="14"/>
  <c r="E72" i="14"/>
  <c r="E71" i="14"/>
  <c r="E64" i="14"/>
  <c r="E63" i="14"/>
  <c r="E59" i="14"/>
  <c r="E58" i="14"/>
  <c r="E57" i="14"/>
  <c r="E56" i="14"/>
  <c r="E55" i="14"/>
  <c r="E54" i="14"/>
  <c r="E53" i="14"/>
  <c r="E52" i="14"/>
  <c r="E50" i="14"/>
  <c r="E48" i="14"/>
  <c r="E47" i="14"/>
  <c r="E46" i="14"/>
  <c r="E45" i="14"/>
  <c r="E44" i="14"/>
  <c r="E42" i="14"/>
  <c r="E41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7" i="14"/>
  <c r="E15" i="14"/>
  <c r="E14" i="14"/>
  <c r="E13" i="14"/>
  <c r="E12" i="14"/>
  <c r="E9" i="14"/>
  <c r="E8" i="14"/>
  <c r="E11" i="13" l="1"/>
  <c r="E10" i="13"/>
  <c r="E9" i="13"/>
  <c r="E21" i="12"/>
  <c r="E20" i="12"/>
  <c r="E19" i="12"/>
  <c r="E18" i="12"/>
  <c r="E17" i="12"/>
  <c r="E16" i="12"/>
  <c r="E15" i="12"/>
  <c r="E14" i="12"/>
  <c r="E13" i="12"/>
  <c r="E10" i="12"/>
  <c r="E36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7" i="11"/>
  <c r="E16" i="11"/>
  <c r="E15" i="11"/>
  <c r="E14" i="11"/>
  <c r="E13" i="11"/>
  <c r="E12" i="11"/>
  <c r="E10" i="11"/>
  <c r="E12" i="36"/>
  <c r="E76" i="36"/>
  <c r="E72" i="36"/>
  <c r="E69" i="36"/>
  <c r="E66" i="36"/>
  <c r="E65" i="36"/>
  <c r="E64" i="36"/>
  <c r="E63" i="36"/>
  <c r="E62" i="36"/>
  <c r="E57" i="36"/>
  <c r="E56" i="36"/>
  <c r="E53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27" i="36"/>
  <c r="E26" i="36"/>
  <c r="E24" i="36"/>
  <c r="E20" i="36"/>
  <c r="E16" i="36"/>
  <c r="C70" i="36"/>
  <c r="F26" i="9"/>
  <c r="F25" i="9"/>
  <c r="F24" i="9"/>
  <c r="F22" i="9"/>
  <c r="F21" i="9"/>
  <c r="F20" i="9"/>
  <c r="F19" i="9"/>
  <c r="F18" i="9"/>
  <c r="F17" i="9"/>
  <c r="F15" i="9"/>
  <c r="F14" i="9"/>
  <c r="F13" i="9"/>
  <c r="F11" i="9"/>
  <c r="F8" i="9"/>
  <c r="I127" i="39"/>
  <c r="I126" i="39"/>
  <c r="I125" i="39"/>
  <c r="I124" i="39"/>
  <c r="I123" i="39"/>
  <c r="I122" i="39"/>
  <c r="I121" i="39"/>
  <c r="I120" i="39"/>
  <c r="I119" i="39"/>
  <c r="I118" i="39"/>
  <c r="I117" i="39"/>
  <c r="I110" i="39"/>
  <c r="I108" i="39"/>
  <c r="I107" i="39"/>
  <c r="I102" i="39"/>
  <c r="I101" i="39"/>
  <c r="I94" i="39"/>
  <c r="I92" i="39"/>
  <c r="I90" i="39"/>
  <c r="I89" i="39"/>
  <c r="I88" i="39"/>
  <c r="I87" i="39"/>
  <c r="I85" i="39"/>
  <c r="I84" i="39"/>
  <c r="I82" i="39"/>
  <c r="I81" i="39"/>
  <c r="I80" i="39"/>
  <c r="I79" i="39"/>
  <c r="I78" i="39"/>
  <c r="I77" i="39"/>
  <c r="I75" i="39"/>
  <c r="I74" i="39"/>
  <c r="I73" i="39"/>
  <c r="I72" i="39"/>
  <c r="I69" i="39"/>
  <c r="I63" i="39"/>
  <c r="I62" i="39"/>
  <c r="I61" i="39"/>
  <c r="I59" i="39"/>
  <c r="I58" i="39"/>
  <c r="I56" i="39"/>
  <c r="I45" i="39"/>
  <c r="I44" i="39"/>
  <c r="I42" i="39"/>
  <c r="I41" i="39"/>
  <c r="I40" i="39"/>
  <c r="I31" i="39"/>
  <c r="I29" i="39"/>
  <c r="I26" i="39"/>
  <c r="I25" i="39"/>
  <c r="I24" i="39"/>
  <c r="I23" i="39"/>
  <c r="I22" i="39"/>
  <c r="I19" i="39"/>
  <c r="I18" i="39"/>
  <c r="I17" i="39"/>
  <c r="I13" i="39"/>
  <c r="I14" i="39"/>
  <c r="I9" i="39"/>
  <c r="I10" i="39"/>
  <c r="I11" i="39"/>
  <c r="I8" i="39"/>
  <c r="G27" i="39"/>
  <c r="G56" i="41"/>
  <c r="M52" i="41"/>
  <c r="M51" i="41"/>
  <c r="G54" i="41"/>
  <c r="G50" i="41"/>
  <c r="G34" i="43"/>
  <c r="H20" i="24" l="1"/>
  <c r="H26" i="24" s="1"/>
  <c r="C25" i="36" l="1"/>
  <c r="D25" i="36"/>
  <c r="G17" i="43"/>
  <c r="D113" i="43"/>
  <c r="E113" i="43"/>
  <c r="G113" i="43" l="1"/>
  <c r="E25" i="36"/>
  <c r="F36" i="40" l="1"/>
  <c r="G60" i="43"/>
  <c r="B24" i="36" l="1"/>
  <c r="B20" i="36"/>
  <c r="B16" i="36"/>
  <c r="B12" i="36"/>
  <c r="B70" i="36"/>
  <c r="G50" i="39"/>
  <c r="I50" i="39" s="1"/>
  <c r="F50" i="39"/>
  <c r="G32" i="39"/>
  <c r="I32" i="39" s="1"/>
  <c r="F32" i="39"/>
  <c r="I27" i="39"/>
  <c r="F27" i="39"/>
  <c r="E108" i="14"/>
  <c r="B25" i="36" l="1"/>
  <c r="G46" i="43" l="1"/>
  <c r="E9" i="43"/>
  <c r="D37" i="11" l="1"/>
  <c r="D90" i="36" l="1"/>
  <c r="C90" i="36"/>
  <c r="B90" i="36"/>
  <c r="F9" i="43"/>
  <c r="G55" i="43"/>
  <c r="E90" i="36" l="1"/>
  <c r="D18" i="43"/>
  <c r="E18" i="43"/>
  <c r="D12" i="43"/>
  <c r="E12" i="43"/>
  <c r="F12" i="43"/>
  <c r="D9" i="43"/>
  <c r="B22" i="22"/>
  <c r="C22" i="22"/>
  <c r="D22" i="22"/>
  <c r="H12" i="39"/>
  <c r="H15" i="39" s="1"/>
  <c r="H33" i="39" s="1"/>
  <c r="E22" i="22" l="1"/>
  <c r="F18" i="40" l="1"/>
  <c r="E9" i="9"/>
  <c r="B40" i="25" l="1"/>
  <c r="C40" i="25"/>
  <c r="D40" i="25"/>
  <c r="E40" i="25" l="1"/>
  <c r="G31" i="43" l="1"/>
  <c r="G32" i="43"/>
  <c r="D77" i="36" l="1"/>
  <c r="B77" i="36"/>
  <c r="C77" i="36"/>
  <c r="E77" i="36" l="1"/>
  <c r="E109" i="14"/>
  <c r="G111" i="43" l="1"/>
  <c r="G72" i="43" l="1"/>
  <c r="G94" i="43" l="1"/>
  <c r="G61" i="43"/>
  <c r="G7" i="43"/>
  <c r="D110" i="14"/>
  <c r="B108" i="14"/>
  <c r="B110" i="14" l="1"/>
  <c r="C110" i="14"/>
  <c r="D10" i="14"/>
  <c r="B8" i="14"/>
  <c r="C58" i="36"/>
  <c r="D58" i="36"/>
  <c r="B58" i="36"/>
  <c r="B51" i="36"/>
  <c r="C51" i="36"/>
  <c r="D27" i="9"/>
  <c r="E27" i="9"/>
  <c r="F27" i="9" s="1"/>
  <c r="C27" i="9"/>
  <c r="F128" i="39"/>
  <c r="E110" i="14" l="1"/>
  <c r="E58" i="36"/>
  <c r="E51" i="36"/>
  <c r="B10" i="14"/>
  <c r="C10" i="14"/>
  <c r="E10" i="14" l="1"/>
  <c r="C37" i="11" l="1"/>
  <c r="B37" i="11"/>
  <c r="E70" i="36"/>
  <c r="E37" i="11" l="1"/>
  <c r="G30" i="43" l="1"/>
  <c r="C7" i="40"/>
  <c r="D9" i="40"/>
  <c r="E9" i="40"/>
  <c r="C9" i="40"/>
  <c r="E7" i="40"/>
  <c r="D7" i="40"/>
  <c r="F65" i="39"/>
  <c r="G65" i="39"/>
  <c r="E19" i="40" l="1"/>
  <c r="G54" i="43" l="1"/>
  <c r="D19" i="40" l="1"/>
  <c r="C18" i="40"/>
  <c r="C19" i="40" s="1"/>
  <c r="G115" i="39"/>
  <c r="F26" i="40" l="1"/>
  <c r="H39" i="39" l="1"/>
  <c r="G39" i="39"/>
  <c r="F39" i="39"/>
  <c r="H36" i="39"/>
  <c r="H37" i="39" s="1"/>
  <c r="G36" i="39"/>
  <c r="F36" i="39"/>
  <c r="G12" i="39"/>
  <c r="F12" i="39"/>
  <c r="H51" i="39" l="1"/>
  <c r="H129" i="39" s="1"/>
  <c r="I36" i="39"/>
  <c r="G15" i="39"/>
  <c r="I12" i="39"/>
  <c r="F15" i="39"/>
  <c r="I65" i="39"/>
  <c r="I115" i="39"/>
  <c r="I15" i="39" l="1"/>
  <c r="G92" i="43"/>
  <c r="G75" i="43" l="1"/>
  <c r="G76" i="43"/>
  <c r="G77" i="43"/>
  <c r="G79" i="43"/>
  <c r="G81" i="43"/>
  <c r="G49" i="43" l="1"/>
  <c r="G20" i="24" l="1"/>
  <c r="G26" i="24" s="1"/>
  <c r="F20" i="24"/>
  <c r="F26" i="24" s="1"/>
  <c r="E116" i="43"/>
  <c r="F116" i="43"/>
  <c r="D116" i="43"/>
  <c r="C99" i="14"/>
  <c r="D99" i="14"/>
  <c r="B99" i="14"/>
  <c r="I20" i="24" l="1"/>
  <c r="E99" i="14"/>
  <c r="I26" i="24" l="1"/>
  <c r="G108" i="43" l="1"/>
  <c r="C22" i="12" l="1"/>
  <c r="C28" i="36"/>
  <c r="B28" i="36"/>
  <c r="D22" i="12" l="1"/>
  <c r="E22" i="12" s="1"/>
  <c r="G109" i="43" l="1"/>
  <c r="D59" i="36" l="1"/>
  <c r="J58" i="41" l="1"/>
  <c r="B22" i="12" l="1"/>
  <c r="C59" i="36" l="1"/>
  <c r="E59" i="36" s="1"/>
  <c r="D38" i="11" l="1"/>
  <c r="B38" i="11"/>
  <c r="C38" i="11" l="1"/>
  <c r="E38" i="11" l="1"/>
  <c r="E21" i="13" l="1"/>
  <c r="B21" i="13"/>
  <c r="B31" i="12"/>
  <c r="E31" i="12" l="1"/>
  <c r="G100" i="43" l="1"/>
  <c r="E36" i="9"/>
  <c r="E47" i="11" l="1"/>
  <c r="F35" i="9" l="1"/>
  <c r="F34" i="9"/>
  <c r="D88" i="14" l="1"/>
  <c r="B88" i="14"/>
  <c r="E88" i="14" l="1"/>
  <c r="D18" i="14"/>
  <c r="D100" i="14" l="1"/>
  <c r="D28" i="36" l="1"/>
  <c r="E28" i="36" l="1"/>
  <c r="G47" i="43"/>
  <c r="G48" i="43"/>
  <c r="G50" i="43"/>
  <c r="G93" i="43"/>
  <c r="G99" i="43"/>
  <c r="G22" i="43"/>
  <c r="G12" i="43" l="1"/>
  <c r="F115" i="39" l="1"/>
  <c r="G97" i="39" l="1"/>
  <c r="I97" i="39" s="1"/>
  <c r="E28" i="9" l="1"/>
  <c r="E38" i="9" l="1"/>
  <c r="K45" i="41" l="1"/>
  <c r="L45" i="41"/>
  <c r="J45" i="41"/>
  <c r="M45" i="41" l="1"/>
  <c r="L44" i="41"/>
  <c r="K44" i="41"/>
  <c r="J44" i="41"/>
  <c r="F18" i="43"/>
  <c r="J42" i="41"/>
  <c r="J41" i="41"/>
  <c r="L40" i="41"/>
  <c r="K40" i="41"/>
  <c r="J40" i="41"/>
  <c r="G11" i="43"/>
  <c r="L39" i="41"/>
  <c r="K39" i="41"/>
  <c r="J39" i="41"/>
  <c r="F118" i="43" l="1"/>
  <c r="M40" i="41"/>
  <c r="M39" i="41"/>
  <c r="L42" i="41"/>
  <c r="K41" i="41"/>
  <c r="K42" i="41"/>
  <c r="E118" i="43"/>
  <c r="L41" i="41"/>
  <c r="K43" i="41"/>
  <c r="L43" i="41"/>
  <c r="J43" i="41"/>
  <c r="D118" i="43"/>
  <c r="G18" i="43"/>
  <c r="G15" i="43"/>
  <c r="G9" i="43"/>
  <c r="G118" i="43" l="1"/>
  <c r="M41" i="41"/>
  <c r="M42" i="41"/>
  <c r="M43" i="41"/>
  <c r="D50" i="40" l="1"/>
  <c r="D51" i="40" s="1"/>
  <c r="E50" i="40"/>
  <c r="E51" i="40" s="1"/>
  <c r="C50" i="40"/>
  <c r="G128" i="39"/>
  <c r="I128" i="39" s="1"/>
  <c r="F50" i="40" l="1"/>
  <c r="L33" i="41" l="1"/>
  <c r="J33" i="41" l="1"/>
  <c r="K33" i="41" l="1"/>
  <c r="M33" i="41" s="1"/>
  <c r="L25" i="41" l="1"/>
  <c r="J25" i="41"/>
  <c r="E6" i="41"/>
  <c r="G192" i="41"/>
  <c r="F33" i="41"/>
  <c r="E33" i="41"/>
  <c r="F31" i="41"/>
  <c r="F9" i="41"/>
  <c r="F8" i="41"/>
  <c r="F10" i="41"/>
  <c r="D9" i="9"/>
  <c r="F9" i="9" s="1"/>
  <c r="D36" i="9"/>
  <c r="C73" i="36"/>
  <c r="C18" i="14"/>
  <c r="E9" i="41"/>
  <c r="D9" i="41"/>
  <c r="D12" i="13"/>
  <c r="L34" i="41"/>
  <c r="L35" i="41"/>
  <c r="L37" i="41"/>
  <c r="L58" i="41"/>
  <c r="B59" i="36"/>
  <c r="E8" i="41"/>
  <c r="B18" i="14"/>
  <c r="F34" i="41"/>
  <c r="F58" i="41"/>
  <c r="D8" i="41"/>
  <c r="D10" i="41"/>
  <c r="F97" i="39"/>
  <c r="E10" i="41"/>
  <c r="B10" i="11"/>
  <c r="E58" i="41"/>
  <c r="C9" i="9"/>
  <c r="C12" i="13"/>
  <c r="L36" i="41"/>
  <c r="J12" i="41"/>
  <c r="B73" i="36"/>
  <c r="J14" i="41"/>
  <c r="J37" i="41"/>
  <c r="B10" i="12"/>
  <c r="D33" i="41"/>
  <c r="D34" i="41"/>
  <c r="B9" i="13"/>
  <c r="B12" i="13"/>
  <c r="J36" i="41"/>
  <c r="J35" i="41"/>
  <c r="B47" i="11"/>
  <c r="J34" i="41" s="1"/>
  <c r="C36" i="9"/>
  <c r="J32" i="41" s="1"/>
  <c r="D58" i="41"/>
  <c r="K58" i="41"/>
  <c r="E12" i="13" l="1"/>
  <c r="C74" i="36"/>
  <c r="E73" i="36"/>
  <c r="E18" i="14"/>
  <c r="M58" i="41"/>
  <c r="G58" i="41"/>
  <c r="G33" i="41"/>
  <c r="G10" i="41"/>
  <c r="G8" i="41"/>
  <c r="G9" i="41"/>
  <c r="M25" i="41"/>
  <c r="B29" i="36"/>
  <c r="B52" i="36" s="1"/>
  <c r="C100" i="14"/>
  <c r="D31" i="41"/>
  <c r="C51" i="40"/>
  <c r="E31" i="41"/>
  <c r="G31" i="41" s="1"/>
  <c r="K36" i="41"/>
  <c r="M36" i="41" s="1"/>
  <c r="K32" i="41"/>
  <c r="F36" i="9"/>
  <c r="K34" i="41"/>
  <c r="M34" i="41" s="1"/>
  <c r="K12" i="41"/>
  <c r="L14" i="41"/>
  <c r="K37" i="41"/>
  <c r="M37" i="41" s="1"/>
  <c r="K35" i="41"/>
  <c r="M35" i="41" s="1"/>
  <c r="F6" i="41"/>
  <c r="G6" i="41" s="1"/>
  <c r="D6" i="41"/>
  <c r="E34" i="41"/>
  <c r="G34" i="41" s="1"/>
  <c r="C23" i="12"/>
  <c r="D74" i="36"/>
  <c r="B100" i="14"/>
  <c r="C13" i="13"/>
  <c r="D28" i="9"/>
  <c r="F28" i="9" s="1"/>
  <c r="B23" i="12"/>
  <c r="B33" i="12" s="1"/>
  <c r="J46" i="41"/>
  <c r="K46" i="41"/>
  <c r="J13" i="41"/>
  <c r="B13" i="13"/>
  <c r="J10" i="41" s="1"/>
  <c r="D13" i="13"/>
  <c r="D23" i="12"/>
  <c r="B39" i="11"/>
  <c r="B74" i="36"/>
  <c r="B78" i="36" s="1"/>
  <c r="J38" i="41"/>
  <c r="L32" i="41"/>
  <c r="C28" i="9"/>
  <c r="K14" i="41"/>
  <c r="L12" i="41"/>
  <c r="B79" i="36" l="1"/>
  <c r="B92" i="36" s="1"/>
  <c r="E13" i="13"/>
  <c r="E74" i="36"/>
  <c r="E100" i="14"/>
  <c r="M14" i="41"/>
  <c r="E23" i="12"/>
  <c r="L38" i="41"/>
  <c r="M32" i="41"/>
  <c r="M12" i="41"/>
  <c r="B101" i="14"/>
  <c r="J11" i="41" s="1"/>
  <c r="D33" i="12"/>
  <c r="D78" i="36"/>
  <c r="C101" i="14"/>
  <c r="C78" i="36"/>
  <c r="K10" i="41"/>
  <c r="C39" i="11"/>
  <c r="C29" i="36"/>
  <c r="K9" i="41"/>
  <c r="K38" i="41"/>
  <c r="K47" i="41" s="1"/>
  <c r="K6" i="41"/>
  <c r="C33" i="12"/>
  <c r="J9" i="41"/>
  <c r="C23" i="13"/>
  <c r="D38" i="9"/>
  <c r="F38" i="9" s="1"/>
  <c r="D101" i="14"/>
  <c r="L10" i="41"/>
  <c r="L9" i="41"/>
  <c r="B23" i="13"/>
  <c r="D23" i="13"/>
  <c r="D39" i="11"/>
  <c r="J47" i="41"/>
  <c r="D32" i="41"/>
  <c r="D47" i="41" s="1"/>
  <c r="J8" i="41"/>
  <c r="B49" i="11"/>
  <c r="L6" i="41"/>
  <c r="J6" i="41"/>
  <c r="C38" i="9"/>
  <c r="L46" i="41"/>
  <c r="M46" i="41" s="1"/>
  <c r="D29" i="36"/>
  <c r="D52" i="36" s="1"/>
  <c r="C52" i="36" l="1"/>
  <c r="E52" i="36" s="1"/>
  <c r="E39" i="11"/>
  <c r="E33" i="12"/>
  <c r="E101" i="14"/>
  <c r="C79" i="36"/>
  <c r="D79" i="36"/>
  <c r="E23" i="13"/>
  <c r="E78" i="36"/>
  <c r="E29" i="36"/>
  <c r="M6" i="41"/>
  <c r="B112" i="14"/>
  <c r="M10" i="41"/>
  <c r="M9" i="41"/>
  <c r="M38" i="41"/>
  <c r="L8" i="41"/>
  <c r="K11" i="41"/>
  <c r="C112" i="14"/>
  <c r="C49" i="11"/>
  <c r="K8" i="41"/>
  <c r="L11" i="41"/>
  <c r="K13" i="41"/>
  <c r="D112" i="14"/>
  <c r="J7" i="41"/>
  <c r="J26" i="41" s="1"/>
  <c r="J61" i="41" s="1"/>
  <c r="D49" i="11"/>
  <c r="L47" i="41"/>
  <c r="M47" i="41" s="1"/>
  <c r="E49" i="11" l="1"/>
  <c r="E112" i="14"/>
  <c r="E79" i="36"/>
  <c r="M8" i="41"/>
  <c r="M11" i="41"/>
  <c r="C92" i="36" l="1"/>
  <c r="K7" i="41"/>
  <c r="K26" i="41" s="1"/>
  <c r="K61" i="41" s="1"/>
  <c r="D92" i="36" l="1"/>
  <c r="E92" i="36" s="1"/>
  <c r="L7" i="41"/>
  <c r="M7" i="41" s="1"/>
  <c r="E32" i="41" l="1"/>
  <c r="E47" i="41" l="1"/>
  <c r="L13" i="41" l="1"/>
  <c r="M13" i="41" s="1"/>
  <c r="L26" i="41" l="1"/>
  <c r="L61" i="41" s="1"/>
  <c r="M61" i="41" l="1"/>
  <c r="M26" i="41"/>
  <c r="F20" i="39" l="1"/>
  <c r="G20" i="39"/>
  <c r="G33" i="39" s="1"/>
  <c r="F33" i="39" l="1"/>
  <c r="F37" i="39" s="1"/>
  <c r="F51" i="39" s="1"/>
  <c r="G37" i="39"/>
  <c r="G51" i="39" s="1"/>
  <c r="G129" i="39" s="1"/>
  <c r="I33" i="39"/>
  <c r="I20" i="39"/>
  <c r="D7" i="41" l="1"/>
  <c r="D26" i="41" s="1"/>
  <c r="D61" i="41" s="1"/>
  <c r="F129" i="39"/>
  <c r="I37" i="39"/>
  <c r="E7" i="41"/>
  <c r="E26" i="41" s="1"/>
  <c r="E61" i="41" s="1"/>
  <c r="I51" i="39"/>
  <c r="F7" i="41" l="1"/>
  <c r="G7" i="41" s="1"/>
  <c r="I129" i="39" l="1"/>
  <c r="F51" i="40"/>
  <c r="F19" i="40"/>
  <c r="F26" i="41"/>
  <c r="G26" i="41" s="1"/>
  <c r="F32" i="41"/>
  <c r="G32" i="41" s="1"/>
  <c r="F47" i="41" l="1"/>
  <c r="G47" i="41" s="1"/>
  <c r="F61" i="41" l="1"/>
  <c r="G61" i="41" l="1"/>
</calcChain>
</file>

<file path=xl/sharedStrings.xml><?xml version="1.0" encoding="utf-8"?>
<sst xmlns="http://schemas.openxmlformats.org/spreadsheetml/2006/main" count="2626" uniqueCount="1402">
  <si>
    <t>FELHALMOZÁSI CÉLÚ ÁTVETT PÉNZESZKÖZÖK ÖSSZESEN</t>
  </si>
  <si>
    <t>Arany János ösztöndíj</t>
  </si>
  <si>
    <t>Savaria Múzeum összesen</t>
  </si>
  <si>
    <t>Capella Savaria</t>
  </si>
  <si>
    <t>Ferrum Színházi Társulat</t>
  </si>
  <si>
    <t>Lakás bérleti díj támogatása</t>
  </si>
  <si>
    <t>Parkolásgazdálkodási kiadás</t>
  </si>
  <si>
    <t>Joska Ola Alapítvány</t>
  </si>
  <si>
    <t>Áfa befizetés (saját bevételből)</t>
  </si>
  <si>
    <t>Intézményi vagyonbiztosítások</t>
  </si>
  <si>
    <t>Oktatási intézmények összesen:</t>
  </si>
  <si>
    <t xml:space="preserve">Oktatási ágazat </t>
  </si>
  <si>
    <t>Helyi iparűzési adó</t>
  </si>
  <si>
    <t>Városi pedagógus nap, tanévnyító ünnepség</t>
  </si>
  <si>
    <t>Szombathely Város Fúvószenekar támogatása</t>
  </si>
  <si>
    <t>ezer forintban</t>
  </si>
  <si>
    <t>Felhalmozási kiadások</t>
  </si>
  <si>
    <t>Önkormányzat egyéb kiadásai (informatikai kiadások)</t>
  </si>
  <si>
    <t>Informatikai fejlesztések</t>
  </si>
  <si>
    <t>Oktatási ágazat kiadásai</t>
  </si>
  <si>
    <t>Szociális ágazat kiadásai</t>
  </si>
  <si>
    <t>Egészségügyi ágazat kiadásai</t>
  </si>
  <si>
    <t>Sport ágazat kiadásai</t>
  </si>
  <si>
    <t>Köztemetés költségeinek megtérítése</t>
  </si>
  <si>
    <t>Kiszámlázott és befizetendő áfa</t>
  </si>
  <si>
    <t>Vas megye és Szombathely Megyei Jogú Város Nyugdíjas Közösségeinek Szövetsége támogatása</t>
  </si>
  <si>
    <t>Önkormányzat egyéb kiadásai</t>
  </si>
  <si>
    <t>Önkormányzat egyéb kiadásai (Hatósági kiadások)</t>
  </si>
  <si>
    <t>Önkormányzat egyéb kiadásai (Főépítészi kiadások)</t>
  </si>
  <si>
    <t>Megnevezés</t>
  </si>
  <si>
    <t>Épitményadó</t>
  </si>
  <si>
    <t>Működési célú maradvány</t>
  </si>
  <si>
    <t>Költségvetési szervek beruházásai és felújításai</t>
  </si>
  <si>
    <t>2.</t>
  </si>
  <si>
    <t>Nagyprojektek, projektek</t>
  </si>
  <si>
    <t>Bérleti díj</t>
  </si>
  <si>
    <t>Lakáskölcsöntörlesztés</t>
  </si>
  <si>
    <t xml:space="preserve">     Beruházások  összesen</t>
  </si>
  <si>
    <t>Hézagkiöntés</t>
  </si>
  <si>
    <t>Hídfenntartás</t>
  </si>
  <si>
    <t>Idegenforgalmi adó</t>
  </si>
  <si>
    <t>Polgármesteri Hivatal</t>
  </si>
  <si>
    <t>Pálos K. Szociális Szolgáltató Központ és Gyermekjóléti Szolgálat</t>
  </si>
  <si>
    <t>Esőemberke Alapítvány támogatása</t>
  </si>
  <si>
    <t>Háziorvosi rendelők karbantartása</t>
  </si>
  <si>
    <t>Lelkisegély szolgálat támogatása  (szerződés) - Telehumanitas Szombathelyi Mentálhigiénés Egyesület</t>
  </si>
  <si>
    <t>Víziközmű és szennyvízközmű használati díjbevételhez kapcsolódó áfa visszaigénylés</t>
  </si>
  <si>
    <t>Gyermek és ifjúsági sport támogatása</t>
  </si>
  <si>
    <t>Gyermek és ifjúsági kitüntetések</t>
  </si>
  <si>
    <t>Éves hídvizsgálat</t>
  </si>
  <si>
    <t>Környezetvédelmi birság</t>
  </si>
  <si>
    <t>Tartalékok</t>
  </si>
  <si>
    <t xml:space="preserve"> </t>
  </si>
  <si>
    <t>Munkáltatói kölcsön</t>
  </si>
  <si>
    <t>Szombathelyi Hospice Alapítvány</t>
  </si>
  <si>
    <t>Közterület felügyelet</t>
  </si>
  <si>
    <t>Egyéb bevételek</t>
  </si>
  <si>
    <t>Közterület foglalás</t>
  </si>
  <si>
    <t>Egyéb feladatok</t>
  </si>
  <si>
    <t>Burkolati jelek festése</t>
  </si>
  <si>
    <t>Posta költség</t>
  </si>
  <si>
    <t>Egyesített Bölcsődei Intézmény</t>
  </si>
  <si>
    <t>Vásárcsarnok</t>
  </si>
  <si>
    <t xml:space="preserve">Pedagógus kituntetések </t>
  </si>
  <si>
    <t>Helyiségek és lakások bérleti díja</t>
  </si>
  <si>
    <t>Földhaszonbérlet</t>
  </si>
  <si>
    <t>Egészség-hét</t>
  </si>
  <si>
    <t>Segély önkormányzati támogatásból</t>
  </si>
  <si>
    <t>Szociális ágazat</t>
  </si>
  <si>
    <t>Kulturális intézmények támogatása</t>
  </si>
  <si>
    <t>Városi kulturális intézmények</t>
  </si>
  <si>
    <t>Weöres Sándor Színház Nonprofit Kft. összesen</t>
  </si>
  <si>
    <t>Városi kulturális intézmények és Weöres S. Színház összesen</t>
  </si>
  <si>
    <t>RENDEZVÉNYEK ÖSSZESEN</t>
  </si>
  <si>
    <t>Egészségügyi civil szervezetek támogatása</t>
  </si>
  <si>
    <t>Óvodák</t>
  </si>
  <si>
    <t>Finanszírozási műveletek</t>
  </si>
  <si>
    <t>Finanszírozási műveletek összesen</t>
  </si>
  <si>
    <t>Felhalmozási célú visszatérítendő támogatások, kölcsönök visszatérülése államháztartáson kívülről</t>
  </si>
  <si>
    <t>Egészségügyi ágazat</t>
  </si>
  <si>
    <t>összesen</t>
  </si>
  <si>
    <t>Pénzeszközátadás</t>
  </si>
  <si>
    <t xml:space="preserve">Kommunális városüzemeltetési és környezetvédelmi kiadások  </t>
  </si>
  <si>
    <t>Közhatalmi bevételek</t>
  </si>
  <si>
    <t>Közterület-felügyelet átjátszó bérleti díj</t>
  </si>
  <si>
    <t>Petz ösztöndíj</t>
  </si>
  <si>
    <t>Önkormányzati konferenciák, rendezvények, fogadások</t>
  </si>
  <si>
    <t>Szolgalmi joggal terhelt épületrész karbantartása</t>
  </si>
  <si>
    <t>mód.ei.</t>
  </si>
  <si>
    <t>teljesítés</t>
  </si>
  <si>
    <t>Teljesítés</t>
  </si>
  <si>
    <t>%-a</t>
  </si>
  <si>
    <t>KÖLTSÉGVETÉSI SZERVEK FELHALMOZÁSI BEVÉTELEI ÖSSZESEN</t>
  </si>
  <si>
    <t>"Szombathely visszavár" ösztöndíjrendszer</t>
  </si>
  <si>
    <t>Működési célú nagyprojektek, projektek</t>
  </si>
  <si>
    <t>Jelzőtáblák (forgalmi rend változás)</t>
  </si>
  <si>
    <t>Kátyúkár - önerő biztosítás</t>
  </si>
  <si>
    <t>Környezetvédelmi kiadások</t>
  </si>
  <si>
    <t>Kommunális és vároüzemeltetési kiadások összesen</t>
  </si>
  <si>
    <t>Városfejlesztési alap</t>
  </si>
  <si>
    <t>ÖNKORMÁNYZATOK MŰKÖDÉSI TÁMOGATÁSAI</t>
  </si>
  <si>
    <t>JÖVEDELEMADÓK</t>
  </si>
  <si>
    <t>VAGYONI TÍPUSÚ ADÓK</t>
  </si>
  <si>
    <t>TERMÉK ÉS SZOLGÁLTATÁSOK ADÓI</t>
  </si>
  <si>
    <t>EGYÉB KÖZHATALMI BEVÉTELEK</t>
  </si>
  <si>
    <t>KÖLTSÉGVETÉSI SZERVEK MŰKÖDÉSI BEVÉTELEI</t>
  </si>
  <si>
    <t xml:space="preserve">Felhalmozási célú önkormányzati támogatások </t>
  </si>
  <si>
    <t>Egyéb felhalmozási célú támogatások bevételei államháztartáson belülről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</si>
  <si>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</si>
  <si>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</si>
  <si>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</si>
  <si>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EGYÉB MŰKÖDÉSI CÉLÚ TÁMOGATÁSOK BEVÉTELEI ÁLLAMHÁZTARTÁSON BELÜLRŐL</t>
  </si>
  <si>
    <t>ELVONÁSOK ÉS BEFIZETÉSEK BEVÉTELEI</t>
  </si>
  <si>
    <t>Kiszámlázott általános forgalmi adó és áfa visszatérítése</t>
  </si>
  <si>
    <t>Kamatbevételek</t>
  </si>
  <si>
    <t>SOS Gyermekfalu Magyarországi Alapítvány támogatása (átmeneti vagy tartós nevelésbe vett gyermekek, fiatal felnőttek gyermekvédelmi szakellátása)</t>
  </si>
  <si>
    <t>Versenyek rendezvények, támogatások</t>
  </si>
  <si>
    <t>Gyöngyöshermán-Szentkirályi Polgári Kör</t>
  </si>
  <si>
    <t>Herényi Kulturális és Sportegyesület</t>
  </si>
  <si>
    <t>Petőfi Telepért Egyesület</t>
  </si>
  <si>
    <t>Könyvvizsgálói költség</t>
  </si>
  <si>
    <t>vagyongazdálkodási kiadások (ingatlan kisajátítás, vásárlás)</t>
  </si>
  <si>
    <t>Szombathelyi Köznevelési GAMESZ</t>
  </si>
  <si>
    <t>Működési célú költségvetési támogatások és kiegészítő támogatások</t>
  </si>
  <si>
    <t>Elszámolásból származó bevételek</t>
  </si>
  <si>
    <t>Felhalmozási célú visszatérítendő támogatások, kölcsönök visszatérülése államháztartáson belülről</t>
  </si>
  <si>
    <t>Folyékony hulladékgyűjtés</t>
  </si>
  <si>
    <t>ISIS Big Band támogatása</t>
  </si>
  <si>
    <t>Office 365 rendszer működtetése</t>
  </si>
  <si>
    <t>Integrált pénzügyi rendszer üzemeltetés az intézményekben</t>
  </si>
  <si>
    <t>Költségvetési szervek beruházásai és felújításai összesen:</t>
  </si>
  <si>
    <t>Önkormányzati bevételekkel fedezett kiadások</t>
  </si>
  <si>
    <t>Szociális hét</t>
  </si>
  <si>
    <t>Önkormányzati bevételekkel fedezett kiadások összesen intézményi kiadások nélkül</t>
  </si>
  <si>
    <t>Szociális intézmény összesen</t>
  </si>
  <si>
    <t>Működési kiadások</t>
  </si>
  <si>
    <t>Egészségügyi intézmény összesen</t>
  </si>
  <si>
    <t>Önkormányzati gyermekvédelmi kiadások összesen</t>
  </si>
  <si>
    <t xml:space="preserve">Áfa visszaigénylés </t>
  </si>
  <si>
    <t>Önkormányzati szociális kiadások összesen</t>
  </si>
  <si>
    <t>Önkormányzati egészségügyi kiadások összesen</t>
  </si>
  <si>
    <t>Gyermekvédelmi intézmény összesen</t>
  </si>
  <si>
    <t>Működési célú támogatások ÁH-on belülről</t>
  </si>
  <si>
    <t>Szent Márton kártya értékesítése</t>
  </si>
  <si>
    <t>Érzékenyítő programok - Helyi esélyegyenlőségi program keretében</t>
  </si>
  <si>
    <t>Szociális önkormányzati kitüntetések</t>
  </si>
  <si>
    <t>Egészségügyi dolgozók kitüntetése</t>
  </si>
  <si>
    <t>Működési célú átvett pénzeszközök</t>
  </si>
  <si>
    <t>Kommunális, városüzemeltetési és környezetvédelmi kiadások</t>
  </si>
  <si>
    <t>Tartalékok össszesen</t>
  </si>
  <si>
    <t xml:space="preserve"> Működési célú bevételek összesen :</t>
  </si>
  <si>
    <t>FELHALMOZÁSI KIADÁSOK</t>
  </si>
  <si>
    <t>Intézményi felhalmozási kiadások</t>
  </si>
  <si>
    <t>Felhalmozási célú támogatások államháztartáson belülről</t>
  </si>
  <si>
    <t>Felhalmozási célú átvett péneszközök</t>
  </si>
  <si>
    <t>Intézményi felhalmozási kiadások össszesen</t>
  </si>
  <si>
    <t>Önkormányzati felhalmozási kiadások össszesen</t>
  </si>
  <si>
    <t xml:space="preserve">Központi költségvetés részére visszafizetési kötelezettség </t>
  </si>
  <si>
    <t>Felhalmozási bevételek</t>
  </si>
  <si>
    <t>Közbeszerzési kiadások</t>
  </si>
  <si>
    <t>Közhasznú információk támogatása</t>
  </si>
  <si>
    <t xml:space="preserve">Közlekedés, útépítés, közvilágítás, hídfelújítás </t>
  </si>
  <si>
    <t>Közművesítés</t>
  </si>
  <si>
    <t>Egyéb beruházások</t>
  </si>
  <si>
    <t>Lakásalap</t>
  </si>
  <si>
    <t>1.</t>
  </si>
  <si>
    <t>3.</t>
  </si>
  <si>
    <t>4.</t>
  </si>
  <si>
    <t>Vagyongazdálkodás</t>
  </si>
  <si>
    <t>5.</t>
  </si>
  <si>
    <t>Pénzeszközátadás összesen:</t>
  </si>
  <si>
    <t>Lakásalap összesen:</t>
  </si>
  <si>
    <t>Vagyongazdálkodás összesen</t>
  </si>
  <si>
    <t>Beruházások</t>
  </si>
  <si>
    <t xml:space="preserve">SZOMBATHELY MEGYEI JOGÚ VÁROS ÖNKORMÁNYZATÁNAK  PÉNZÜGYI  MÉRLEGE        </t>
  </si>
  <si>
    <t>Út-híd fenntartás</t>
  </si>
  <si>
    <t>Közhasznú információk támogatása összesen</t>
  </si>
  <si>
    <t>EGYÉB TÁMOGATÁSOK MINDÖSSZESEN</t>
  </si>
  <si>
    <t>Média</t>
  </si>
  <si>
    <t>MÉDIA MINDÖSSZESEN</t>
  </si>
  <si>
    <t>Rendőrség támogatása</t>
  </si>
  <si>
    <t>Szökőkutak előre nem látható hibaelhárítása</t>
  </si>
  <si>
    <t xml:space="preserve"> Működési célú kiadások összesen :</t>
  </si>
  <si>
    <t>Sport</t>
  </si>
  <si>
    <t>eredeti ei.</t>
  </si>
  <si>
    <t>Foltos bevonat</t>
  </si>
  <si>
    <t>Helyreállítások (teljes pályaszerkezet csere)</t>
  </si>
  <si>
    <t>Hidak, műtárgyak üzemeltetése (lemosása)</t>
  </si>
  <si>
    <t>Járdafenntartás</t>
  </si>
  <si>
    <t>Polgármesteri keret</t>
  </si>
  <si>
    <t xml:space="preserve">Technikai, bevétellel 100%-ig fedezett tételek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</si>
  <si>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</si>
  <si>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</si>
  <si>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</si>
  <si>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</si>
  <si>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Egyéb, más ágazathoz nem sorolható intézmények és feladatok kiadásai</t>
  </si>
  <si>
    <t>MŰKÖDÉSI BEVÉTELEK</t>
  </si>
  <si>
    <t>MŰKÖDÉSI KIADÁSOK</t>
  </si>
  <si>
    <t>Egyéb fejlesztések</t>
  </si>
  <si>
    <t>Egyéb adó és bírságok, pótlékok</t>
  </si>
  <si>
    <t>Szombathelyi Civil Kerekasztal támogatása</t>
  </si>
  <si>
    <t>Víziközmű és szennyvízközmű használati díjbevétel</t>
  </si>
  <si>
    <t>Működési bevételek</t>
  </si>
  <si>
    <t>Közművelődési kiegészítő támogatás - Berzsenyi D. Könyvtár</t>
  </si>
  <si>
    <t>Megyei hatókörű városi múzeumok feladatainak támogatása - Savaria Múzeum feladatainak támogatása</t>
  </si>
  <si>
    <t>Berzsenyi Dániel megyei könyvtár kistelepülési könyvtári célú kiegészítő támogatása</t>
  </si>
  <si>
    <t>Megyeszékhely megyei jogú városok közművelődési feladatainak támogatása</t>
  </si>
  <si>
    <t>Szombathely a segítés városa program</t>
  </si>
  <si>
    <t>Környezetállapot értékelés (talaj, víz, levegő)</t>
  </si>
  <si>
    <t>Egészségügyi és Kulturális intézmények GESZ</t>
  </si>
  <si>
    <t>Általános tartalék</t>
  </si>
  <si>
    <t>Útigénybevételi díj</t>
  </si>
  <si>
    <t>Vásárok bevétele</t>
  </si>
  <si>
    <t>Munkáltatói kölcsön visszatérülése</t>
  </si>
  <si>
    <t>Mesebolt Bábszínház</t>
  </si>
  <si>
    <t>Szombathelyi Szimfónikus Zenekar</t>
  </si>
  <si>
    <t>Önkormányzati napközis tábor megszervezése</t>
  </si>
  <si>
    <t>Tavak haszonbérbe adása</t>
  </si>
  <si>
    <t>SZOVA Zrt. Parkolásgazdálkodásból származó bevétel</t>
  </si>
  <si>
    <t>SZOVA Zrt. Parkolásgazdálkodásból származó ÁFA visszatérülés</t>
  </si>
  <si>
    <t>Vagyongazdálkodásból származó bevétel</t>
  </si>
  <si>
    <t>Mesebolt Bábszínház összesen</t>
  </si>
  <si>
    <t>Támogatás kulturális pályázatokhoz, egyéb szervezetek, társaságok támogatása</t>
  </si>
  <si>
    <t>Nemzetiségi Önkormányzatok támogatása</t>
  </si>
  <si>
    <t xml:space="preserve">Polgárőr szervezetek támogatása </t>
  </si>
  <si>
    <t>Internet alapú városi hálózat</t>
  </si>
  <si>
    <t>Ungaresca Táncegyüttes</t>
  </si>
  <si>
    <t>Önkormányzati felhalmozási kiadások</t>
  </si>
  <si>
    <t>Költségvetési működési bevételek</t>
  </si>
  <si>
    <t>ELAMEN RT, és egyéb  bérleti díjak</t>
  </si>
  <si>
    <t xml:space="preserve">Önkormányzat </t>
  </si>
  <si>
    <t>MŰKÖDÉSI CÉLÚ TÁMOGATÁSOK ÁLLAMHÁZTARTÁSON BELÜLRŐL</t>
  </si>
  <si>
    <t>Egyéb kiadások</t>
  </si>
  <si>
    <t xml:space="preserve">Vagyongazdálkodási kiadások - szakértők igénybevétele, ügyvédi munkadíj, egyéb kiadások </t>
  </si>
  <si>
    <t>Intézményi működési maradvány</t>
  </si>
  <si>
    <t>Szünidei gyermekétkeztetés</t>
  </si>
  <si>
    <t>MŰKÖDÉSI CÉLÚ ÁTVETT PÉNZESZKÖZÖK</t>
  </si>
  <si>
    <t>KÖZHATALMI BEVÉTELEK</t>
  </si>
  <si>
    <t>KÖZHATALMI BEVÉTELEK ÖSSZESEN</t>
  </si>
  <si>
    <t>KÖLTSÉGVETÉSI SZERVEK BEVÉTELEI</t>
  </si>
  <si>
    <t xml:space="preserve">Savaria Múzeum </t>
  </si>
  <si>
    <t xml:space="preserve">Berzsenyi Dániel könyvtár </t>
  </si>
  <si>
    <t>Zárt csapadék csatorna fenntartása</t>
  </si>
  <si>
    <t>MŰKÖDÉSI BEVÉTELEK ÖSSZESEN</t>
  </si>
  <si>
    <t>FELHALMOZÁSI BEVÉTELEK</t>
  </si>
  <si>
    <t>FELHALMOZÁSI BEVÉTELEK ÖSSZESEN</t>
  </si>
  <si>
    <t xml:space="preserve"> MŰKÖDÉSI BEVÉTELEK</t>
  </si>
  <si>
    <t>FELHALMZÁSI CÉLÚ TÁMOGATÁSOK ÁLLAMHÁZTARTÁSON BELÜLRŐL ÖSSZESEN</t>
  </si>
  <si>
    <t>FELHALMOZÁSI CÉLÚ ÁTVETT PÉNZESZKÖZÖK</t>
  </si>
  <si>
    <t>TOP-6.8.2-15 Gazdaság- és fogl.fejl.partnerség a szhelyi járás területén</t>
  </si>
  <si>
    <t>TOP-6.5.2-1-15 Megújuló Szombathely - tiszta energia saját erőből</t>
  </si>
  <si>
    <t>TOP-6.1.3-15 Szombathelyi Vásárcsarnok felújítása</t>
  </si>
  <si>
    <t>Vízközmű- és szennyvízközmű használati díj terhére végzett beruházás</t>
  </si>
  <si>
    <t>FELHALMOZÁSI CÉLÚ TÁMOGATÁSOK ÁLLAMHÁZTARTÁSON BELÜLRŐL</t>
  </si>
  <si>
    <t>Egyéb működési célú bevétel</t>
  </si>
  <si>
    <t>Szombathelyi Egészségügyi és Kulturális Intézmények GESZ</t>
  </si>
  <si>
    <t>Működési célú költségvetési támogatások és kiegészítő támogatások összesen:</t>
  </si>
  <si>
    <t>Elszámolásból származó bevételek összesen</t>
  </si>
  <si>
    <t>a.)</t>
  </si>
  <si>
    <t>b.)</t>
  </si>
  <si>
    <t>Elvonások és befizetések bevételei</t>
  </si>
  <si>
    <t>c.)</t>
  </si>
  <si>
    <t>MŰKÖDÉSI CÉLÚ ÁTVETT PÉNZESZKÖZÖK ÖSSZESEN:</t>
  </si>
  <si>
    <t>KÖLTSÉGVETÉSI SZERVEK MŰKÖDÉSI BEVÉTELEI ÖSSZESEN</t>
  </si>
  <si>
    <t>SNI gyermekek (Óvoda) szakszolgálati ellátása</t>
  </si>
  <si>
    <t xml:space="preserve">Önkormányzati oktatási kiadások összesen </t>
  </si>
  <si>
    <t>Nem önkormányzati kulturális és civil szervezetek támogatása</t>
  </si>
  <si>
    <t xml:space="preserve">Nem önkormányzati kulturális és civil szervezetek támogatása </t>
  </si>
  <si>
    <t xml:space="preserve">Kulturális kitüntetés díja, Év Civil Szervezete díja …. </t>
  </si>
  <si>
    <t>ÖNKORMÁNYZATI KULTURÁLIS KIADÁSOK ÖSSZESEN</t>
  </si>
  <si>
    <t>Szolidaritási adó</t>
  </si>
  <si>
    <t>Modern Városok Program - Gothard kastély fejlesztése</t>
  </si>
  <si>
    <t>Szent Márton Esélyegyenlőségi Támogatási Program</t>
  </si>
  <si>
    <t>Vasi Honvéd Bajtársi Egyesület támogatása</t>
  </si>
  <si>
    <t>Illegális hulladéklerakás</t>
  </si>
  <si>
    <t>Út-híd fenntartási kiadások</t>
  </si>
  <si>
    <t>Központi támogatás elszámolás alapján</t>
  </si>
  <si>
    <t>Kulturális ágazat, média kiadásai</t>
  </si>
  <si>
    <t>Kulturális intézmények működési kiadásai össezesen:</t>
  </si>
  <si>
    <t>I. Helyi önkormányzatok működésének általános támogatása</t>
  </si>
  <si>
    <t>II. Települési önkormányzatok egyes köznevelési feladatainak támogatása</t>
  </si>
  <si>
    <t>Szociális ágazati összevont pótlék</t>
  </si>
  <si>
    <t>Oladi Városrészért Egyesület</t>
  </si>
  <si>
    <t>Hátrányos Helyzetű Roma Fiatalokat Támogató Közhasznú Egyesület támogatása</t>
  </si>
  <si>
    <t>Vas Megyei Tudományos Ismeretterjesztő Egyesület támogatása - közművelődési megállapodás</t>
  </si>
  <si>
    <t>Önkormányzati tulajdonú területek kaszálása</t>
  </si>
  <si>
    <t>Kerékpárút fenntartás</t>
  </si>
  <si>
    <t>Nyilt árok tisztítás, árokrendezés (árvízvédelmi művek, berendezések karbantartása)</t>
  </si>
  <si>
    <t>Intézményi felújítások</t>
  </si>
  <si>
    <t>Kámoni Fiókkönyvtár építése</t>
  </si>
  <si>
    <t>Működési célú maradvány - projektekhez</t>
  </si>
  <si>
    <t xml:space="preserve">Felhalmozási célú maradvány </t>
  </si>
  <si>
    <t>Felhalmozási célú maradvány - projektekhez</t>
  </si>
  <si>
    <t>HÁROFIT Közhasznú Egyesület - közfoglalkoztatás támogatása</t>
  </si>
  <si>
    <t>Egységes ügyiratkezelő szoftver az önkormányzat által működtetett intézményekben</t>
  </si>
  <si>
    <t>SZMJV Diákönkormányzat - rendezvények, programok, támogatások, egyéb kiadások</t>
  </si>
  <si>
    <t>KULTURÁLIS MŰKÖDÉSI CÉLÚ KIADÁSOK ÖSSZESEN</t>
  </si>
  <si>
    <t>Önkormányzati, egyéb más ágazathoz nem sorolható kiadások összesen</t>
  </si>
  <si>
    <t>Savaria Városfejlesztési Nonprofit Kft. támogatása</t>
  </si>
  <si>
    <t>Csaba úti felüljáró fenntartása, karbantartása</t>
  </si>
  <si>
    <t>FELHALMOZÁSI CÉLÚ BEVÉTELEK MINDÖSSZESEN</t>
  </si>
  <si>
    <t>Felhalmozási célú bevételek összesen :</t>
  </si>
  <si>
    <t>Felhalmozási célú kiadások összesen :</t>
  </si>
  <si>
    <t>Kiadások és finanszírozási műveletek összesen</t>
  </si>
  <si>
    <t>Bevételek és finanszírozási műveletek összesen</t>
  </si>
  <si>
    <t>I-XII.hó</t>
  </si>
  <si>
    <t>Óvoda Intézményi karbantartás</t>
  </si>
  <si>
    <t>Polgármester, Alpolgármesterek, Tanácsnokok, választott képviselők és bizottsági tagok juttatásai</t>
  </si>
  <si>
    <t>Kátyúzás</t>
  </si>
  <si>
    <t>Kéményseprő ipari közszolgáltatás ellátásának támogatása</t>
  </si>
  <si>
    <t>MŰKÖDÉSI CÉLÚ TÁMOGATÁSOK ÁLLAMHÁZTARTÁSON BELÜLRŐL ÖSSZESEN (a.)+b.)+c.))</t>
  </si>
  <si>
    <t>Köznevelési GAMESZ</t>
  </si>
  <si>
    <t>OKTATÁSI MŰKÖDÉSI CÉLÚ KIADÁSOK ÖSSZESEN</t>
  </si>
  <si>
    <t>OKTATÁSI FELHALMOZÁSI CÉLÚ KIADÁSOK ÖSSZESEN</t>
  </si>
  <si>
    <t>OKTATÁSI ÁGAZAT KIADÁSAI MINDÖSSZESEN</t>
  </si>
  <si>
    <t>KULTURÁLIS INTÉZMÉNYEK FELHALMOZÁSI KIADÁSAI ÖSSZESEN</t>
  </si>
  <si>
    <t>KULTURÁLIS ÁGAZAT, MÉDAI KIADÁSAI MINDÖSSZESEN</t>
  </si>
  <si>
    <t>SZOCIÁLIS MŰKÖDÉSI CÉLÚ KIADÁSOK ÖSSZESEN</t>
  </si>
  <si>
    <t>SZOCIÁLIS FELHALMOZÁSI CÉLÚ KIADÁSOK ÖSSZESEN</t>
  </si>
  <si>
    <t>SZOCIÁLIS ÁGAZAT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</si>
  <si>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</si>
  <si>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</si>
  <si>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</si>
  <si>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</si>
  <si>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FELHALMOZÁSI CÉLÚ KIADÁSOK ÖSSZESEN</t>
  </si>
  <si>
    <t>GYERMEKVÉDELMI ÁGAZAT KIADÁSAI MINDÖSSZESEN</t>
  </si>
  <si>
    <t>EGYÉB, MÁS ÁGAZATHOZ NEM SOROLHATÓ INTÉZMÉNYEK ÉS FELADATOK MŰKÖDÉSI CÉLÚ KIADÁSAI ÖSSZESEN</t>
  </si>
  <si>
    <t>EGYÉB, MÁS ÁGAZATHOZ NEM SOROLHATÓ INTÉZMÉNYEK ÉS FELADATOK FELHALMOZÁSI CÉLÚ KIADÁSAI ÖSSZESEN</t>
  </si>
  <si>
    <t>EGYÉB, MÁS ÁGAZATHOZ NEM SOROLHATÓ INÉTZMÉNYEK ÉS FELADATOK KIADÁSAI MINDÖSSZESEN</t>
  </si>
  <si>
    <t>Lakás és helységüzemeltetés veszteségpótlás</t>
  </si>
  <si>
    <t>KOMMUNÁLIS, VÁROSÜZEMELTETÉSI ÉS KÖRNYEZETVÉDELMI KIADÁSOK MINDÖSSZESEN</t>
  </si>
  <si>
    <t>ÚT-HÍD FENNTARTÁSI KIADÁSOK MINDÖSSZESEN</t>
  </si>
  <si>
    <t>Herényi temető bővítés, növénytelepítés</t>
  </si>
  <si>
    <t>Komplex akadálymentesítés - Helyi esélyegyenlőségi program keretében</t>
  </si>
  <si>
    <t>Hatósági díjak, egyéb kiadások, szakértői feladatok</t>
  </si>
  <si>
    <t xml:space="preserve">Gyermekvédelmi ágazat </t>
  </si>
  <si>
    <t>Egyéb más ágazathoz nem sorolható intézmények és feladatok</t>
  </si>
  <si>
    <t>Költségvetési szervek működési bevételei</t>
  </si>
  <si>
    <t>Költségvetési szervek felhalmozási bevételei</t>
  </si>
  <si>
    <t>Gyermekvédelmi ágazat</t>
  </si>
  <si>
    <t>Egyéb pénzügyi műveletek bevétele</t>
  </si>
  <si>
    <t>Felhalmozási célú bevételek</t>
  </si>
  <si>
    <t>Vízközmű- és szennyvízközmű használati díj terhére végzett beruházás - fordított áfa</t>
  </si>
  <si>
    <t>Jedlik Ányos Terv - "A" típusú elektromos autótöltő állomások telepítése pályázat (támogatás+önrész)</t>
  </si>
  <si>
    <t>TOP-6.1.4-16-SH1-2017-00001 Képtár turisztikai célú felújítása</t>
  </si>
  <si>
    <t>6.</t>
  </si>
  <si>
    <t xml:space="preserve">7. </t>
  </si>
  <si>
    <t>Egyéb, más ágazathoz nem sorolható intézmények összesen</t>
  </si>
  <si>
    <t>"Szombathely Szent Márton városa"  Gyebrovszki János Alapítvány támogatás</t>
  </si>
  <si>
    <t>Kariatida tanulmányi támogatás rendszerének működtetése - "Szombathely Szent Márton városa" Gyebrovszki János Alapítvány</t>
  </si>
  <si>
    <t>Szombathelyi Egyházmegyei Karitász - Hársfa-ház Pszichiátriai- és Szenvedélybetegek Nappali Ellátója és Átmeneti Otthona, RÉV Szenvedélybeteg-segítő Szolgálat és Közösségi Gondozó</t>
  </si>
  <si>
    <t>Gyermekvédelmi ágazat kiadásai</t>
  </si>
  <si>
    <t>Közösségi Bérlakás Rendszer</t>
  </si>
  <si>
    <t>Egyéb lakásgazdálkodási és szociális kiadások</t>
  </si>
  <si>
    <t>Háziorvosi életpálya modell</t>
  </si>
  <si>
    <t>Bankköltség</t>
  </si>
  <si>
    <t>Bűnmegelőzési és katasztrófavédelmi kiadások</t>
  </si>
  <si>
    <t>ELTE támogatás</t>
  </si>
  <si>
    <t>Szent Márton plasztik kártya készítés</t>
  </si>
  <si>
    <t>Állatvédők Vasi Egyesülete és a Kutyamenhely Alapítvány által közösen működtetett állatmenhely fenntartási költségei, 1 fő alkalmazott bér és járulékainak költsége a Kutyamenhely Alapítvány részére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</si>
  <si>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</si>
  <si>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</si>
  <si>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Elektromos töltőállomás fenntartása (Zeneiskola)</t>
  </si>
  <si>
    <t>Padkarendezés</t>
  </si>
  <si>
    <t>Szegélyek javítása, akadálymentesítés</t>
  </si>
  <si>
    <t>Finanszírozási kiadás - közvilágítás pénzügyi lízing tőke</t>
  </si>
  <si>
    <t>Tartalék - Vásárcsarnok GDPR költség</t>
  </si>
  <si>
    <t>TOP-6.1.5-2019-00002 Ferenczy u. hiányzó szakaszának kiépítése</t>
  </si>
  <si>
    <t>Önkormányzati fenntartású Weöres Sándor Színház közös működtetési támogatása</t>
  </si>
  <si>
    <t>Önkormányzati fenntartású Mesebolt Bábszínház közös működtetési támogatása</t>
  </si>
  <si>
    <t>TOP-6.2.1-19-SH1-2019-00001 Új bölcsőde építése Szombathelyen</t>
  </si>
  <si>
    <t>Köztemetés költségeinek megtérítése más önkormányzatoktól</t>
  </si>
  <si>
    <t>TOP-6.2.1-19-SH1-2019-00001 Új bölcsőde építése Szombathelyen - Hozzájárulás</t>
  </si>
  <si>
    <t xml:space="preserve">TOP-6.2.1-19-SH1-2019-00001 Új bölcsőde építése Szombathelyen </t>
  </si>
  <si>
    <t>Közösségi Bérlakás Rendszer lakbér bevétel</t>
  </si>
  <si>
    <t>Egyéb sportcélú kiadások, támogatások</t>
  </si>
  <si>
    <t>Cserkészház - bérleti díj támogatás - Boldogulás Ösvényein Alapítvány részére</t>
  </si>
  <si>
    <t>Tervezések hatósági díja lejáró engedélyekhez, egyéb díjak</t>
  </si>
  <si>
    <t>Előző évi maradvány terhére teljesíthető működési célú projekt kiadások</t>
  </si>
  <si>
    <t>Parkfenntartás - SZOMPARK Kft.</t>
  </si>
  <si>
    <t xml:space="preserve">Felhalmozási tartalék </t>
  </si>
  <si>
    <t>Felhalmozási tartalék összesen</t>
  </si>
  <si>
    <t>Előző évi maradvány terhére teljesíthető felhalmozási célú projekt kiadások</t>
  </si>
  <si>
    <t>Önkormányzati nagyrendezvények</t>
  </si>
  <si>
    <t>Sport nagyrendezvények</t>
  </si>
  <si>
    <t>ELTE támogatás és gazdaságfejlesztés</t>
  </si>
  <si>
    <t>Önkormányzat egyéb kiadásai (Városüzemeltetési, vagyongazdálkodási
 kiadások)</t>
  </si>
  <si>
    <t>III. Települési önkormányzatok egyes szociális és gyermekjóléti feladatainak támogatás</t>
  </si>
  <si>
    <t>IV. Települési önkormányzatok gyermekétkeztetési feladatainak támogatása</t>
  </si>
  <si>
    <t>V. Települési önkormányzatok kulturális feladatainak támogatása</t>
  </si>
  <si>
    <t>Zeneművészeti szervek támogatása - Savaria Szimfónikus zenekar központi támogatása</t>
  </si>
  <si>
    <t>Óvodai és iskolai szociális segítő tevékenység támogatása</t>
  </si>
  <si>
    <t>Savaria Városfejlesztési Kft. - tagi kölcsön visszatérülése</t>
  </si>
  <si>
    <t>TOP-7.1.1-16-H-ERFA-2020-00780 A Szedreskert szabadtéri közösségi rendezvénytérré fejlesztése</t>
  </si>
  <si>
    <t>TOP-7.1.1-16-H-ERFA-2020-00781 A gyöngyösszőlősi klubház fejlesztése</t>
  </si>
  <si>
    <t>TOP-7.1.1-16-H-ERFA-2020-00792 A Zarkaházi Szily-kastély fejlesztése a gyöngyöshermán-szentkirályi közösség számára</t>
  </si>
  <si>
    <t>TOP-7.1.1-16-H-ERFA-2020-00750 A 11-es Huszár úti lakótelepen lévő közpark közösségi célú fejlesztése - hozzájárulás</t>
  </si>
  <si>
    <t>TOP-7.1.1-16-H-ERFA-2020-00749 Közösségi terek sportfunkciókkal való bővítése - hozzájárulás</t>
  </si>
  <si>
    <t>TOP-7.1.1-16-H-ERFA-2020-00780 A Szedreskert szabadtéri közösségi rendezvénytérré fejlesztése - hozzájárulás</t>
  </si>
  <si>
    <t>TOP-7.1.1-16-H-ERFA-2020-00781 A gyöngyösszőlősi klubház fejlesztése - hozzájárulás</t>
  </si>
  <si>
    <t>TOP-7.1.1-16-H-ERFA-2020-00792 A Zarkaházi Szily-kastély fejlesztése a gyöngyöshermán-szentkirályi közösség számára - hozzájárulás</t>
  </si>
  <si>
    <t>TOP-7.1.1-16-H-ERFA-2020-00783 Játszóterek fejlesztése - hozzájárulás</t>
  </si>
  <si>
    <t>TOP-6.4.1-15 2019-00003 Szombathely-Vép településeket összekötő kerékpárút megépítése</t>
  </si>
  <si>
    <t>TOP-6.4.1-15 2019-00003 Szhely-Vép településeket összekötő kerékpárút megépítése - hozzájárulása</t>
  </si>
  <si>
    <t>TOP-6.4.1-2019-00004 Szombathely és Balogunyom településeket összekötő kerékpárút megépítése</t>
  </si>
  <si>
    <t>TOP-6.4.1-2019-00004 Szhely és Balogunyom településeket összekötő kerékpárút megépítése - hozzájárulás</t>
  </si>
  <si>
    <t>TOP-6.2.1-19-SH1-2019-00001 Új bölcsőde építése Szombathelyen - fordított áfa</t>
  </si>
  <si>
    <t>TOP-6.2.1-19-SH1-2019-00001 Új bölcsőde építése Szombathelyen - Hozzájárulás - fordított áfa</t>
  </si>
  <si>
    <t xml:space="preserve">KISZ Lakótelepért Egyesület </t>
  </si>
  <si>
    <t>Szombathelyi Siker Könyvtár Alapítvány támogatása</t>
  </si>
  <si>
    <t>Savaria Történelmi Karnevál Közhasznú Közalapítvány működési támogatása</t>
  </si>
  <si>
    <t>ÖSSZESEN (I.+II.+III.+IV.+V.)</t>
  </si>
  <si>
    <t>Helyi önkormányzatok kiegészítő támogatásai</t>
  </si>
  <si>
    <t>Megyei hatókörű városi könyvtárak feladatainak támogatása - Berzsenyi Dániel könyvtár feladatainak támogatása</t>
  </si>
  <si>
    <t>Helyi önkormányzatok kiegészítő támogatásai összesen</t>
  </si>
  <si>
    <t>Bursa Hungarica felsőoktatási ösztöndíj</t>
  </si>
  <si>
    <t>TOP-7.1.1-16-H-ERFA-00825 Tószer téri sportpálya közösségi célú fejlesztése - hozzájárulás</t>
  </si>
  <si>
    <t>Részesedések megszűnéséhez kapcsolódó bevétel</t>
  </si>
  <si>
    <t>Vak Bottyán u. 2.sz. alatti ingatlan vásárlás (Brenner villa)</t>
  </si>
  <si>
    <t>Vak Bottyán u. 2.sz. alatti ingatlan vásárlás (Brenner villa) - fordított áfa</t>
  </si>
  <si>
    <t>TOP-7.1.1-16-H-ERFA-2020-00782 Belvárosi közösségi tér fejlesztése</t>
  </si>
  <si>
    <t>TOP-7.1.1-16-H-ERFA-2020-00782 Belvárosi közösségi tér fejlesztése - hozzájárulás</t>
  </si>
  <si>
    <t>Biztosító térítése egyéb kártérítés, kötbér</t>
  </si>
  <si>
    <t>TOP-7.1.1-ESZA-02011 DIGIT-AGORA okos város, okos közösségek</t>
  </si>
  <si>
    <t>Szent Márton Smartcity város és portálrendszer üzemeltetése</t>
  </si>
  <si>
    <t>Klímapolitikai és fenntarthatósági kiadások</t>
  </si>
  <si>
    <t>ITM támogatás - Zanati kerékpárút fejlesztése</t>
  </si>
  <si>
    <t>Ipari park tudományos technológiai parkká minősítés</t>
  </si>
  <si>
    <t>JUSTNature projekt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</si>
  <si>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</si>
  <si>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</si>
  <si>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Szentkirály Gyöngyös patak híd felújítása miatti mentesítő út kialakítása</t>
  </si>
  <si>
    <t>TOP-6.4.1-2019-00004 Szombathely és Balogunyom településeket összekötő kerékpárút megépítése - fordított áfa</t>
  </si>
  <si>
    <t>Könyvtári érdekeltségnövelő támogatás</t>
  </si>
  <si>
    <t>Termőföld bérbeadásából származó jövedelemadó</t>
  </si>
  <si>
    <t>Kéményseprő ipari közszolgáltatási támogatás visszafizetése</t>
  </si>
  <si>
    <t>KÖLTSÉGVETÉSI MŰKÖDÉSI BEVÉTELEK MINDÖSSZESEN</t>
  </si>
  <si>
    <t>Egyéb támogatások, egyéb kiadások</t>
  </si>
  <si>
    <t>Szombathelyi Sportközpont és Sportiskola Nonprofit Kft. támogatása</t>
  </si>
  <si>
    <t>TOP-6.1.5-2019-00002 Ferenczy u. hiányzó szakaszának építése</t>
  </si>
  <si>
    <t>TOP-6.1.5-2019-00002 Ferenczy u. hiányzó szakaszának építése - fordított áfa</t>
  </si>
  <si>
    <t>Tartalék - gyermek és szociális étkeztetés</t>
  </si>
  <si>
    <t>Települési önkormányzatok kulturális feladatainak támogatása</t>
  </si>
  <si>
    <t>Települési önkormányzatok kulturális feladatainak támogatási összesen</t>
  </si>
  <si>
    <t>Hemo épületének bérbeadása</t>
  </si>
  <si>
    <t>Köznevelési feladatellátásra átadott vagyon ellenőrzése</t>
  </si>
  <si>
    <t>Egyéb rendezvények, programok</t>
  </si>
  <si>
    <t>Egyéb rendezvények, programok összesen</t>
  </si>
  <si>
    <t>Egyéb kulturális rendezvények</t>
  </si>
  <si>
    <t>Aktív időskor Szombathelyen program</t>
  </si>
  <si>
    <t>Savaria táncverseny</t>
  </si>
  <si>
    <t>AGORA Savaria Kulturális és Médiaközpont Nonprofit Kft.</t>
  </si>
  <si>
    <t>Vásárcsarnok önkormányzati támogatásból fedezett kiadás</t>
  </si>
  <si>
    <t>Vásárcsarnok saját bevételből fedezett kiadás</t>
  </si>
  <si>
    <t>Vásárcsarnok összesen</t>
  </si>
  <si>
    <t>Nemzetközi kapcsolatok</t>
  </si>
  <si>
    <t>Szombathely 2030 fejlesztési programhoz kapcsolódó kiadások</t>
  </si>
  <si>
    <t>Tüzoltó nap - "Tüzoltás-mentés" Alapítvány támogatása</t>
  </si>
  <si>
    <t>Önkormányzati intézmények fűtéskorszerűsítés - bérleti díj</t>
  </si>
  <si>
    <t>Akadálymentesítési koncepció - szakmérnöki vélemények</t>
  </si>
  <si>
    <t>Citylight hirdetőtáblák karbantartása, javítása</t>
  </si>
  <si>
    <t>Vásárok, rendezvények, karácsonyi díszkivilágítás</t>
  </si>
  <si>
    <t>Állatvédők Vasi Egyesülete működési támogatás</t>
  </si>
  <si>
    <t>Szombathelyi Haladás Labdarúgó és Sportszolgáltató Kft.</t>
  </si>
  <si>
    <t>Nemzetközi Diákjátékok</t>
  </si>
  <si>
    <t>Jégpince utca és a Bartók B. körút körforgalom</t>
  </si>
  <si>
    <t>Körforgalom (Markusovszky u. - Sugár u. - Horváth Boldizsár krt. - Dr. István Lajos krt.) tervezési költsége</t>
  </si>
  <si>
    <t>Analóg térfigyelő kamerák cseréje</t>
  </si>
  <si>
    <t>Továbbszámlázott költségek megtérítése</t>
  </si>
  <si>
    <t>TOP-6.1.5-2019-00002 Ferenczy u. hiányzó szakaszának építése - hozzájárulás</t>
  </si>
  <si>
    <t>Tartalék - iparűzési adóelőleg visszafizetés</t>
  </si>
  <si>
    <t>Tartalék - energia árak növekedése miatt képzett tartalék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</si>
  <si>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</si>
  <si>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</si>
  <si>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</si>
  <si>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iSi Automotive Hungary Kft. támogatása a 3H jelű autóbusz járat működtetéséhez</t>
  </si>
  <si>
    <t>Veszélyhelyzet ideje alatt a szomszédos országban fennálló humanitárius katasztrófára tekintettel érkező személyek elhelyezésének támogatása (központi támogatásból)</t>
  </si>
  <si>
    <t>Önkéntes Stratégia Végrehajtása</t>
  </si>
  <si>
    <t>Fenntarthatósági és Klímapolitikai célok megvalósulása</t>
  </si>
  <si>
    <t>RRF-1.1.2-21-2021-0007 Demográfiai és köznevelési bölcsődei nevelés fejlesztése - Új bölcsőde építése Szombathely Szentkirályi városrészen</t>
  </si>
  <si>
    <t>Szombathelyi Nemzetiségi Nap</t>
  </si>
  <si>
    <t>Bűnmegelőzési és katasztrófavédelmi kiadások; egyéb kiadások, támogatások</t>
  </si>
  <si>
    <t>Településrendezési terv felülvizsgálata</t>
  </si>
  <si>
    <t>Játszótér felújítások</t>
  </si>
  <si>
    <t>Költségvetési itézmények informatikai fejlesztése</t>
  </si>
  <si>
    <t>Projektek - önerő, hozzájárulás, előkészítés</t>
  </si>
  <si>
    <t>Szombathelyi Szabadidősport rendezvények</t>
  </si>
  <si>
    <t>FALCO KC Kft. Támogatása</t>
  </si>
  <si>
    <t>Önkormányzati sport kitüntetések</t>
  </si>
  <si>
    <t>Szombathelyi Pingvinek Jégkorong Klub támogatása</t>
  </si>
  <si>
    <t>ITM támogatás - Zanati kerékpárút fejlesztése - hozzájárulás</t>
  </si>
  <si>
    <t>Csapadékvíz elvezetés (üzemeltetés)</t>
  </si>
  <si>
    <t>Európai Városi Létesítmények (European City Facility) pályázat</t>
  </si>
  <si>
    <t>Savaria Karnevál megrendezése, kulturális rendezvények, fesztiválok megrendezése (Savaria Turizmus Nkft., egyéb kiadások, stb.)</t>
  </si>
  <si>
    <t>Zanati városrész útjainak felújításához (Áfonya u., Eper u., Korpás u., Fenyő u.) pénzeszközátadás és ingatlan kisajátítás kiadása</t>
  </si>
  <si>
    <t>Áfa visszaigénylés - BM támogatott projektekhez kapcsolódóan</t>
  </si>
  <si>
    <t>Szombathelyi Sportközpont és Sportiskola Nonprofit Kft. tagi kölcsön visszatérülés</t>
  </si>
  <si>
    <t>SZOMPARK Kft. tagi kölcsön visszatérülés</t>
  </si>
  <si>
    <t>ITM támogatás - Zanati kerékpárút fejlesztése - hozzájárulás fordított áfa kiadás</t>
  </si>
  <si>
    <t>Északi iparterület - közművesítések finanszírozása, fejlesztések finanszírozása, tanulmányterv készítése</t>
  </si>
  <si>
    <t>Támogatás kulturális pályázatokhoz, egyéb szervezetek, társaságok támogatása összesen</t>
  </si>
  <si>
    <t xml:space="preserve">Savaria Szimfonikus Zenekar </t>
  </si>
  <si>
    <t>Berzsenyi Dániel Könyvtár</t>
  </si>
  <si>
    <t>Egyedi önkormányzati informatikai fejlesztések</t>
  </si>
  <si>
    <t>Egyéb finanszírozási célú bevétel a 2023. évi költségvetési támogatási előleghez</t>
  </si>
  <si>
    <t>VASIVÍZ ZRT. - Uszoda fenntartás - központi támogatásból</t>
  </si>
  <si>
    <t>Hunyadi, Szőlős Szent Gellért körforgalom felújítása</t>
  </si>
  <si>
    <t>TOP-7.1.1-16-H-ERFA-2020-00781 A gyöngyösszőlősi klubház fejlesztése - fordított áfa</t>
  </si>
  <si>
    <t>TOP-7.1.1-16-H-ERFA-2020-00781 A gyöngyösszőlősi klubház fejlesztése - hozzájárulás - fordított áfa</t>
  </si>
  <si>
    <t>TOP-7.1.1-16-H-ERFA-2020-00782 Belvárosi közösségi tér fejlesztése -fordított áfa</t>
  </si>
  <si>
    <t>TOP-7.1.1-16-H-ERFA-2020-00782 Belvárosi közösségi tér fejlesztése - hozzájárulás -fordított áfa</t>
  </si>
  <si>
    <t>Brenner T.krt Körmendi u. körforgalom felújítása</t>
  </si>
  <si>
    <t>Vörösmarty , Szent Márton , Hunyadi csomópont felújítása</t>
  </si>
  <si>
    <t xml:space="preserve">Körforgalom (Markusovszky u. - Sugár u. - Horváth Boldizsár krt. - Dr. István Lajos krt.) </t>
  </si>
  <si>
    <t>2023.évi</t>
  </si>
  <si>
    <t>Kulturális feladatok bérjellegű támogatása</t>
  </si>
  <si>
    <t>10000 lakos feletti önkormányzatok energiaáremelkedés miatti támogatása</t>
  </si>
  <si>
    <t xml:space="preserve">Kormányzati támogatás </t>
  </si>
  <si>
    <t>Energiaköltségek tartalékára</t>
  </si>
  <si>
    <t>2023.évi minimálbér és garantált bérminimum kiadásaira</t>
  </si>
  <si>
    <t>Tagi kölcsön visszatérülése ( önkormányzati cégek energiköltségének átmeneti rendezésére)</t>
  </si>
  <si>
    <t>Tartalék -kulturális bérpótlék év közbeni biztosítására központi támogatásból</t>
  </si>
  <si>
    <t>Tartalék - gyermek és szociális étkeztetés II.félév kormányzati támogatás terhére</t>
  </si>
  <si>
    <t>Fonyódi gyermektábor</t>
  </si>
  <si>
    <t>Savaria Turizmus Nonprofit Kft - támogatása és pályázati önrész</t>
  </si>
  <si>
    <t>Könyvkiadás</t>
  </si>
  <si>
    <t>Mesebolt Bábszínház saját bevételéből fedezett kiadás</t>
  </si>
  <si>
    <r>
      <t xml:space="preserve">Savaria Szimfonikus Zenekar </t>
    </r>
    <r>
      <rPr>
        <b/>
        <i/>
        <sz val="12"/>
        <rFont val="Calibri"/>
        <family val="2"/>
        <charset val="238"/>
      </rPr>
      <t>önkormányzati támogatásból fedezett kiadás</t>
    </r>
  </si>
  <si>
    <r>
      <t xml:space="preserve">Savaria Szimfonikus Zenekar </t>
    </r>
    <r>
      <rPr>
        <i/>
        <sz val="12"/>
        <rFont val="Calibri"/>
        <family val="2"/>
        <charset val="238"/>
      </rPr>
      <t>központi támogatásból fedezett kiadás</t>
    </r>
  </si>
  <si>
    <r>
      <t xml:space="preserve">Savaria Szimfonikus Zenekar </t>
    </r>
    <r>
      <rPr>
        <i/>
        <sz val="12"/>
        <rFont val="Calibri"/>
        <family val="2"/>
        <charset val="238"/>
      </rPr>
      <t>saját bevételéből fedezett kiadás</t>
    </r>
  </si>
  <si>
    <t>Savaria Szimfonikus Zenekar összesen</t>
  </si>
  <si>
    <r>
      <t>Berzsenyi Dániel könyvtár</t>
    </r>
    <r>
      <rPr>
        <b/>
        <sz val="12"/>
        <rFont val="Calibri"/>
        <family val="2"/>
        <charset val="238"/>
      </rPr>
      <t xml:space="preserve"> önkormányzati támogatásból fedezett kiadás</t>
    </r>
  </si>
  <si>
    <t>Berzsenyi Dániel könyvtár központi támogatásból fedezett kiadás</t>
  </si>
  <si>
    <r>
      <t xml:space="preserve">Berzsenyi Dániel könyvtár </t>
    </r>
    <r>
      <rPr>
        <i/>
        <sz val="12"/>
        <rFont val="Calibri"/>
        <family val="2"/>
        <charset val="238"/>
      </rPr>
      <t>saját bevételből fedezett kiadás</t>
    </r>
  </si>
  <si>
    <t>Berzsenyi Dániel Könyvtár összesen</t>
  </si>
  <si>
    <r>
      <t xml:space="preserve">Savaria Múzeum </t>
    </r>
    <r>
      <rPr>
        <b/>
        <i/>
        <sz val="12"/>
        <rFont val="Calibri"/>
        <family val="2"/>
        <charset val="238"/>
      </rPr>
      <t>önkormányzati támogatásból fedezett kiadás</t>
    </r>
  </si>
  <si>
    <r>
      <t xml:space="preserve">Savaria Múzeum </t>
    </r>
    <r>
      <rPr>
        <i/>
        <sz val="12"/>
        <rFont val="Calibri"/>
        <family val="2"/>
        <charset val="238"/>
      </rPr>
      <t>központi támogatásból fedezett kiadás</t>
    </r>
  </si>
  <si>
    <r>
      <t xml:space="preserve">Savaria Múzeum </t>
    </r>
    <r>
      <rPr>
        <i/>
        <sz val="12"/>
        <rFont val="Calibri"/>
        <family val="2"/>
        <charset val="238"/>
      </rPr>
      <t>saját bevételből fedezett kiadás</t>
    </r>
  </si>
  <si>
    <t>Nemzeti Tudósképző Akadémia program</t>
  </si>
  <si>
    <t>Háziorvosok rezsikompenzációja</t>
  </si>
  <si>
    <t>VASIVÍZ ZRt.-Nagy uszoda újranyításhoz szükséges eszközcseréhez támogatás</t>
  </si>
  <si>
    <t>SZOVA, Szompark, AGORA, Turizmus Kft, Sportközpont Kft közös raktározás</t>
  </si>
  <si>
    <t>Tagi kölcsön nyújtása önkormányzati cégek energiköltségének átmeneti rendezésére</t>
  </si>
  <si>
    <t xml:space="preserve">Vasi Tekesportért Alapítvány </t>
  </si>
  <si>
    <t>Csatorna fedél javítások</t>
  </si>
  <si>
    <t>Emlékmű körüli terület rendezése</t>
  </si>
  <si>
    <t>Laktanya terület út építési kötelezettség</t>
  </si>
  <si>
    <t>HÁROFIT Közhasznú Egyesület - Családok húsvéti ajándékozása</t>
  </si>
  <si>
    <t>Stromfeld lakótelepen parkoló építés</t>
  </si>
  <si>
    <t>Egyéb rendezvények</t>
  </si>
  <si>
    <t>Kulturális kiegészítő támogatás</t>
  </si>
  <si>
    <t>TOP Plusz 1.3.1.-00001 Fenntartható városfejlesztés</t>
  </si>
  <si>
    <t>Bérlakás felújítás</t>
  </si>
  <si>
    <t>Hajdú utca burkolat javítás</t>
  </si>
  <si>
    <t>Trafipaxok beszerzése, telepítése</t>
  </si>
  <si>
    <t>Thököly u.19. kerítés bontása és építése</t>
  </si>
  <si>
    <t>TOP-6.1.4-00001 Képtár turisztikai célú felújítása önerő</t>
  </si>
  <si>
    <t>TOP-6.1.4-00001 Képtár turisztikai célú felújítása visszafizetése</t>
  </si>
  <si>
    <t>TOP-6.4.1-15 SZMJV kerékpárosbarát fejlesztése, visszafizetése</t>
  </si>
  <si>
    <t>Vak Bottyán u. 2.sz. alatti ingatlanhoz kapcsolódó perköltség (Brenner villa)</t>
  </si>
  <si>
    <t>Jégpince utca és a Bartók B. körút körforgalom fordíott áfa</t>
  </si>
  <si>
    <t>Körforgalom (Markusovszky u. - Sugár u. - Horváth Boldizsár krt. - Dr. István Lajos krt.) fordított áfa</t>
  </si>
  <si>
    <t>TOP-6.5.2-1-15 Megújuló Szombathely - tiszta energia saját erőből - hozzájárulás</t>
  </si>
  <si>
    <t>Derkovits lakótelepen parkoló kialakítása</t>
  </si>
  <si>
    <t>Digitális Óvoda</t>
  </si>
  <si>
    <t>Egyéb közhatalmi bevételek</t>
  </si>
  <si>
    <t>Szombathelyi Sportközpont és Sportiskola Nonpr.Kft tagi kölcsön kamatbevétel</t>
  </si>
  <si>
    <t>Szhelyi Turisztikai és Testvérvárosi Egyesület támogatása</t>
  </si>
  <si>
    <t>Továbbszámlázandó - Megvalósíthatósági tan.kidolg.-Zöld hidrogénen alapuló ökoszisztémafejl.Szhelyen</t>
  </si>
  <si>
    <t>Szombathelyi Sárkányhajó Fesztivál</t>
  </si>
  <si>
    <t>Fürdő utca burkolat felújítása</t>
  </si>
  <si>
    <t>TOP-6.4.1-15-SH1-2019-00003 Szombathely és Vép településeket összekötő kerékpárút megépítése</t>
  </si>
  <si>
    <t>TOP-6.4.1-15-SH1-2019-00004 Szombathely és Balogunyom településeket összekötő kerékpárút megépítése</t>
  </si>
  <si>
    <t>EIT Urban Mobility TICER pályázat</t>
  </si>
  <si>
    <t>Szombathelyi Református Gyülekezet támogatása</t>
  </si>
  <si>
    <t>Áfa visszaigénylés - Zöld hidrogénen alapuló ökoszisztéma fejlesztése Szhelyen</t>
  </si>
  <si>
    <t>INTERREG Europe OD4GROWTH pályázat</t>
  </si>
  <si>
    <t>Vas Vármegyei Markusovszky Egyetemi Oktatókórház (parkoló bérleti díj támogatás)</t>
  </si>
  <si>
    <t>Erdő és vadgazdálkodási költség</t>
  </si>
  <si>
    <t>Rumi Rajki István utca burkolat felújítására</t>
  </si>
  <si>
    <t>Zöld hidrogénen alapuló ökoszisztéma fejlesztése Szhelyen</t>
  </si>
  <si>
    <t>Markusovszky körforgalom 2 db közútcsatlakozás továbbszámlázása</t>
  </si>
  <si>
    <t>Északi iparterület - közművesítések finanszírozása, fejlesztések finanszírozása, tanulmányterv készítése - fordított áfa</t>
  </si>
  <si>
    <t>JUSTNature projekt - fordított áfa</t>
  </si>
  <si>
    <t>Önkormányzati pavilonok tárolása, felújítása, karbantartása</t>
  </si>
  <si>
    <t>MVP Sárdi éri út támogatás visszautalása</t>
  </si>
  <si>
    <t>Honvédelmi  Minisztérium Uszoda költségeihez</t>
  </si>
  <si>
    <t>Vízmellék u. útfejlesztési hozzájárulás</t>
  </si>
  <si>
    <t>Egyéb finanszírozási célú bevétel a 2024. évi költségvetési támogatási előleghez</t>
  </si>
  <si>
    <t>ÖSSZESEN</t>
  </si>
  <si>
    <t>Utcaművészeti program megrendezéséhez érkezett támogatás</t>
  </si>
  <si>
    <t>Parkolók kialakítása, javítása (Éhen Gyula téri, Szürcsapó u. 6-8. mögötti, Barátság u. 17-19. melletti, Bartók Béla krt. 40. előtti)</t>
  </si>
  <si>
    <t>2024. évi útfelújítási program</t>
  </si>
  <si>
    <t>VASIVÍZ ZRT. - működési támogatás</t>
  </si>
  <si>
    <t>VASIVÍZ ZRT: - elsődleges tevékenység támogatása</t>
  </si>
  <si>
    <t>Vásárok, rendezvények, karácsonyi díszkivilágítás - fordított áfa</t>
  </si>
  <si>
    <t>TOP-7.1.1-16-H-ERFA-2020-00792 A Zarkaházi Szily-kastély fejlesztése a gyöngyöshermán-szentkirályi közösség számára - fordított áfa</t>
  </si>
  <si>
    <t>RRF-1.1.2-21-2021-0007 Demográfiai és köznevelési bölcsődei nevelés fejlesztése - Új bölcsőde építése Szombathely Szentkirályi városrészen - fordított áfa</t>
  </si>
  <si>
    <t>RRF-1.1.2-21-2021-0007 Demográfiai és köznevelési bölcsődei nevelés fejlesztése - Új bölcsőde építése Szombathely Szentkirályi városrészen - hozzájárulás</t>
  </si>
  <si>
    <t>Tartalék - a 2024. évi költségvetéshez</t>
  </si>
  <si>
    <t>TOP-7.1.1-16-H-ERFA-2020-00792 A Zarkaházi Szily-kastély fejlesztése a gyöngyöshermán-szentkirályi közösség számára - hozzájárulás - fordított áfa</t>
  </si>
  <si>
    <t>Kulturális ágazat, média</t>
  </si>
  <si>
    <t>Felhalmozási tartalék</t>
  </si>
  <si>
    <t>Egyéb finanszírozási célú kiadás - 2023. évi költségvetési támogatási előleg</t>
  </si>
  <si>
    <t>Egyéb finanszírozási célú kiadás - 2024. évi költségvetési támogatási előleg</t>
  </si>
  <si>
    <t>INTERREG Europe OD4GROWTH pályázat - hazai támogtása</t>
  </si>
  <si>
    <t>TOP Plusz.1.3.1-00001 Fenntartható városfejlesztés</t>
  </si>
  <si>
    <t>Gyermek és szociális étkeztetés 2023. II. féléves tartalékára</t>
  </si>
  <si>
    <t>Támogatások elszámolása államháztartáson kívülről</t>
  </si>
  <si>
    <t>Adventi vásár díszkivilágítás támogatása</t>
  </si>
  <si>
    <t>Országos tanulmányi versenyeken eredményesen szereplő diákok és tanáraik  jutalmazása</t>
  </si>
  <si>
    <t>Kalandváros óvodai és iskolai csoportok által történő szervezett látogatásának támogatása</t>
  </si>
  <si>
    <t>Zanati Kulturális Egyesület</t>
  </si>
  <si>
    <t>Derkovits Városrészért Egyesület</t>
  </si>
  <si>
    <t>KULTURÁLIS INTÉZMÉNYEK TÁMOGATÁSA ÖSSZESEN</t>
  </si>
  <si>
    <t>KULTURÁLIS ÉS CIVIL ALAP ÖSSZESEN</t>
  </si>
  <si>
    <t>VÁROSI NAGYRENDEZVÉNYEK</t>
  </si>
  <si>
    <t xml:space="preserve">Identitás program </t>
  </si>
  <si>
    <t xml:space="preserve">Mesebolt Bábszínház </t>
  </si>
  <si>
    <t>Fogyatékkal Élőket és Hajléktalanokat Ellátó Nkft. támogatása</t>
  </si>
  <si>
    <t>Fogyatékkal Élőket és Hajléktalanokat Ellátó Nkft. (Tűzifa vásárlás)</t>
  </si>
  <si>
    <t>HÁROFIT Közhasznú Egyesület - Rászoruló családoknak nyútott tanévkezdési támogatás</t>
  </si>
  <si>
    <t>Alpokalja Nagycsaládos Egyesület Szombathely részére támogatás</t>
  </si>
  <si>
    <t>Jelzőlámpák üzemeltetése és cseréje</t>
  </si>
  <si>
    <t>Közvilágítási elemek karbantartása, kiegészítése</t>
  </si>
  <si>
    <t>Közvilágítási elemek karbantartása, kiegészítése - fordított áfa</t>
  </si>
  <si>
    <t xml:space="preserve">Közvilágítás pénügyi lízing - kamat </t>
  </si>
  <si>
    <t>Horvát nemzetiségi nap támogatás</t>
  </si>
  <si>
    <t>Közszolgáltatási szerződés helyi közlekedés</t>
  </si>
  <si>
    <t>Nyugdíjas Bérlők Háza - használatba vételi díj visszafizetése</t>
  </si>
  <si>
    <t>VOLÁNBUSZ Zrt.megállapodás alapján helyközi autóbuszjáratok helyi tarifával történő igénybevétele - Szombathely, Petőfi telep</t>
  </si>
  <si>
    <t>Vas Vármegyei Katasztrófavédelmi Igazgatóság - Tűzoltóság támogatása</t>
  </si>
  <si>
    <t>Gyöngyösszőlősi klubház karbantartási munkálataira támogatás</t>
  </si>
  <si>
    <t>Szombathelyi Parkfenntartási Kft-szunyoggyérítés</t>
  </si>
  <si>
    <t>Térfigyelő kamerarendszer üzemeltetése és  adatátviteli hálózat üzemeltetés</t>
  </si>
  <si>
    <t>INTERREG Europe OD4GROWTH pályázat önerő és támogatás</t>
  </si>
  <si>
    <t>EIT Urban Mobility TICER pályázat önerő és támogatás</t>
  </si>
  <si>
    <t>Szombathelyi Kézilabda Klub és Akadémia támogatása</t>
  </si>
  <si>
    <t>Szombathelyi Szabadidősport Szövetség támogatása - Városi Kispályás Labdarúgó Bajnokság, Városi Tekebajnokság, Nyári lábtenisz bajnokság</t>
  </si>
  <si>
    <t>SPORT ÁGAZAT KIADÁSAI MINDÖSSZESEN</t>
  </si>
  <si>
    <t>KözvilágÍtás díja</t>
  </si>
  <si>
    <t>Települési hulladékkezelés és köztisztasági tevékenység, és hó eltakarítás</t>
  </si>
  <si>
    <t>Víz használati dij</t>
  </si>
  <si>
    <t>Közösségi közlekedés (buszmegállók kialakítása, leszálló szigetek helyreállítása, kialakítás)</t>
  </si>
  <si>
    <t>Nyugdíjas  Bérlők Háza befizetés</t>
  </si>
  <si>
    <t>Thököly u. 19. kerítés bontása és építése</t>
  </si>
  <si>
    <t>Erdei iskola utcai csapadékcsatorna építése</t>
  </si>
  <si>
    <t>BM támogatás - belterületi útfejlesztések, Gyöngyöspatak hídrekonstrukció, vásárcsarnok környékének rekonstrukciója, kapcsolódó parkolók kialakítása, Víztorony és környezetének fejlesztése II.ütem</t>
  </si>
  <si>
    <t>BM támogatás - belterületi útfejlesztések, Gyöngyöspatak hídrekonstrukció, vásárcsarnok környékének rekonstrukciója, kapcsolódó parkolók kialakítása, Víztorony és környezetének fejlesztése II.ütem - fordított áfa kiadás</t>
  </si>
  <si>
    <t>BM támogatás - belterületi útfejlesztések, Gyöngyöspatak hídrekonstrukció, vásárcsarnok környékének rekonstrukciója, kapcsolódó parkolók kialakítása, Víztorony és környezetének fejlesztése II.ütem - hozzájárulás</t>
  </si>
  <si>
    <t>BM támogatás - belterületi útfejlesztések, Gyöngyöspatak hídrekonstrukció, vásárcsarnok környékének rekonstrukciója, kapcsolódó parkolók kialakítása, Víztorony és környezetének fejlesztése II.ütem - hozzájárulás fordított áfa kiadása</t>
  </si>
  <si>
    <t xml:space="preserve">Ernuszt kripta felújításához felmérés és értékleltár készítés </t>
  </si>
  <si>
    <t>Évközi tervezések, útfelújítás tervezések, egyéb tervezések</t>
  </si>
  <si>
    <t>MVP Sárdi ér út támogatás visszafizetése</t>
  </si>
  <si>
    <t>MVP ügyleti kamatfizetési kötelezettség</t>
  </si>
  <si>
    <t>TOP-6.6.1 Új Egészségügyi Alapellátó Központ visszafizetése</t>
  </si>
  <si>
    <t>ÖNKORMÁNYZATI FELHALMOZÁSI KIADÁSOK MINDÖSSZESEN</t>
  </si>
  <si>
    <t>Víznyelők tisztítása</t>
  </si>
  <si>
    <t>Szombathely Megyei Jogú Város Önkormányzata</t>
  </si>
  <si>
    <t>BEVÉTELEK</t>
  </si>
  <si>
    <t xml:space="preserve">Költségvetési </t>
  </si>
  <si>
    <t>Önkormányzat</t>
  </si>
  <si>
    <t>Mindösszesen</t>
  </si>
  <si>
    <t>KIADÁSOK</t>
  </si>
  <si>
    <t>szervek bevételei</t>
  </si>
  <si>
    <t>bevételei</t>
  </si>
  <si>
    <t>bevételek</t>
  </si>
  <si>
    <t>szervek kiadásai</t>
  </si>
  <si>
    <t>kiadásai</t>
  </si>
  <si>
    <t>kiadások</t>
  </si>
  <si>
    <t xml:space="preserve">KÖLTSÉGVETÉSI BEVÉTELEK </t>
  </si>
  <si>
    <t>KÖLTSÉGVETÉSI KIADÁSOK</t>
  </si>
  <si>
    <t>B1</t>
  </si>
  <si>
    <t>Működési célú támogatások államháztartáson belülről</t>
  </si>
  <si>
    <t>K1</t>
  </si>
  <si>
    <t>Személyi juttatások</t>
  </si>
  <si>
    <t>B3</t>
  </si>
  <si>
    <t>K2</t>
  </si>
  <si>
    <t>Munkaadókat terhelő járulékok és szociális hozzájárulási adó</t>
  </si>
  <si>
    <t>B4</t>
  </si>
  <si>
    <t>Működési bevétel</t>
  </si>
  <si>
    <t>K3</t>
  </si>
  <si>
    <t>Dologi kiadások</t>
  </si>
  <si>
    <t>B6</t>
  </si>
  <si>
    <t>K4</t>
  </si>
  <si>
    <t>Ellátottak pénzbeli juttatásai</t>
  </si>
  <si>
    <t>K5</t>
  </si>
  <si>
    <t>Egyéb működési célú kiadások</t>
  </si>
  <si>
    <t>Működési bevételek összesen</t>
  </si>
  <si>
    <t>Működési kiadások összesen</t>
  </si>
  <si>
    <t>*</t>
  </si>
  <si>
    <t>B2</t>
  </si>
  <si>
    <t>K6</t>
  </si>
  <si>
    <t>B5</t>
  </si>
  <si>
    <t>K7</t>
  </si>
  <si>
    <t>Felújítások</t>
  </si>
  <si>
    <t>B7</t>
  </si>
  <si>
    <t>Felhalmozási célú átvett pénzeszközök</t>
  </si>
  <si>
    <t>K8</t>
  </si>
  <si>
    <t>Egyéb felhalmozási célú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</si>
  <si>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</si>
  <si>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</si>
  <si>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</si>
  <si>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</si>
  <si>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B8</t>
  </si>
  <si>
    <t>Finanszírozási bevételek</t>
  </si>
  <si>
    <t>K9</t>
  </si>
  <si>
    <t>Finanszírozási kiadások</t>
  </si>
  <si>
    <t>MINDÖSSZESEN BEVÉTELEK</t>
  </si>
  <si>
    <t>MINDÖSSZESEN KIADÁSOK</t>
  </si>
  <si>
    <r>
      <rPr>
        <sz val="18"/>
        <color theme="1"/>
        <rFont val="Arial CE"/>
        <charset val="238"/>
      </rPr>
      <t>*</t>
    </r>
    <r>
      <rPr>
        <sz val="12"/>
        <color theme="1"/>
        <rFont val="Arial CE"/>
        <family val="2"/>
        <charset val="238"/>
      </rPr>
      <t xml:space="preserve"> Az Európai Uniós fejlesztési projektek bevételi és kiadási számviteli elszámolása a  könyvekben működési és felhalmozási főkönyvi bontásban szerepel mind kiadási mind bevételi oldalon az 1. melléklet szerint. Annak érdekében, hogy a projektek teljes körű költségvetése áttekinthető, átlátható legyen, a rendelet többi mellékleteiben a működési és felhalmozási tételek nem kerültek szétbontásra. Ez magyarázza az eltérést a 2. melléklethez képest.</t>
    </r>
  </si>
  <si>
    <t>Nyitó pénzkészlet</t>
  </si>
  <si>
    <t>+ Bevételek 1.sz.melléklet szerinti összege</t>
  </si>
  <si>
    <t>+-Sajátos elszámolások</t>
  </si>
  <si>
    <t>- Kiadások 1.sz.melléklet szerinti összege</t>
  </si>
  <si>
    <t>Záró pénzkészlet</t>
  </si>
  <si>
    <t>Ebből</t>
  </si>
  <si>
    <t xml:space="preserve">   - intézmények</t>
  </si>
  <si>
    <t xml:space="preserve">   - önkormányzat</t>
  </si>
  <si>
    <t>TÁJÉKOZTATÓ</t>
  </si>
  <si>
    <t>Sorszám</t>
  </si>
  <si>
    <t>Összesen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</si>
  <si>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</si>
  <si>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</si>
  <si>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 mentesség
összege adónemenként</t>
  </si>
  <si>
    <t xml:space="preserve">  - építményadó elengedés méltányosságból</t>
  </si>
  <si>
    <t xml:space="preserve">  - gépjárműadó elengedés méltányosságból</t>
  </si>
  <si>
    <t xml:space="preserve">  - talajterhelési díj elengedés méltányosságból</t>
  </si>
  <si>
    <t xml:space="preserve">  - helyi iparűzési adómentesség</t>
  </si>
  <si>
    <t xml:space="preserve">  - helyi iparűzési adó elengedés méltányosságból</t>
  </si>
  <si>
    <t>helyiségek eszközök hasznosításából származó bevételből nyújott
kedvezmény, mentesség összeg</t>
  </si>
  <si>
    <t>egyéb nyújtott kedvezmény vagy kölcsön elengedésének összege:</t>
  </si>
  <si>
    <t>Mindösszen</t>
  </si>
  <si>
    <t>SZÖVEGES INDOKLÁS</t>
  </si>
  <si>
    <t>3. SZMJV Önkormányzatának helyi adókról szóló rendelete alapján adott mentességek és kedvezmények.</t>
  </si>
  <si>
    <t>5. Közterülethasználati díj mentesség az Önkormányzat rendelete alapján.</t>
  </si>
  <si>
    <t>Kimutatás az Európai Unios támogatással megvalósuló projektek</t>
  </si>
  <si>
    <t>Működés</t>
  </si>
  <si>
    <t>Fejlesztés</t>
  </si>
  <si>
    <t>BEVÉTELEK ÖSSZESEN</t>
  </si>
  <si>
    <t>Egyéb más ágazathoz nem sorolható intézmények és feladatok kiadásai</t>
  </si>
  <si>
    <t>KIADÁSOK ÖSSZESEN</t>
  </si>
  <si>
    <r>
      <t>következő évekre áthúzódó hatásairól</t>
    </r>
    <r>
      <rPr>
        <b/>
        <sz val="14"/>
        <color rgb="FFFF0000"/>
        <rFont val="Calibri"/>
        <family val="2"/>
        <charset val="238"/>
      </rPr>
      <t xml:space="preserve"> </t>
    </r>
  </si>
  <si>
    <t>2022.</t>
  </si>
  <si>
    <t>2023.</t>
  </si>
  <si>
    <t>2024.</t>
  </si>
  <si>
    <t>2025.</t>
  </si>
  <si>
    <t>Vagyongazdálkodási kiadások (ingatlan kisajátítás, vásárlás)</t>
  </si>
  <si>
    <t>Beruházások Összesen:</t>
  </si>
  <si>
    <t>Projektek - önerő, hozzájárulás</t>
  </si>
  <si>
    <t>Szöveges indoklás:</t>
  </si>
  <si>
    <t xml:space="preserve">A többéves kihatással járó költségvetési tételek egyrészt Szombathely Megyei Jogú Város közgyűlésének </t>
  </si>
  <si>
    <t xml:space="preserve"> 2023.évi költségvetési rendelettervezetében meghatározott feladatok, illetve korábbi</t>
  </si>
  <si>
    <t>közgyűlési döntések alapján kerültek beépítésre.</t>
  </si>
  <si>
    <t>ESZKÖZÖK</t>
  </si>
  <si>
    <t xml:space="preserve">2022. </t>
  </si>
  <si>
    <t>zárómérleg</t>
  </si>
  <si>
    <t>2022.12.31</t>
  </si>
  <si>
    <t>Vagyoni értékű jogok</t>
  </si>
  <si>
    <t>intézmények</t>
  </si>
  <si>
    <t>önkormányzat</t>
  </si>
  <si>
    <t>A/I/1.</t>
  </si>
  <si>
    <t>együtt</t>
  </si>
  <si>
    <t>Szellemi termékek</t>
  </si>
  <si>
    <t>A/I/2.</t>
  </si>
  <si>
    <t>Immateriális javak össz.</t>
  </si>
  <si>
    <t>A/I.</t>
  </si>
  <si>
    <t>Immateriális javak összesen</t>
  </si>
  <si>
    <t>Ingatlanok és kapcsolódó vagyoni értékű jogok</t>
  </si>
  <si>
    <t>A/II/1.</t>
  </si>
  <si>
    <t>Ingatlanok</t>
  </si>
  <si>
    <t>Gépek, berendezések, felszerelések, járművek</t>
  </si>
  <si>
    <t>A/II/2</t>
  </si>
  <si>
    <t>Tenyészállatok</t>
  </si>
  <si>
    <t>A/II/3.</t>
  </si>
  <si>
    <t>Beruházások, felújítások</t>
  </si>
  <si>
    <t>A/II/4</t>
  </si>
  <si>
    <t>Tárgyi eszközök össz.</t>
  </si>
  <si>
    <t>A/II.</t>
  </si>
  <si>
    <t>Tartós részesedések</t>
  </si>
  <si>
    <t>A/III/1</t>
  </si>
  <si>
    <t xml:space="preserve">Tartós részesedések </t>
  </si>
  <si>
    <t>Tartós hitelviszonyt megtestesítő értékpapírok</t>
  </si>
  <si>
    <t>A/III/2.</t>
  </si>
  <si>
    <t>Befektetett pénzügyi eszk.összesen</t>
  </si>
  <si>
    <t>A/III.</t>
  </si>
  <si>
    <t>Koncesszióban, Vagyonkezelésbe adott eszközök</t>
  </si>
  <si>
    <t xml:space="preserve">A/IV. </t>
  </si>
  <si>
    <t>Koncesszióba, vagyonkezelésbe adott eszközök összesen</t>
  </si>
  <si>
    <t>Nemzeti Vagyonba tartozó Befektetett Eszközök összesen</t>
  </si>
  <si>
    <t>A.</t>
  </si>
  <si>
    <t>Készletek</t>
  </si>
  <si>
    <t>B/I.</t>
  </si>
  <si>
    <t>Értékpapírok</t>
  </si>
  <si>
    <t>B/II.</t>
  </si>
  <si>
    <t xml:space="preserve">Értékpapírok </t>
  </si>
  <si>
    <t>Nemzeti Vagyonba tartozó Forgóeszközök</t>
  </si>
  <si>
    <t>B</t>
  </si>
  <si>
    <t>Nemzeti Vagyonba Tartozó Forgóeszközök összesen</t>
  </si>
  <si>
    <t>Lekötött bankbetétek</t>
  </si>
  <si>
    <t>C/I.</t>
  </si>
  <si>
    <t>Pénztárak, csekkek, betétkönyvek</t>
  </si>
  <si>
    <t>C/II.</t>
  </si>
  <si>
    <t>Forintszámlák</t>
  </si>
  <si>
    <t>C/III.</t>
  </si>
  <si>
    <t>Devizaszámlák</t>
  </si>
  <si>
    <t>C/IV.</t>
  </si>
  <si>
    <t>Pénzeszközök összesen</t>
  </si>
  <si>
    <t>C</t>
  </si>
  <si>
    <t>Költségvetési évben esedékes követelések</t>
  </si>
  <si>
    <t>D/I.</t>
  </si>
  <si>
    <t>Költségvetési évet követően esedékes követelések</t>
  </si>
  <si>
    <t>D/II.</t>
  </si>
  <si>
    <t>Követelés jellegű sajátos elszámolások</t>
  </si>
  <si>
    <t>D/III.</t>
  </si>
  <si>
    <t>Követelések összesen</t>
  </si>
  <si>
    <t>D</t>
  </si>
  <si>
    <t>Egyéb sajátos elszámolások</t>
  </si>
  <si>
    <t>E</t>
  </si>
  <si>
    <t>Eredményszemléletű bevételek aktív időbeli</t>
  </si>
  <si>
    <t>elhatárolása</t>
  </si>
  <si>
    <t>F/1.</t>
  </si>
  <si>
    <t>Eredményszemléletű bevételek aktív időbeli elhatárolása</t>
  </si>
  <si>
    <t>Költségek, ráfordítások aktív időbeli elhatárolása</t>
  </si>
  <si>
    <t>F/2.</t>
  </si>
  <si>
    <t>Halasztott ráfordítások</t>
  </si>
  <si>
    <t>F/3.</t>
  </si>
  <si>
    <t>Aktív időbeli elhatárolások összesen</t>
  </si>
  <si>
    <t>F</t>
  </si>
  <si>
    <t>ESZKÖZÖK ÖSSZESEN</t>
  </si>
  <si>
    <t>FORRÁSOK</t>
  </si>
  <si>
    <t>Nemzeti vagyon induláskori értéke</t>
  </si>
  <si>
    <t>G/I.</t>
  </si>
  <si>
    <t>Nemzeti vagyon változásai</t>
  </si>
  <si>
    <t>G/II.</t>
  </si>
  <si>
    <t>Egyéb eszközök induláskori értéke és változásai</t>
  </si>
  <si>
    <t>G/III.</t>
  </si>
  <si>
    <t>Felhalmozott eredmény</t>
  </si>
  <si>
    <t>G/IV.</t>
  </si>
  <si>
    <t>Eszközök értékhelyesbítésének forrása</t>
  </si>
  <si>
    <t>G/V.</t>
  </si>
  <si>
    <t>Mérleg szerinti eredmény</t>
  </si>
  <si>
    <t>G/VI.</t>
  </si>
  <si>
    <t>Saját tőke összesen</t>
  </si>
  <si>
    <t>G</t>
  </si>
  <si>
    <t>Saját Tőke összesen</t>
  </si>
  <si>
    <t>Költségvetési évben esedékes kötelezettségek</t>
  </si>
  <si>
    <t>H/I.</t>
  </si>
  <si>
    <t>Költségvetési évet követően esedékes kötelezettségek</t>
  </si>
  <si>
    <t>H/II.</t>
  </si>
  <si>
    <t>Kötelezettség jellegű sajátos elszámolások</t>
  </si>
  <si>
    <t>H/III.</t>
  </si>
  <si>
    <t>Kötelezettségek összesen</t>
  </si>
  <si>
    <t>H</t>
  </si>
  <si>
    <t>Kincstári számlavezetéssel kapcsolatos elszámolások</t>
  </si>
  <si>
    <t>I</t>
  </si>
  <si>
    <t>Eredményszemléletű bevételek passzív időbeli elhatárilása</t>
  </si>
  <si>
    <t>J/1.</t>
  </si>
  <si>
    <t>Eredményszemléletű bevételek passzív időbeli elhatárolása</t>
  </si>
  <si>
    <t>Költségek, ráfordítások passzív időbeli elhatárolása</t>
  </si>
  <si>
    <t>J/2.</t>
  </si>
  <si>
    <t>Halasztott eredményszemléletű bevételek</t>
  </si>
  <si>
    <t>J/3.</t>
  </si>
  <si>
    <t>Passzív időbeli elhatárolások összesen</t>
  </si>
  <si>
    <t>J</t>
  </si>
  <si>
    <t>FORRÁSOK ÖSSZESEN</t>
  </si>
  <si>
    <t xml:space="preserve">                 Az 1993. évi LXXVIII. tv. 62. §. 1 bek. szerint az önkormányzat az állam tulajdonából </t>
  </si>
  <si>
    <t xml:space="preserve">                 az önkormányzat tulajdonába került lakóépületeinek elidegenítéséből származó 1994.</t>
  </si>
  <si>
    <t xml:space="preserve">                 március 31. napját követően befolyó - kiadásokkal csökkentett - bevételeit elkülönített</t>
  </si>
  <si>
    <t xml:space="preserve">                 számlán köteles kezelni.</t>
  </si>
  <si>
    <t>Bevételek</t>
  </si>
  <si>
    <t>e Ft-ban</t>
  </si>
  <si>
    <t xml:space="preserve">Kiadások </t>
  </si>
  <si>
    <t>eFt-ban</t>
  </si>
  <si>
    <t>Egyenleg eFt-ban</t>
  </si>
  <si>
    <t>1994.</t>
  </si>
  <si>
    <t xml:space="preserve">  bérlakás értékesítés</t>
  </si>
  <si>
    <t xml:space="preserve"> lakásmobilitás, érték. stb.</t>
  </si>
  <si>
    <t>Tetőtér beépítés</t>
  </si>
  <si>
    <t xml:space="preserve">Bérlakás építés </t>
  </si>
  <si>
    <t>Zanat lakások közmű</t>
  </si>
  <si>
    <t>Kámon lakások közmű</t>
  </si>
  <si>
    <t>Huszár u. lakások közmű</t>
  </si>
  <si>
    <t>1995.</t>
  </si>
  <si>
    <t xml:space="preserve"> bérlakás értékesítés</t>
  </si>
  <si>
    <t>Lakáselidegenités</t>
  </si>
  <si>
    <t>Privatizációs költségek</t>
  </si>
  <si>
    <t>Oladi  lakások (L7 II.ütem)  közmű</t>
  </si>
  <si>
    <t>Kámon lakások (IV. ütem)  közmű</t>
  </si>
  <si>
    <t>Ingatlanbecslés, szakértői díj</t>
  </si>
  <si>
    <t>Lakóház kisajátitás</t>
  </si>
  <si>
    <t>Szalézi tér, Malom u. lakástervezés</t>
  </si>
  <si>
    <t>Lakóterületi vizhólózat bővités</t>
  </si>
  <si>
    <t xml:space="preserve">                     energia ellátás</t>
  </si>
  <si>
    <t>Szolgálati lakások kiváltása</t>
  </si>
  <si>
    <t>Lakásvásárlás önk. lakásnak</t>
  </si>
  <si>
    <t>Bérleti jog visszavásárlása.</t>
  </si>
  <si>
    <t>Bérlőkijelölési jogról lemondás</t>
  </si>
  <si>
    <t>Lakásvásárlással kapcs. bonyolitási dijak</t>
  </si>
  <si>
    <t>Lakóház felújitás, középmagas házak tűzvéd.</t>
  </si>
  <si>
    <t>1996.</t>
  </si>
  <si>
    <t xml:space="preserve">  bérlakás értékesítés összesen</t>
  </si>
  <si>
    <t>Lakás helyiség elidegenités</t>
  </si>
  <si>
    <t xml:space="preserve">   ebből kárpótlási jeggyel vás.</t>
  </si>
  <si>
    <t>Ingatlanbecslés</t>
  </si>
  <si>
    <t>Lakóházfelújitási alapképzés</t>
  </si>
  <si>
    <t>Lakóházfelújités (Petőfi S. u.)</t>
  </si>
  <si>
    <t>Szalézi téri kisajátitás, épités</t>
  </si>
  <si>
    <t>Lakásép. közmű</t>
  </si>
  <si>
    <t>Bérleti jog visszaváltása</t>
  </si>
  <si>
    <t>Emelt szintű nyugdijas ház</t>
  </si>
  <si>
    <t>Alacsony  fok. szoc. lakások</t>
  </si>
  <si>
    <t>1997.</t>
  </si>
  <si>
    <t>Szalézi téri lakásépítés</t>
  </si>
  <si>
    <t>Petőfi S. u. 31. felújítás tervezés.</t>
  </si>
  <si>
    <t xml:space="preserve">Bérleti jog visszavásárlás, önkorm. lakásvás. </t>
  </si>
  <si>
    <t>Emelt szintű nyugdíjas otthon</t>
  </si>
  <si>
    <t>Kényszerbérlet</t>
  </si>
  <si>
    <t>Bogát lakástervezés</t>
  </si>
  <si>
    <t>lakásprivatizáció</t>
  </si>
  <si>
    <t>Lakás- közműellátás</t>
  </si>
  <si>
    <t>Alacsony komfort. szoc.lakás építés</t>
  </si>
  <si>
    <t>1998.</t>
  </si>
  <si>
    <t>Szalézi tér lapkásépítés</t>
  </si>
  <si>
    <t>Huszár úti lakások felújítása</t>
  </si>
  <si>
    <t>Fejleszthető komfortfokozatő lakások</t>
  </si>
  <si>
    <t>Lakásprivatizáció költségei</t>
  </si>
  <si>
    <t>Körmenti u. lakásépítés</t>
  </si>
  <si>
    <t>Lakáshozjutás támogatása</t>
  </si>
  <si>
    <t>1999.</t>
  </si>
  <si>
    <t>Bérlakás értékesítés bevétele</t>
  </si>
  <si>
    <t>Lakáskölcsön törlesztés</t>
  </si>
  <si>
    <t>Szolgálati lakások kedvezménye</t>
  </si>
  <si>
    <t>Lakásfelújítás, lakásprivatizáció</t>
  </si>
  <si>
    <t>2000.</t>
  </si>
  <si>
    <t>Lakáskölcsön törlesztések kezelési költségei</t>
  </si>
  <si>
    <t>2001.</t>
  </si>
  <si>
    <t>Bérleti jog visszavásárlás</t>
  </si>
  <si>
    <t>Bérlakásépítés, vásárlás</t>
  </si>
  <si>
    <t>Lakásprivatizáció</t>
  </si>
  <si>
    <t>2002.</t>
  </si>
  <si>
    <t>Bérlakásépítés, vásárlás(állami támogatás nélkül)</t>
  </si>
  <si>
    <t>2003.</t>
  </si>
  <si>
    <t>2004.</t>
  </si>
  <si>
    <t>Bérlakás vásárlás (állami támogatás nélkül)</t>
  </si>
  <si>
    <t>Szociális bérlakás vásárlás önk-i forrásból</t>
  </si>
  <si>
    <t>Ip.techn.épült lakások és therm.kémények fú.</t>
  </si>
  <si>
    <t>2005.</t>
  </si>
  <si>
    <t>Szt.Márton u.bérlakás ép. (állami támogatás nélkül)</t>
  </si>
  <si>
    <t>Szolgálati lakások kedvezménye,egyéb</t>
  </si>
  <si>
    <t>2006.</t>
  </si>
  <si>
    <t>2007.</t>
  </si>
  <si>
    <t>2008.</t>
  </si>
  <si>
    <t>lakásvásárlás és bérleti jog lemondás</t>
  </si>
  <si>
    <t>nem önkormányzati tul-ban lévő lakásban lakók 
lakbértámogatás</t>
  </si>
  <si>
    <t>2009.</t>
  </si>
  <si>
    <t>2010.</t>
  </si>
  <si>
    <t>2011.</t>
  </si>
  <si>
    <t>Önkormányzati bérlakás felújítások</t>
  </si>
  <si>
    <t>Lakásbérleti díj támogatás</t>
  </si>
  <si>
    <t>2012.</t>
  </si>
  <si>
    <t>Panel program - 2009. évi</t>
  </si>
  <si>
    <t>2013.</t>
  </si>
  <si>
    <t>2014.</t>
  </si>
  <si>
    <t>Önkormányzati bérlakások felújítása</t>
  </si>
  <si>
    <t>Társasház felújításának támogatása</t>
  </si>
  <si>
    <t>2015.</t>
  </si>
  <si>
    <t>2016.</t>
  </si>
  <si>
    <t>2017.</t>
  </si>
  <si>
    <t>2018.</t>
  </si>
  <si>
    <t>2019.</t>
  </si>
  <si>
    <t>2020.</t>
  </si>
  <si>
    <t>2021.</t>
  </si>
  <si>
    <t>Tájékoztató</t>
  </si>
  <si>
    <t xml:space="preserve"> Éves kiadás</t>
  </si>
  <si>
    <t>Megoszlás%-a</t>
  </si>
  <si>
    <t>Egyéb pénzbeli és természetbeni gyermekvédelmi támogatások</t>
  </si>
  <si>
    <t>Családi támogatások összesen:</t>
  </si>
  <si>
    <t>Adósságcsökkentési támogatás [Szoctv. 55/A. § 1. bek. b) pont]</t>
  </si>
  <si>
    <t>Lakhatással kapcsolatos ellátások összesen:</t>
  </si>
  <si>
    <t>Köztemetés (Szoctv. 48.§)</t>
  </si>
  <si>
    <t>Települési támogatás (Szoctv. 45.§)</t>
  </si>
  <si>
    <t>7.</t>
  </si>
  <si>
    <t xml:space="preserve"> Önkormányzat által saját hatáskörben (nem szociális és gyermekvédelmi előírások alapján) adott más ellátás</t>
  </si>
  <si>
    <t>8.</t>
  </si>
  <si>
    <t>Egyéb nem intézményi ellátások</t>
  </si>
  <si>
    <t>9.</t>
  </si>
  <si>
    <t>Kifizetés mindösszesen:</t>
  </si>
  <si>
    <t>Ingatlan-</t>
  </si>
  <si>
    <t>mennyiség</t>
  </si>
  <si>
    <t>érték</t>
  </si>
  <si>
    <t>ingatlanszám</t>
  </si>
  <si>
    <t>földrészlet</t>
  </si>
  <si>
    <t>könyv szerinti</t>
  </si>
  <si>
    <t>becslés szerinti</t>
  </si>
  <si>
    <t>bruttó</t>
  </si>
  <si>
    <t>darab</t>
  </si>
  <si>
    <t>ha</t>
  </si>
  <si>
    <t>m2</t>
  </si>
  <si>
    <t>db</t>
  </si>
  <si>
    <t>e Ft</t>
  </si>
  <si>
    <t>a</t>
  </si>
  <si>
    <t>b</t>
  </si>
  <si>
    <t>c</t>
  </si>
  <si>
    <t>d</t>
  </si>
  <si>
    <t xml:space="preserve">e </t>
  </si>
  <si>
    <t>f</t>
  </si>
  <si>
    <t>g</t>
  </si>
  <si>
    <t>01</t>
  </si>
  <si>
    <t>Rendezett összes ingatlan</t>
  </si>
  <si>
    <t>02</t>
  </si>
  <si>
    <t>Rendezetlen, tulajdonba került ingatlanok</t>
  </si>
  <si>
    <t>03</t>
  </si>
  <si>
    <t>Rendezelten tulajdonból kikerült ingatlanok</t>
  </si>
  <si>
    <t>04</t>
  </si>
  <si>
    <t>Helyrajzi számmal nem rendelkező ingatlanok</t>
  </si>
  <si>
    <t>05</t>
  </si>
  <si>
    <t>Állomány összesen (01+02+04)sorok</t>
  </si>
  <si>
    <t>06</t>
  </si>
  <si>
    <t>16. számlacsoportban nyilvántartott ingatlanok</t>
  </si>
  <si>
    <t>07</t>
  </si>
  <si>
    <t>05. sorból külföldi ingatlan</t>
  </si>
  <si>
    <t>08</t>
  </si>
  <si>
    <t>05.</t>
  </si>
  <si>
    <t>belterület</t>
  </si>
  <si>
    <t>09</t>
  </si>
  <si>
    <t>sorból</t>
  </si>
  <si>
    <t>külterület</t>
  </si>
  <si>
    <t>10</t>
  </si>
  <si>
    <t>forgalomképtelen</t>
  </si>
  <si>
    <t>11</t>
  </si>
  <si>
    <t>korlátozottan forgalomképes</t>
  </si>
  <si>
    <t>12</t>
  </si>
  <si>
    <t>forgalomképes</t>
  </si>
  <si>
    <t>13</t>
  </si>
  <si>
    <t>Beépítetlen terület összesen</t>
  </si>
  <si>
    <t>14</t>
  </si>
  <si>
    <t>100 %-os saját tulajdon</t>
  </si>
  <si>
    <t>15</t>
  </si>
  <si>
    <t>13.</t>
  </si>
  <si>
    <t>más önkormányzattal közös tulajdon</t>
  </si>
  <si>
    <t>16</t>
  </si>
  <si>
    <t>egyéb közös tulajdon</t>
  </si>
  <si>
    <t>17</t>
  </si>
  <si>
    <t>Beépített terület összesen</t>
  </si>
  <si>
    <t>18</t>
  </si>
  <si>
    <t>19</t>
  </si>
  <si>
    <t>17.</t>
  </si>
  <si>
    <t>20</t>
  </si>
  <si>
    <t>21</t>
  </si>
  <si>
    <t>más tulajdonos által beépített</t>
  </si>
  <si>
    <t>22</t>
  </si>
  <si>
    <t>Egyéb önálló ingatlan összesen</t>
  </si>
  <si>
    <t>23</t>
  </si>
  <si>
    <t>24</t>
  </si>
  <si>
    <t>22.</t>
  </si>
  <si>
    <t>25</t>
  </si>
  <si>
    <t>26</t>
  </si>
  <si>
    <t>önkormányzat településén kívül fekvő ingatlan</t>
  </si>
  <si>
    <t>27</t>
  </si>
  <si>
    <t xml:space="preserve">05. </t>
  </si>
  <si>
    <t>védett természeti terület</t>
  </si>
  <si>
    <t>műemléki védettségű</t>
  </si>
  <si>
    <t>BRUTTÓ</t>
  </si>
  <si>
    <t>ÉRTÉKCSÖK.</t>
  </si>
  <si>
    <t>NETTÓ</t>
  </si>
  <si>
    <t xml:space="preserve">A </t>
  </si>
  <si>
    <t>NEMZETI VAGYONBA TARTOZÓ BEFEKTETETT ESZKÖZÖK</t>
  </si>
  <si>
    <t>Immateriális javak</t>
  </si>
  <si>
    <t>A/II/1</t>
  </si>
  <si>
    <t>Forgalomképtelen</t>
  </si>
  <si>
    <t>Korlátozottan forgalomképes</t>
  </si>
  <si>
    <t>Üzleti vagyon</t>
  </si>
  <si>
    <t>Tárgyi eszközök</t>
  </si>
  <si>
    <t xml:space="preserve"> Forgalomképtelen</t>
  </si>
  <si>
    <t>-</t>
  </si>
  <si>
    <t>Helyi Közutak és műtárgyaik</t>
  </si>
  <si>
    <t>Terek, parkok</t>
  </si>
  <si>
    <t>Vizek és közcélú (vizi közműnek nem minősülő) vízi létesítmények</t>
  </si>
  <si>
    <t>A helyi önkormányzat felügyelete alá tartozó költségvetési szervek ingatlanai</t>
  </si>
  <si>
    <t>Üzemeltetésre átadott ingatlanok és kapcsolódó vagyoni értékű jogok</t>
  </si>
  <si>
    <t>Egyéb az önkormányzat által forgalomképtelennek minősített ingatlanok és kapcsolódó vagyoni értékű jogok</t>
  </si>
  <si>
    <t xml:space="preserve">Korlátozottan forgalomképes </t>
  </si>
  <si>
    <t>Közművek (Víz, gáz, csatorna, távfűtés,világítás)</t>
  </si>
  <si>
    <t>Védett természeti területek</t>
  </si>
  <si>
    <t>A képviselőtestület (közgyűlés) és szervei, valamint hivatala ingatlanai</t>
  </si>
  <si>
    <t>Műemlék ingatlanok</t>
  </si>
  <si>
    <t>Vagyonkezelésbe vett ingatlanok és kapcsolódó vagyoni értékű jogok</t>
  </si>
  <si>
    <t>Egyéb az önkormányzat által korlátozottan forgalomképesnek minősített ingatlanok és  kapcsolódó vagyoni értékű jogok (lakások,telkek,sportcélú ingatlanok, létesítmények)</t>
  </si>
  <si>
    <t>Telkek, földterületek</t>
  </si>
  <si>
    <t>Egyéb az önkormányzat által forgalomképesnek minősített ingatlanok és kapcsolódó vagyoni értékű jogok</t>
  </si>
  <si>
    <t>A/II/2.</t>
  </si>
  <si>
    <t>Gépek, berendezések felszerelések, járművek</t>
  </si>
  <si>
    <t>Forgalomképtelen gépek, berendezések, felszerelések, járművek</t>
  </si>
  <si>
    <t>Korlátozottan forgalomképes gépek,berendezések, felszerelések, járművek</t>
  </si>
  <si>
    <t>Üzleti vagyon: gépek, berendezések, felszerelések, járművek</t>
  </si>
  <si>
    <t xml:space="preserve">Tenyészállatok </t>
  </si>
  <si>
    <t>A/II/4.</t>
  </si>
  <si>
    <t>Forgalomképtelen eszköz létesítésére irányuló beruházás, felújítás</t>
  </si>
  <si>
    <t>Korlátozottan forgalomképes eszköz létesítésére irányuló beruházás, felújítás</t>
  </si>
  <si>
    <t>A/II/5.</t>
  </si>
  <si>
    <t>Tárgyi eszközök értékhelyesbítése</t>
  </si>
  <si>
    <t xml:space="preserve">Befektetett pénzügyi eszközök </t>
  </si>
  <si>
    <t>A/III/1.</t>
  </si>
  <si>
    <t>Tartós részesedések - korlátozottan forgalomképes</t>
  </si>
  <si>
    <t>Tartós hitelviszonyt megtestesítő értékpapírok (forgalomképes)</t>
  </si>
  <si>
    <t>A/III/3.</t>
  </si>
  <si>
    <t>Befektetett pénzügyi eszközök értékhelyesbítése (forgalomképes)</t>
  </si>
  <si>
    <t>A/IV.</t>
  </si>
  <si>
    <t>Koncesszióba, vagyonkezelésbe adott eszközök</t>
  </si>
  <si>
    <t>A/IV/1</t>
  </si>
  <si>
    <t>Vagyonkezelésbe adott eszközök - forgalomképtelen</t>
  </si>
  <si>
    <t xml:space="preserve">B </t>
  </si>
  <si>
    <t>NEMZETI VAGYONBA TARTOZÓ FORGÓESZKÖZÖK</t>
  </si>
  <si>
    <t>Készletek (forgalomképes)</t>
  </si>
  <si>
    <t>PÉNZESZKÖZÖK - forgalomképes</t>
  </si>
  <si>
    <t>C/IV</t>
  </si>
  <si>
    <t>KÖNYVVITELI MÉRLEGEN KÍVÜLI TÉTELEK</t>
  </si>
  <si>
    <t xml:space="preserve">"0"-ra leírt, de használatban lévő eszközök állománya </t>
  </si>
  <si>
    <t>Ingatlanok és kapcsolódó vagyonértékű jogok</t>
  </si>
  <si>
    <t>Gépek,berendezések,felszerelések, járművek</t>
  </si>
  <si>
    <t>Használatban lévő kisértékű  immateriális javak, tárgyi eszközök, készletek</t>
  </si>
  <si>
    <t>Kisértékű Immateriális javak</t>
  </si>
  <si>
    <t>Kisértékű Ingatlanok és kapcsolódó vagyoniértékű jogok</t>
  </si>
  <si>
    <t>Kisértékű Gépek, berendezések, felszerelések, járművek</t>
  </si>
  <si>
    <t>Kulturális javak körébe tartozó közgyűjtemény, régészeti lelet</t>
  </si>
  <si>
    <t>2011. évi CXCVI. Törvény a nemzeti vagyonról 1. §.  (2) bekezdés g) és h) pontja szerint</t>
  </si>
  <si>
    <t>Berzsenyi Dániel Megyei Hatókörű Városi Könyvtárállományi értéke - Információs adathordozók 
(pl. könyvek, folyóiratok)</t>
  </si>
  <si>
    <t>SAVARIA Megyei Hatókörű Városi Múzeum</t>
  </si>
  <si>
    <t>- infomációs adathordozó (pl. könyvek, folyóiratok)</t>
  </si>
  <si>
    <t>- műtárgy</t>
  </si>
  <si>
    <t>01. számlaosztály Vagyonkezelésben lévő önkormányzati tulajdonú eszközök</t>
  </si>
  <si>
    <t>Szombathelyi Tankerület vagyonkezelésében lévő önkormányzati tulajdonú eszközök</t>
  </si>
  <si>
    <t>Vas Megyei Szakképzési Centrum</t>
  </si>
  <si>
    <t>Szombathelyi Élelmiszeripari és Földmérési Szakképző Iskola és Kollégium vagyonkezelésében lévő önkormányzati tulajdonú eszközök</t>
  </si>
  <si>
    <t>Herman Ottó Környezetvédelmi és Mezőgazdasági Szakképző Iskola és Kollégium vagyonkezelésében lévő önkormányzati tulajdonú eszközök</t>
  </si>
  <si>
    <t>Jegyzett tőke</t>
  </si>
  <si>
    <t>Tulajdoni hányad</t>
  </si>
  <si>
    <t>Korábbi évek</t>
  </si>
  <si>
    <t>Tárgyévi</t>
  </si>
  <si>
    <t>Mérleg érték</t>
  </si>
  <si>
    <t xml:space="preserve"> elszámolt</t>
  </si>
  <si>
    <t xml:space="preserve"> Elszámolt</t>
  </si>
  <si>
    <t>%-ban</t>
  </si>
  <si>
    <t>értékvesztés</t>
  </si>
  <si>
    <t>FALCO KC</t>
  </si>
  <si>
    <t>Vasivíz RT</t>
  </si>
  <si>
    <t>Szhelyi Haladás Labdarúgó és Sportszolg.KFT</t>
  </si>
  <si>
    <t>Prenor KFT</t>
  </si>
  <si>
    <t>Szombathelyi Parkfenntartási Kft</t>
  </si>
  <si>
    <t>Vas Megyei Temetkezési Kft</t>
  </si>
  <si>
    <t>Saját alapítású gazdasági társaságok összesen</t>
  </si>
  <si>
    <t>Szombathelyi Vagyonhasznosító és Városgazd. Nonprofit Zrt.</t>
  </si>
  <si>
    <t>Fogyatékkal Élőket és Hajléktalanokat Ellátó Közhasznú Nonprofit Kft.</t>
  </si>
  <si>
    <t>Szombathelyi Sportközpont és Sportiskola Nonprofit Kft.</t>
  </si>
  <si>
    <t>Weöres Sándor Színház Nonprofit Kft.</t>
  </si>
  <si>
    <t>Savaria Városfejlesztési Nonprofit Kft.</t>
  </si>
  <si>
    <t>Savaria Turizmus Nonprofit Kft</t>
  </si>
  <si>
    <t>Saját alapítású Nonprofit  gazdasági társaságok összesen</t>
  </si>
  <si>
    <t>Hétforrás  zrt</t>
  </si>
  <si>
    <t>Rába Nyrt.</t>
  </si>
  <si>
    <t>Forrás Vagyonkezelési és Befektetési NyRt.</t>
  </si>
  <si>
    <t>Egyéb részesedések:</t>
  </si>
  <si>
    <t>Kimutatás a pénzügyi lízingből eredő fizetési kötelezettség állományról</t>
  </si>
  <si>
    <t>K&amp;H Bank Zrt - Keretszerződés száma: IBD-MUN-17-0122/OHD</t>
  </si>
  <si>
    <t>Forintban</t>
  </si>
  <si>
    <t>Esedékesség (Év)</t>
  </si>
  <si>
    <t>Tervezett</t>
  </si>
  <si>
    <t>Tőke</t>
  </si>
  <si>
    <t>2024. év</t>
  </si>
  <si>
    <t>2025. év</t>
  </si>
  <si>
    <t>2026. év</t>
  </si>
  <si>
    <t>2027. év</t>
  </si>
  <si>
    <t>2028. év</t>
  </si>
  <si>
    <t>2029. év</t>
  </si>
  <si>
    <t>2030. év</t>
  </si>
  <si>
    <t>2031. év</t>
  </si>
  <si>
    <t xml:space="preserve">2023. évi  kiadásai kiemelt előirányzatonként </t>
  </si>
  <si>
    <t xml:space="preserve">2023. évi bevételei  kiemelt előirányzatonként </t>
  </si>
  <si>
    <t>-2022.évi pénzmaradvány (pénzforgalom nélküli bevétel)</t>
  </si>
  <si>
    <t>Pénzeszközök változásának bemutatása 2023</t>
  </si>
  <si>
    <t>+Egyéb pénzeszközök és sajátos elszámolások mérlegfordulónapi értékelése során megállapított (nem realizált) árfolyamnyeresége (9352), árfolyamvesztesége (8552)</t>
  </si>
  <si>
    <t>2026.</t>
  </si>
  <si>
    <t>Szombathely Megyei Jogú Város Önkormányzata 2023.évi fejlesztési kiadásainak</t>
  </si>
  <si>
    <t xml:space="preserve">2023. </t>
  </si>
  <si>
    <t>2023.12.31</t>
  </si>
  <si>
    <t>Szombathely Megyei Jogú Város Önkormányzatának mérlegadatai 2023.évben</t>
  </si>
  <si>
    <t xml:space="preserve">       A " Lakásalap" 1994-2023. közötti bevételeiről és kiadásairól</t>
  </si>
  <si>
    <t xml:space="preserve">Agora Savaria Kultúrália és Médiaközpont Nonprofit Kft. </t>
  </si>
  <si>
    <t>értéke e Ft</t>
  </si>
  <si>
    <t>Részesedések, üzletrészek állománya 2023. december 31-én</t>
  </si>
  <si>
    <t>Záróállomány 2023.12.31. mindösszesen:</t>
  </si>
  <si>
    <t>2023. évi segély kifizetésekről</t>
  </si>
  <si>
    <t>2023. évi bevételeiről és kiadásairól</t>
  </si>
  <si>
    <t>Vasutas Települések Szövetségétől támogatás</t>
  </si>
  <si>
    <t>Bloomsday nap  megrendezéséhez érkezett támogatás</t>
  </si>
  <si>
    <t>ELAMEN Zrt. részére támogatás biztosítása</t>
  </si>
  <si>
    <t>Fáklyavivők Egyesülete támogatás - Szombathelyi Alkotótábor megrendezése</t>
  </si>
  <si>
    <t>Szociális Szolgáltatók Közhasznú Egyesülete részére támogatás</t>
  </si>
  <si>
    <t>Állami és önkormányzati adatbázisok használati, továbbvezetési, karbantartási
 és szolgáltatási díja</t>
  </si>
  <si>
    <t>TOP Plusz 1.3.1.-2022-00001 Fenntartható városfejlesztés  Szombathelyen</t>
  </si>
  <si>
    <t>1000 fa program - Fa ültetés</t>
  </si>
  <si>
    <t>ITM támogatás - Zanati kerékpárút fejlesztése - fordított áfa kiadás</t>
  </si>
  <si>
    <t>TOP-7.1.1-16-H-ERFA-2020-00792 A Zarkaházi Szily-kastély fejlesztése a gyöngyöshermán-szentkirályi közösség számára - hozzájárulás fordított áfa</t>
  </si>
  <si>
    <t>TOP-6.1.4-16-SH1-2017-00001 Képtár turisztikai célú felújítása önerő</t>
  </si>
  <si>
    <t>TOP-6.1.4-16-SH1-2017-00001 Képtár turisztikai célú felújítása visszafizetés</t>
  </si>
  <si>
    <t>Bérlakások felújítása</t>
  </si>
  <si>
    <t>4. SZMJV Önkormányzatának vagyonrendelete alapján nyújtott kedvezmények, mentességek összege.</t>
  </si>
  <si>
    <t>1. Az ÁHT-ra való hivatkozással, a személyes gondoskodást nyújtó szociális és gyermekjóléti ellátások térítési díjáról szóló   11/1993. (IV.I.) sz. önkormányzati rendelet alapján a térítési díj méltányossági alapon történő csökkentése, illetve elengedése.</t>
  </si>
  <si>
    <t>2023. évi közvetett támogatásairól</t>
  </si>
  <si>
    <t>Költségvetési szervek 2023. évi bevételei</t>
  </si>
  <si>
    <t xml:space="preserve"> Működési bevételek</t>
  </si>
  <si>
    <t>Működési célú átvett  pénzeszközök</t>
  </si>
  <si>
    <t>Előző év költségvetési maradványának igénybevétele</t>
  </si>
  <si>
    <t xml:space="preserve"> Központi irányítószervtől kapott támogatás</t>
  </si>
  <si>
    <t>Központi irányítószervtől kapott támogatás összesen</t>
  </si>
  <si>
    <t>Költségvetési bevételek összesen</t>
  </si>
  <si>
    <t>I N T É Z M É N Y</t>
  </si>
  <si>
    <t>Működési</t>
  </si>
  <si>
    <t>Felhalmozási</t>
  </si>
  <si>
    <t>Eredeti előirányzat</t>
  </si>
  <si>
    <t>Módosított előirányzat 
RM III.</t>
  </si>
  <si>
    <t>Teljesítés  
%-a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</si>
  <si>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</si>
  <si>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</si>
  <si>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</si>
  <si>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</si>
  <si>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</si>
  <si>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</si>
  <si>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</si>
  <si>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</si>
  <si>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</si>
  <si>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</si>
  <si>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</si>
  <si>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</si>
  <si>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</si>
  <si>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</si>
  <si>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</si>
  <si>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</si>
  <si>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>Mocorgó Óvoda</t>
  </si>
  <si>
    <t>Benczúr Gyula Utcai Óvoda</t>
  </si>
  <si>
    <t xml:space="preserve">Weöres Sándor  Óvoda </t>
  </si>
  <si>
    <t>Óvodák  összesen</t>
  </si>
  <si>
    <t>Oktatási intézmények összesen</t>
  </si>
  <si>
    <t>Nem oktatási intézmények</t>
  </si>
  <si>
    <t>Kulturális intézmények</t>
  </si>
  <si>
    <t>Savaria Szimfonikus Zenekar</t>
  </si>
  <si>
    <t>Savaria Múzeum</t>
  </si>
  <si>
    <t xml:space="preserve">Összesen                             </t>
  </si>
  <si>
    <t>Szociális intézmény</t>
  </si>
  <si>
    <t>Pálos Károly Szociális Szolgáltató Központ és Gyermekjóléti Szolgálat</t>
  </si>
  <si>
    <t>Egészségügyi intézmény</t>
  </si>
  <si>
    <t>Szombathelyi Egészségügyi és Kulturális GESZ</t>
  </si>
  <si>
    <t>Gyermekvédelmi intézmény</t>
  </si>
  <si>
    <t xml:space="preserve">Szombathelyi Egyesített Bölcsődei Intézmény </t>
  </si>
  <si>
    <t>Egyéb intézmények</t>
  </si>
  <si>
    <t>Szombathelyi Városi Vásárcsarnok</t>
  </si>
  <si>
    <t xml:space="preserve">Összesen                                 </t>
  </si>
  <si>
    <t>Nem oktatási intézmények összesen</t>
  </si>
  <si>
    <t>Intézmények mindösszesen</t>
  </si>
  <si>
    <t>Költségvetési szervek 2023. évi kiadásai</t>
  </si>
  <si>
    <t xml:space="preserve">Dologi kiadások </t>
  </si>
  <si>
    <t>Költségvetési kiadások összesen</t>
  </si>
  <si>
    <t>Teljesítés          
%-a</t>
  </si>
  <si>
    <t xml:space="preserve">Mocorgó Óvoda </t>
  </si>
  <si>
    <t>Szombathely Megyei Jogú Város Önkormányzatának</t>
  </si>
  <si>
    <t>2023. évi  engedélyezett záró létszámelőirányzata</t>
  </si>
  <si>
    <t>2023. év</t>
  </si>
  <si>
    <t>2023. évi  záró engedélyezett  létszám  előirányzat összesen</t>
  </si>
  <si>
    <t>Intézmény</t>
  </si>
  <si>
    <t>SZAKMAI LÉTSZÁM</t>
  </si>
  <si>
    <t>INTÉZMÉNY ÜZEMELTETÉSI LÉTSZÁM</t>
  </si>
  <si>
    <t>2023. évi záró létszám</t>
  </si>
  <si>
    <t>átszámítás nélküli</t>
  </si>
  <si>
    <t xml:space="preserve">   kerekített</t>
  </si>
  <si>
    <t>kerekített</t>
  </si>
  <si>
    <t xml:space="preserve">Ó v o d á k </t>
  </si>
  <si>
    <t>Óvodák  összesen:</t>
  </si>
  <si>
    <t xml:space="preserve">Oktatási intézmények összesen                                       </t>
  </si>
  <si>
    <t>Kulturális intézmény</t>
  </si>
  <si>
    <t xml:space="preserve">Összesen                                       </t>
  </si>
  <si>
    <t>Szombathelyi Egyesített Bölcsődei Intézmény</t>
  </si>
  <si>
    <t>általános működésének és ágazati feladatainak támogatása</t>
  </si>
  <si>
    <t>és a helyi önkormányzatok kiegészítő támogatásai</t>
  </si>
  <si>
    <t>Önkormányzat általános működésének és ágazati feladatainak támogatása (Kvtv.2023. 2. melléklet)</t>
  </si>
  <si>
    <t>2023. év eredeti előirányzat</t>
  </si>
  <si>
    <t>2023. évi III.sz. módosított előirányzat</t>
  </si>
  <si>
    <t>2023. évi elszámolás</t>
  </si>
  <si>
    <t>Eltérés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</si>
  <si>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</si>
  <si>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</si>
  <si>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</si>
  <si>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</si>
  <si>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</si>
  <si>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</si>
  <si>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</si>
  <si>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</si>
  <si>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</si>
  <si>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</si>
  <si>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</si>
  <si>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</si>
  <si>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</si>
  <si>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</si>
  <si>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</si>
  <si>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1.2.4. Nemzetiségi pótlék</t>
  </si>
  <si>
    <t>1.2.4.1. Napi 8 órát elérő nyitvatartási idővel rendelkező óvodában foglalkoztatott</t>
  </si>
  <si>
    <t>1.2.4.1.1.A köznevelési Kjtvhr.16 §.(6) a)pont ac) alpontja éa b) pontja alapján nemzetisgi pótlékban részesülő pedagógus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</si>
  <si>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</si>
  <si>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</si>
  <si>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</si>
  <si>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</si>
  <si>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 xml:space="preserve">1.2.3. Kiegészítő tám. a ped.-ok és a ped.szakképzettséggel rend.segítők  minosítésébol adódó többletkiad.-hoz </t>
  </si>
  <si>
    <t>1.2.3.1. Minősítést 2022.január 1-jéig történő átsorolással megszerző</t>
  </si>
  <si>
    <t>1.2.3.1.1. Napi 8 órát elérő nyitvatartási idővel rendelkező óvodában foglalkoztatott</t>
  </si>
  <si>
    <t>1.2.3.1.1.1.Alapfokozatú végzettségű</t>
  </si>
  <si>
    <t>1.2.3.1.1.1.1. Pedagógus II.kategóriába sorolt pedagógusok,ped.szakképzettséggel rendekkező segtők kiegészítő támogatása</t>
  </si>
  <si>
    <t>1.2.3.1.1.1.2. Mestertanár,kutatótanár kategóriába sorolt pedagógusok kiegészítő támogatása</t>
  </si>
  <si>
    <t>1.2.3.1.1.2. Mesterfokú végzettségű</t>
  </si>
  <si>
    <t>1.2.3.1.1.2.1. Pedagógus II.kategóriába sorolt pedagógusok,ped.szakképzettséggel rendekkező segtők kiegészítő támogatása</t>
  </si>
  <si>
    <t>1.2.3.1.1.2.2. Mestertanár,kutatótanár kategóriába sorolt pedagósusok kiegészítő támogatása</t>
  </si>
  <si>
    <t>1.2.3.2. Minősítést 2023.január 1-jéig történő átsorolással megszerző</t>
  </si>
  <si>
    <t>1.2.3.2.1. Napi 8 órát elérő nyitvatartási idővel rendelkező óvodában foglalkoztatott</t>
  </si>
  <si>
    <t>1.2.3.2.1.1.Alapfokozatú végzettségű</t>
  </si>
  <si>
    <t>1.2.3.2.1.1.1. Pedagógus II.kategóriába sorolt pedagógusok,ped.szakképzettséggel rendekkező segtők kiegészítő támogatása</t>
  </si>
  <si>
    <t>1.2.3.2.1.1.2. Mestertanár,kutatótanár kategóriába sorolt pedagógusok kiegészítő támogatása</t>
  </si>
  <si>
    <t>1.2.3.2.1.2. Mesterfokú végzettségű</t>
  </si>
  <si>
    <t>1.2.3.2.1.2.1. Pedagógus II.kategóriába sorolt pedagógusok,ped.szakképzettséggel rendekkező segtők kiegészítő támogatása</t>
  </si>
  <si>
    <t>1.2.3.2.1.2.2. Mestertanár,kutatótanár kategóriába sorolt pedagógusok kiegészítő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</si>
  <si>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</si>
  <si>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</si>
  <si>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</si>
  <si>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</si>
  <si>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</si>
  <si>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1.3.2.2.Család- és gyermekjóléti központ</t>
  </si>
  <si>
    <t>1.3.2.3.1. Szociális étkeztetés - önálló feladat ellátás</t>
  </si>
  <si>
    <t xml:space="preserve">1.3.2.4.1. Házi segítségnyújtás- szociális segítés </t>
  </si>
  <si>
    <t xml:space="preserve">1.3.2.4.2. Házi segítségnyújtás- személyi gondozás 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</si>
  <si>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</si>
  <si>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</si>
  <si>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</si>
  <si>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</si>
  <si>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</si>
  <si>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</si>
  <si>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 üzemeltetési támogatás</t>
  </si>
  <si>
    <t>1.3.3. Bölcsőde, mini bölcsőde támogatása összesen</t>
  </si>
  <si>
    <t>1.3.4. Települési önk.által biztosított szoc.szakosított ellátsok, valamint a gyermekek átmeneti gondozásával kapcsolatos feladatok támogatása</t>
  </si>
  <si>
    <t>1.3.4.1. Bértámogatás</t>
  </si>
  <si>
    <t>1.3.4.2. Intézményüzemeltetési támogatás</t>
  </si>
  <si>
    <t>1.3. TELEPÜLÉSI ÖNKORMÁNYZATOK EGYES SZOCIÁLIS ÉS GYERMEKJÓLÉTI FELADATAINAK TÁMOGATÁSA ÖSSZESEN</t>
  </si>
  <si>
    <t>1.4. TELEPÜLÉSI ÖNKORMÁNYZATOK GYERMEKÉTKEZTETÉS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</si>
  <si>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</si>
  <si>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</si>
  <si>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</si>
  <si>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</si>
  <si>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</si>
  <si>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</si>
  <si>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Megyeszékhely megyei jogú városok közművelődési feladatainak támogatása</t>
  </si>
  <si>
    <t>1.5.5. Megyei hatókörű városi könyvtár kistelepülési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</si>
  <si>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</si>
  <si>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</si>
  <si>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(Kvtv.2023. 3. melléklet)</t>
  </si>
  <si>
    <t>2.1.2. A kéményseprő-ipari közszolgáltatás helyi önkormányzat általi ellátásának támogatása</t>
  </si>
  <si>
    <t>2.2.2. Szociális ágazati összevont pótlék és egészségügyi kieg.pótlék</t>
  </si>
  <si>
    <t>2.2.3.Óvodai és iskolai szociális segítő tevékenység támogatása</t>
  </si>
  <si>
    <t>2.3.2.1. Megyei hatókörű városi múzeumok feladatainak támogatása</t>
  </si>
  <si>
    <t>2.3.2.2. Megyei hatókörű városi  könyvtárak feladatainak támogatása</t>
  </si>
  <si>
    <t>2.3.2.4. A települési önkormányzatok könyvtári érdekeltségnövelő támogatása</t>
  </si>
  <si>
    <t>2.3.2.6. Zeneművészeti szervezetek támogatása</t>
  </si>
  <si>
    <t>2.3.3.  Települési önkormányzatok kulturális feladatainak bérjellegű támogatása</t>
  </si>
  <si>
    <t>10 000 lakos feletti önkormányzatok energiaáremelkedés miatti támogatása</t>
  </si>
  <si>
    <t>HELYI ÖNKORMÁNYZATOK KIEGÉSZÍTŐ TÁMOGATÁSAI MINDÖSSZESEN</t>
  </si>
  <si>
    <t>KVTV. 2. ÉS 3. MELLÉKLETE SZERINTI TÁMOGATÁSOK MINDÖSSZESEN</t>
  </si>
  <si>
    <t>TÁJÉKOZTATÓ ADAT</t>
  </si>
  <si>
    <t>Közös működtetési támogatás</t>
  </si>
  <si>
    <t xml:space="preserve">                            Mesebolt Bábszínház</t>
  </si>
  <si>
    <t xml:space="preserve">                            Weöres Sándor Színház Nonprofit Kft.</t>
  </si>
  <si>
    <t>MINDÖSSZESEN</t>
  </si>
  <si>
    <t>Szombathely Megyei Jogú Város vagyonkimutatása 2023. év</t>
  </si>
  <si>
    <t xml:space="preserve">Szombathely Megyei Jogú Város Önkormányzata ingatlanvagyon-kataszter összesítője 2023. év </t>
  </si>
  <si>
    <r>
      <t xml:space="preserve">Mesebolt Bábszínház </t>
    </r>
    <r>
      <rPr>
        <b/>
        <sz val="12"/>
        <rFont val="Calibri"/>
        <family val="2"/>
        <charset val="238"/>
        <scheme val="minor"/>
      </rPr>
      <t xml:space="preserve">önkormányzati támogatásból fedezett kiadása </t>
    </r>
  </si>
  <si>
    <r>
      <t>Weöres Sándor Színház Nonprofit Kft.</t>
    </r>
    <r>
      <rPr>
        <b/>
        <i/>
        <sz val="12"/>
        <rFont val="Calibri"/>
        <family val="2"/>
        <charset val="238"/>
        <scheme val="minor"/>
      </rPr>
      <t xml:space="preserve"> önkormányzati támogatása</t>
    </r>
  </si>
  <si>
    <r>
      <t xml:space="preserve">Pálos Károly Szociális Szolgáltató Központ és Gyermekjóléti Szolgálat </t>
    </r>
    <r>
      <rPr>
        <b/>
        <i/>
        <sz val="12"/>
        <rFont val="Calibri"/>
        <family val="2"/>
        <charset val="238"/>
        <scheme val="minor"/>
      </rPr>
      <t>önkormányzati támogatásból fedezett kiadás</t>
    </r>
  </si>
  <si>
    <r>
      <t xml:space="preserve">Pálos Károly Szociális Szolgáltató Központ és Gyermekjóléti Szolgálat </t>
    </r>
    <r>
      <rPr>
        <b/>
        <i/>
        <sz val="12"/>
        <rFont val="Calibri"/>
        <family val="2"/>
        <charset val="238"/>
        <scheme val="minor"/>
      </rPr>
      <t>intézmény saját bevételéből fedezett kiadás</t>
    </r>
  </si>
  <si>
    <r>
      <t xml:space="preserve">Pálos Károly Szociális Szolgáltató Központ és Gyermekjóléti Szolgálat </t>
    </r>
    <r>
      <rPr>
        <b/>
        <i/>
        <sz val="12"/>
        <rFont val="Calibri"/>
        <family val="2"/>
        <charset val="238"/>
        <scheme val="minor"/>
      </rPr>
      <t>intézmény maradványból fedezett kiadás</t>
    </r>
  </si>
  <si>
    <r>
      <t xml:space="preserve">Pálos Károly Szociális Szolgáltató Központ és Gyermekjóléti Szolgálat </t>
    </r>
    <r>
      <rPr>
        <b/>
        <sz val="12"/>
        <rFont val="Calibri"/>
        <family val="2"/>
        <charset val="238"/>
        <scheme val="minor"/>
      </rPr>
      <t>intézmény saját bevételből fedezett kiadás</t>
    </r>
  </si>
  <si>
    <r>
      <t xml:space="preserve">Pálos Károly Szociális Szolgáltató Központ és Gyermekjóléti Szolgálat </t>
    </r>
    <r>
      <rPr>
        <b/>
        <sz val="12"/>
        <rFont val="Calibri"/>
        <family val="2"/>
        <charset val="238"/>
        <scheme val="minor"/>
      </rPr>
      <t>önkormányzati támogatásból fedezett kiadás</t>
    </r>
  </si>
  <si>
    <r>
      <t>Pálos Károly Szociális Szolgáltató Központ és Gyermekjóléti Szolgálat intézményi</t>
    </r>
    <r>
      <rPr>
        <b/>
        <sz val="12"/>
        <rFont val="Calibri"/>
        <family val="2"/>
        <charset val="238"/>
        <scheme val="minor"/>
      </rPr>
      <t xml:space="preserve"> maradványból fedezett kiadás</t>
    </r>
  </si>
  <si>
    <r>
      <t>Szombathelyi Egészségügyi és Kulturális Intézmények GESZ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i/>
        <sz val="12"/>
        <rFont val="Calibri"/>
        <family val="2"/>
        <charset val="238"/>
        <scheme val="minor"/>
      </rPr>
      <t>önkormányzati támogatásból fedezett kiadás</t>
    </r>
  </si>
  <si>
    <r>
      <t xml:space="preserve">Szombathelyi Egészségügyi és Kulturális Intézmények GESZ </t>
    </r>
    <r>
      <rPr>
        <b/>
        <i/>
        <sz val="12"/>
        <rFont val="Calibri"/>
        <family val="2"/>
        <charset val="238"/>
        <scheme val="minor"/>
      </rPr>
      <t>saját bevételéből és NEAK támogatásból fedezett kiadás</t>
    </r>
  </si>
  <si>
    <r>
      <t xml:space="preserve">Szombathelyi Egészségügyi és Kulturális Intézmények GESZ  </t>
    </r>
    <r>
      <rPr>
        <b/>
        <i/>
        <sz val="12"/>
        <rFont val="Calibri"/>
        <family val="2"/>
        <charset val="238"/>
        <scheme val="minor"/>
      </rPr>
      <t>maradványból fedezett kiadás</t>
    </r>
  </si>
  <si>
    <r>
      <t xml:space="preserve">Szombathelyi Egészségügyi és Kulturális Intézmények  GESZ </t>
    </r>
    <r>
      <rPr>
        <b/>
        <i/>
        <sz val="12"/>
        <rFont val="Calibri"/>
        <family val="2"/>
        <charset val="238"/>
        <scheme val="minor"/>
      </rPr>
      <t>maradványából fedezett kiadás</t>
    </r>
  </si>
  <si>
    <r>
      <t xml:space="preserve">Egyesített Bölcsődei Intézmény </t>
    </r>
    <r>
      <rPr>
        <b/>
        <i/>
        <sz val="12"/>
        <rFont val="Calibri"/>
        <family val="2"/>
        <charset val="238"/>
        <scheme val="minor"/>
      </rPr>
      <t>önkormányzati támogatásból fedezett kiadás</t>
    </r>
  </si>
  <si>
    <r>
      <t>Egyesített Bölcsődei Intézmény</t>
    </r>
    <r>
      <rPr>
        <b/>
        <i/>
        <sz val="12"/>
        <rFont val="Calibri"/>
        <family val="2"/>
        <charset val="238"/>
        <scheme val="minor"/>
      </rPr>
      <t xml:space="preserve"> saját bevételéből fedezett kiadás</t>
    </r>
  </si>
  <si>
    <r>
      <t xml:space="preserve">Egyesített Bölcsődei Intézmény </t>
    </r>
    <r>
      <rPr>
        <b/>
        <i/>
        <sz val="12"/>
        <rFont val="Calibri"/>
        <family val="2"/>
        <charset val="238"/>
        <scheme val="minor"/>
      </rPr>
      <t>maradványából fedezett kiadás</t>
    </r>
  </si>
  <si>
    <t>TOP-6.4.1-15-2019-00003 Szombathely-Vép településeket összekötő kerékpárút megépítése</t>
  </si>
  <si>
    <t>TOP-6.4.1-15-2019-00003 Szhely-Vép településeket összekötő kerékpárút megépítése - hozzájárulása</t>
  </si>
  <si>
    <t>TOP-6.4.1-15-2019-00004 Szombathely és Balogunyom településeket összekötő kerékpárút megépítése</t>
  </si>
  <si>
    <t>TOP-6.4.1-15-2019-00004 Szombathely és Balogunyom településeket összekötő kerékpárút megépítése - fordított áfa</t>
  </si>
  <si>
    <t>TOP-6.4.1-15-2019-00004 Szhely és Balogunyom településeket összekötő kerékpárút megépítése - hozzájárulás</t>
  </si>
  <si>
    <t xml:space="preserve">Kamat
</t>
  </si>
  <si>
    <t>Vas megyei Szakképzési Centrum működési hozzájárulás</t>
  </si>
  <si>
    <t>Óvodai ellátó rendszerben prognoztizált munkaerő-hiány kezelése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</si>
</sst>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00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4"/>
      <color indexed="10"/>
      <name val="Arial CE"/>
      <family val="2"/>
      <charset val="238"/>
    </font>
    <font>
      <sz val="12"/>
      <name val="Arial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i/>
      <sz val="12"/>
      <name val="Arial CE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sz val="12"/>
      <color indexed="20"/>
      <name val="garamond"/>
      <family val="2"/>
      <charset val="238"/>
    </font>
    <font>
      <b/>
      <sz val="12"/>
      <color indexed="52"/>
      <name val="garamond"/>
      <family val="2"/>
      <charset val="238"/>
    </font>
    <font>
      <b/>
      <sz val="12"/>
      <color indexed="9"/>
      <name val="garamond"/>
      <family val="2"/>
      <charset val="238"/>
    </font>
    <font>
      <i/>
      <sz val="12"/>
      <color indexed="23"/>
      <name val="garamond"/>
      <family val="2"/>
      <charset val="238"/>
    </font>
    <font>
      <sz val="12"/>
      <color indexed="17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sz val="12"/>
      <color indexed="60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b/>
      <i/>
      <sz val="12"/>
      <name val="Arial"/>
      <family val="2"/>
      <charset val="238"/>
    </font>
    <font>
      <b/>
      <sz val="16"/>
      <name val="Arial CE"/>
      <family val="2"/>
      <charset val="238"/>
    </font>
    <font>
      <sz val="14"/>
      <name val="Arial CE"/>
      <charset val="238"/>
    </font>
    <font>
      <sz val="16"/>
      <name val="Arial CE"/>
      <family val="2"/>
      <charset val="238"/>
    </font>
    <font>
      <sz val="11"/>
      <color indexed="8"/>
      <name val="Calibri"/>
      <family val="2"/>
    </font>
    <font>
      <b/>
      <i/>
      <sz val="16"/>
      <name val="Arial CE"/>
      <charset val="238"/>
    </font>
    <font>
      <sz val="16"/>
      <name val="Times New Roman CE"/>
      <charset val="238"/>
    </font>
    <font>
      <b/>
      <sz val="16"/>
      <name val="Arial CE"/>
      <charset val="238"/>
    </font>
    <font>
      <b/>
      <sz val="16"/>
      <name val="Times New Roman CE"/>
      <charset val="238"/>
    </font>
    <font>
      <sz val="12"/>
      <color rgb="FFFF0000"/>
      <name val="Arial CE"/>
      <family val="2"/>
      <charset val="238"/>
    </font>
    <font>
      <sz val="12"/>
      <color theme="1"/>
      <name val="Arial CE"/>
      <family val="2"/>
      <charset val="238"/>
    </font>
    <font>
      <sz val="12"/>
      <color theme="1"/>
      <name val="Arial CE"/>
      <charset val="238"/>
    </font>
    <font>
      <b/>
      <sz val="13"/>
      <name val="Arial CE"/>
      <charset val="238"/>
    </font>
    <font>
      <sz val="14"/>
      <name val="Arial"/>
      <family val="2"/>
      <charset val="238"/>
    </font>
    <font>
      <sz val="13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u/>
      <sz val="14"/>
      <name val="Arial CE"/>
      <charset val="238"/>
    </font>
    <font>
      <u/>
      <sz val="12"/>
      <name val="Arial CE"/>
      <family val="2"/>
      <charset val="238"/>
    </font>
    <font>
      <sz val="10"/>
      <name val="Arial"/>
      <family val="2"/>
      <charset val="238"/>
    </font>
    <font>
      <sz val="14"/>
      <color theme="1"/>
      <name val="Calibri"/>
      <family val="2"/>
      <charset val="238"/>
    </font>
    <font>
      <sz val="18"/>
      <color theme="1"/>
      <name val="Arial CE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indexed="10"/>
      <name val="Arial CE"/>
      <charset val="238"/>
    </font>
    <font>
      <sz val="18"/>
      <color theme="1"/>
      <name val="Arial CE"/>
      <charset val="238"/>
    </font>
    <font>
      <b/>
      <sz val="11"/>
      <name val="Calibri"/>
      <family val="2"/>
      <charset val="238"/>
    </font>
    <font>
      <u/>
      <sz val="11"/>
      <name val="Calibri"/>
      <family val="2"/>
      <charset val="238"/>
      <scheme val="minor"/>
    </font>
    <font>
      <sz val="11"/>
      <name val="Arial CE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1"/>
      <name val="Calibri"/>
      <family val="2"/>
      <charset val="238"/>
    </font>
    <font>
      <sz val="11"/>
      <name val="Arial"/>
      <family val="2"/>
    </font>
    <font>
      <sz val="12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</font>
    <font>
      <b/>
      <sz val="10"/>
      <name val="Arial CE"/>
      <family val="2"/>
      <charset val="238"/>
    </font>
    <font>
      <sz val="12"/>
      <color theme="1"/>
      <name val="Arial"/>
      <family val="2"/>
    </font>
    <font>
      <sz val="12"/>
      <color indexed="10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indexed="8"/>
      <name val="MS Sans Serif"/>
      <charset val="238"/>
    </font>
    <font>
      <b/>
      <sz val="14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8"/>
      <color rgb="FFFF0000"/>
      <name val="Arial CE"/>
      <charset val="238"/>
    </font>
    <font>
      <b/>
      <sz val="12"/>
      <color rgb="FFFF0000"/>
      <name val="Arial CE"/>
      <family val="2"/>
      <charset val="238"/>
    </font>
    <font>
      <sz val="11"/>
      <color rgb="FFFF0000"/>
      <name val="Arial"/>
      <family val="2"/>
    </font>
    <font>
      <sz val="10"/>
      <color rgb="FFFF0000"/>
      <name val="Arial CE"/>
      <charset val="238"/>
    </font>
    <font>
      <b/>
      <sz val="36"/>
      <name val="Calibri"/>
      <family val="2"/>
      <charset val="238"/>
      <scheme val="minor"/>
    </font>
    <font>
      <b/>
      <sz val="30"/>
      <name val="Calibri"/>
      <family val="2"/>
      <charset val="238"/>
      <scheme val="minor"/>
    </font>
    <font>
      <b/>
      <sz val="36"/>
      <name val="Arial CE"/>
      <charset val="238"/>
    </font>
    <font>
      <b/>
      <sz val="44"/>
      <name val="Calibri"/>
      <family val="2"/>
      <charset val="238"/>
      <scheme val="minor"/>
    </font>
    <font>
      <b/>
      <sz val="44"/>
      <name val="Arial CE"/>
      <charset val="238"/>
    </font>
    <font>
      <sz val="36"/>
      <name val="Calibri"/>
      <family val="2"/>
      <charset val="238"/>
      <scheme val="minor"/>
    </font>
    <font>
      <b/>
      <sz val="3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44"/>
      <name val="Calibri"/>
      <family val="2"/>
      <charset val="238"/>
      <scheme val="minor"/>
    </font>
    <font>
      <sz val="44"/>
      <name val="Arial CE"/>
      <family val="2"/>
      <charset val="238"/>
    </font>
    <font>
      <b/>
      <sz val="36"/>
      <name val="Arial CE"/>
      <family val="2"/>
      <charset val="238"/>
    </font>
    <font>
      <sz val="36"/>
      <name val="Arial CE"/>
      <family val="2"/>
      <charset val="238"/>
    </font>
    <font>
      <sz val="36"/>
      <name val="Arial CE"/>
      <charset val="238"/>
    </font>
    <font>
      <sz val="16"/>
      <name val="Arial CE"/>
      <charset val="238"/>
    </font>
    <font>
      <b/>
      <sz val="26"/>
      <name val="Calibri"/>
      <family val="2"/>
      <charset val="238"/>
      <scheme val="minor"/>
    </font>
    <font>
      <b/>
      <sz val="26"/>
      <name val="Arial CE"/>
      <family val="2"/>
      <charset val="238"/>
    </font>
    <font>
      <sz val="26"/>
      <name val="Times New Roman CE"/>
      <charset val="238"/>
    </font>
    <font>
      <b/>
      <sz val="2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Times New Roman CE"/>
      <charset val="238"/>
    </font>
    <font>
      <b/>
      <u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6"/>
      <color indexed="10"/>
      <name val="Arial CE"/>
      <family val="2"/>
      <charset val="238"/>
    </font>
    <font>
      <b/>
      <sz val="16"/>
      <color indexed="10"/>
      <name val="Arial CE"/>
      <family val="2"/>
      <charset val="238"/>
    </font>
    <font>
      <b/>
      <sz val="20"/>
      <color indexed="10"/>
      <name val="Arial CE"/>
      <family val="2"/>
      <charset val="238"/>
    </font>
    <font>
      <sz val="16"/>
      <color indexed="10"/>
      <name val="Times New Roman CE"/>
      <charset val="238"/>
    </font>
    <font>
      <b/>
      <sz val="28"/>
      <color indexed="10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22"/>
      <name val="Arial CE"/>
      <family val="2"/>
      <charset val="238"/>
    </font>
    <font>
      <b/>
      <sz val="24"/>
      <name val="Arial CE"/>
      <family val="2"/>
      <charset val="238"/>
    </font>
    <font>
      <sz val="14"/>
      <color theme="1"/>
      <name val="Arial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color rgb="FFFF0000"/>
      <name val="Arial"/>
      <family val="2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i/>
      <u/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u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i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48"/>
      <name val="Calibri"/>
      <family val="2"/>
      <charset val="238"/>
      <scheme val="minor"/>
    </font>
    <font>
      <b/>
      <sz val="42"/>
      <name val="Calibri"/>
      <family val="2"/>
      <charset val="238"/>
      <scheme val="minor"/>
    </font>
    <font>
      <sz val="42"/>
      <name val="Calibri"/>
      <family val="2"/>
      <charset val="238"/>
      <scheme val="minor"/>
    </font>
    <font>
      <sz val="40"/>
      <name val="Calibri"/>
      <family val="2"/>
      <charset val="238"/>
      <scheme val="minor"/>
    </font>
    <font>
      <b/>
      <sz val="40"/>
      <name val="Calibri"/>
      <family val="2"/>
      <charset val="238"/>
      <scheme val="minor"/>
    </font>
    <font>
      <b/>
      <sz val="40"/>
      <name val="Arial CE"/>
      <charset val="238"/>
    </font>
    <font>
      <sz val="40"/>
      <color rgb="FFFF0000"/>
      <name val="Calibri"/>
      <family val="2"/>
      <charset val="238"/>
      <scheme val="minor"/>
    </font>
    <font>
      <b/>
      <i/>
      <sz val="40"/>
      <name val="Calibri"/>
      <family val="2"/>
      <charset val="238"/>
      <scheme val="minor"/>
    </font>
    <font>
      <sz val="44"/>
      <color rgb="FFFF0000"/>
      <name val="Calibri"/>
      <family val="2"/>
      <charset val="238"/>
      <scheme val="minor"/>
    </font>
    <font>
      <b/>
      <i/>
      <sz val="4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FF"/>
        <bgColor indexed="64"/>
      </patternFill>
    </fill>
  </fills>
  <borders count="1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107">
    <xf numFmtId="0" fontId="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8" borderId="0" applyNumberFormat="0" applyBorder="0" applyAlignment="0" applyProtection="0"/>
    <xf numFmtId="0" fontId="36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4" borderId="0" applyNumberFormat="0" applyBorder="0" applyAlignment="0" applyProtection="0"/>
    <xf numFmtId="0" fontId="3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37" fillId="19" borderId="0" applyNumberFormat="0" applyBorder="0" applyAlignment="0" applyProtection="0"/>
    <xf numFmtId="0" fontId="37" fillId="5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3" borderId="0" applyNumberFormat="0" applyBorder="0" applyAlignment="0" applyProtection="0"/>
    <xf numFmtId="0" fontId="38" fillId="10" borderId="0" applyNumberFormat="0" applyBorder="0" applyAlignment="0" applyProtection="0"/>
    <xf numFmtId="0" fontId="17" fillId="15" borderId="1" applyNumberFormat="0" applyAlignment="0" applyProtection="0"/>
    <xf numFmtId="0" fontId="39" fillId="24" borderId="1" applyNumberFormat="0" applyAlignment="0" applyProtection="0"/>
    <xf numFmtId="0" fontId="40" fillId="25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25" borderId="2" applyNumberFormat="0" applyAlignment="0" applyProtection="0"/>
    <xf numFmtId="0" fontId="4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5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46" fillId="7" borderId="1" applyNumberFormat="0" applyAlignment="0" applyProtection="0"/>
    <xf numFmtId="0" fontId="4" fillId="6" borderId="10" applyNumberFormat="0" applyFont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4" fillId="8" borderId="0" applyNumberFormat="0" applyBorder="0" applyAlignment="0" applyProtection="0"/>
    <xf numFmtId="0" fontId="25" fillId="26" borderId="11" applyNumberFormat="0" applyAlignment="0" applyProtection="0"/>
    <xf numFmtId="0" fontId="47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36" fillId="6" borderId="10" applyNumberFormat="0" applyFont="0" applyAlignment="0" applyProtection="0"/>
    <xf numFmtId="0" fontId="49" fillId="24" borderId="11" applyNumberFormat="0" applyAlignment="0" applyProtection="0"/>
    <xf numFmtId="0" fontId="27" fillId="0" borderId="13" applyNumberFormat="0" applyFill="0" applyAlignment="0" applyProtection="0"/>
    <xf numFmtId="0" fontId="28" fillId="12" borderId="0" applyNumberFormat="0" applyBorder="0" applyAlignment="0" applyProtection="0"/>
    <xf numFmtId="0" fontId="29" fillId="15" borderId="0" applyNumberFormat="0" applyBorder="0" applyAlignment="0" applyProtection="0"/>
    <xf numFmtId="0" fontId="30" fillId="26" borderId="1" applyNumberFormat="0" applyAlignment="0" applyProtection="0"/>
    <xf numFmtId="0" fontId="50" fillId="0" borderId="0" applyNumberFormat="0" applyFill="0" applyBorder="0" applyAlignment="0" applyProtection="0"/>
    <xf numFmtId="0" fontId="51" fillId="0" borderId="14" applyNumberFormat="0" applyFill="0" applyAlignment="0" applyProtection="0"/>
    <xf numFmtId="0" fontId="52" fillId="0" borderId="0" applyNumberFormat="0" applyFill="0" applyBorder="0" applyAlignment="0" applyProtection="0"/>
    <xf numFmtId="0" fontId="4" fillId="0" borderId="0"/>
    <xf numFmtId="0" fontId="93" fillId="0" borderId="0"/>
    <xf numFmtId="0" fontId="9" fillId="0" borderId="0"/>
    <xf numFmtId="0" fontId="5" fillId="0" borderId="0"/>
    <xf numFmtId="0" fontId="5" fillId="0" borderId="0"/>
    <xf numFmtId="0" fontId="108" fillId="0" borderId="0"/>
    <xf numFmtId="0" fontId="108" fillId="0" borderId="0"/>
    <xf numFmtId="0" fontId="5" fillId="0" borderId="0"/>
    <xf numFmtId="0" fontId="5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24" fillId="0" borderId="0"/>
    <xf numFmtId="0" fontId="5" fillId="0" borderId="0"/>
    <xf numFmtId="0" fontId="108" fillId="0" borderId="0"/>
    <xf numFmtId="0" fontId="108" fillId="0" borderId="0"/>
    <xf numFmtId="0" fontId="93" fillId="0" borderId="0"/>
    <xf numFmtId="0" fontId="1" fillId="0" borderId="0"/>
  </cellStyleXfs>
  <cellXfs count="2103">
    <xf numFmtId="0" fontId="0" fillId="0" borderId="0" xfId="0"/>
    <xf numFmtId="0" fontId="7" fillId="0" borderId="0" xfId="0" applyFont="1"/>
    <xf numFmtId="3" fontId="6" fillId="0" borderId="0" xfId="0" applyNumberFormat="1" applyFont="1"/>
    <xf numFmtId="3" fontId="7" fillId="0" borderId="0" xfId="0" applyNumberFormat="1" applyFont="1"/>
    <xf numFmtId="0" fontId="6" fillId="0" borderId="0" xfId="0" applyFont="1"/>
    <xf numFmtId="3" fontId="7" fillId="0" borderId="0" xfId="0" applyNumberFormat="1" applyFont="1" applyProtection="1"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77" applyFont="1"/>
    <xf numFmtId="3" fontId="7" fillId="0" borderId="0" xfId="77" applyNumberFormat="1" applyFont="1"/>
    <xf numFmtId="3" fontId="11" fillId="0" borderId="0" xfId="0" applyNumberFormat="1" applyFont="1"/>
    <xf numFmtId="0" fontId="14" fillId="0" borderId="0" xfId="0" applyFont="1"/>
    <xf numFmtId="3" fontId="6" fillId="0" borderId="0" xfId="0" applyNumberFormat="1" applyFont="1" applyAlignment="1">
      <alignment horizontal="left"/>
    </xf>
    <xf numFmtId="0" fontId="6" fillId="28" borderId="0" xfId="0" applyFont="1" applyFill="1" applyAlignment="1">
      <alignment horizontal="center"/>
    </xf>
    <xf numFmtId="3" fontId="33" fillId="0" borderId="0" xfId="0" applyNumberFormat="1" applyFont="1" applyAlignment="1">
      <alignment horizontal="right"/>
    </xf>
    <xf numFmtId="0" fontId="7" fillId="27" borderId="0" xfId="0" applyFont="1" applyFill="1"/>
    <xf numFmtId="0" fontId="35" fillId="0" borderId="0" xfId="0" applyFont="1"/>
    <xf numFmtId="0" fontId="10" fillId="0" borderId="0" xfId="77" applyFont="1"/>
    <xf numFmtId="3" fontId="7" fillId="0" borderId="0" xfId="77" applyNumberFormat="1" applyFont="1" applyAlignment="1">
      <alignment horizontal="right"/>
    </xf>
    <xf numFmtId="0" fontId="7" fillId="0" borderId="0" xfId="77" applyFont="1" applyAlignment="1">
      <alignment horizontal="center"/>
    </xf>
    <xf numFmtId="0" fontId="6" fillId="0" borderId="0" xfId="77" applyFont="1" applyAlignment="1">
      <alignment horizontal="center"/>
    </xf>
    <xf numFmtId="3" fontId="33" fillId="0" borderId="0" xfId="0" applyNumberFormat="1" applyFont="1"/>
    <xf numFmtId="3" fontId="31" fillId="0" borderId="0" xfId="0" applyNumberFormat="1" applyFont="1"/>
    <xf numFmtId="3" fontId="13" fillId="0" borderId="0" xfId="0" applyNumberFormat="1" applyFont="1"/>
    <xf numFmtId="0" fontId="12" fillId="0" borderId="0" xfId="0" applyFont="1" applyAlignment="1">
      <alignment horizontal="center"/>
    </xf>
    <xf numFmtId="3" fontId="54" fillId="0" borderId="0" xfId="0" applyNumberFormat="1" applyFont="1"/>
    <xf numFmtId="3" fontId="35" fillId="0" borderId="0" xfId="0" applyNumberFormat="1" applyFont="1"/>
    <xf numFmtId="0" fontId="8" fillId="0" borderId="18" xfId="0" applyFont="1" applyBorder="1" applyAlignment="1">
      <alignment horizontal="justify"/>
    </xf>
    <xf numFmtId="3" fontId="7" fillId="0" borderId="0" xfId="0" applyNumberFormat="1" applyFont="1" applyAlignment="1">
      <alignment wrapText="1"/>
    </xf>
    <xf numFmtId="0" fontId="35" fillId="0" borderId="0" xfId="77" applyFont="1" applyAlignment="1">
      <alignment horizontal="left"/>
    </xf>
    <xf numFmtId="0" fontId="8" fillId="0" borderId="0" xfId="0" applyFont="1" applyAlignment="1">
      <alignment horizontal="justify"/>
    </xf>
    <xf numFmtId="0" fontId="14" fillId="0" borderId="0" xfId="77" applyFont="1"/>
    <xf numFmtId="0" fontId="35" fillId="0" borderId="0" xfId="77" applyFont="1"/>
    <xf numFmtId="3" fontId="53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56" fillId="0" borderId="0" xfId="0" applyFont="1"/>
    <xf numFmtId="0" fontId="33" fillId="0" borderId="0" xfId="0" applyFont="1"/>
    <xf numFmtId="0" fontId="7" fillId="0" borderId="0" xfId="0" applyFont="1" applyAlignment="1">
      <alignment horizontal="justify"/>
    </xf>
    <xf numFmtId="3" fontId="56" fillId="0" borderId="0" xfId="0" applyNumberFormat="1" applyFont="1"/>
    <xf numFmtId="0" fontId="58" fillId="0" borderId="0" xfId="0" applyFont="1"/>
    <xf numFmtId="3" fontId="59" fillId="0" borderId="0" xfId="0" applyNumberFormat="1" applyFont="1"/>
    <xf numFmtId="0" fontId="59" fillId="0" borderId="0" xfId="0" applyFont="1"/>
    <xf numFmtId="0" fontId="60" fillId="0" borderId="0" xfId="0" applyFont="1"/>
    <xf numFmtId="0" fontId="54" fillId="0" borderId="0" xfId="0" applyFont="1"/>
    <xf numFmtId="3" fontId="60" fillId="0" borderId="0" xfId="0" applyNumberFormat="1" applyFont="1"/>
    <xf numFmtId="3" fontId="61" fillId="0" borderId="0" xfId="0" applyNumberFormat="1" applyFont="1"/>
    <xf numFmtId="0" fontId="61" fillId="0" borderId="0" xfId="0" applyFont="1"/>
    <xf numFmtId="0" fontId="55" fillId="0" borderId="0" xfId="77" applyFont="1"/>
    <xf numFmtId="3" fontId="55" fillId="0" borderId="0" xfId="77" applyNumberFormat="1" applyFont="1"/>
    <xf numFmtId="3" fontId="67" fillId="0" borderId="0" xfId="0" applyNumberFormat="1" applyFont="1" applyAlignment="1">
      <alignment horizontal="right"/>
    </xf>
    <xf numFmtId="3" fontId="32" fillId="0" borderId="0" xfId="0" applyNumberFormat="1" applyFont="1"/>
    <xf numFmtId="4" fontId="7" fillId="0" borderId="0" xfId="0" applyNumberFormat="1" applyFont="1"/>
    <xf numFmtId="4" fontId="35" fillId="0" borderId="0" xfId="0" applyNumberFormat="1" applyFont="1"/>
    <xf numFmtId="2" fontId="7" fillId="0" borderId="0" xfId="77" applyNumberFormat="1" applyFont="1"/>
    <xf numFmtId="0" fontId="62" fillId="0" borderId="0" xfId="77" applyFont="1"/>
    <xf numFmtId="3" fontId="65" fillId="0" borderId="0" xfId="0" applyNumberFormat="1" applyFont="1" applyAlignment="1">
      <alignment horizontal="center"/>
    </xf>
    <xf numFmtId="3" fontId="65" fillId="0" borderId="0" xfId="0" applyNumberFormat="1" applyFont="1"/>
    <xf numFmtId="3" fontId="67" fillId="0" borderId="0" xfId="0" applyNumberFormat="1" applyFont="1"/>
    <xf numFmtId="4" fontId="61" fillId="0" borderId="0" xfId="0" applyNumberFormat="1" applyFont="1"/>
    <xf numFmtId="0" fontId="68" fillId="0" borderId="0" xfId="0" applyFont="1" applyAlignment="1">
      <alignment horizontal="center"/>
    </xf>
    <xf numFmtId="0" fontId="69" fillId="0" borderId="0" xfId="0" applyFont="1"/>
    <xf numFmtId="3" fontId="3" fillId="0" borderId="0" xfId="0" applyNumberFormat="1" applyFont="1"/>
    <xf numFmtId="0" fontId="69" fillId="0" borderId="16" xfId="0" applyFont="1" applyBorder="1"/>
    <xf numFmtId="0" fontId="68" fillId="0" borderId="16" xfId="0" applyFont="1" applyBorder="1"/>
    <xf numFmtId="3" fontId="69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8" fillId="0" borderId="23" xfId="0" applyFont="1" applyBorder="1" applyAlignment="1">
      <alignment horizontal="left"/>
    </xf>
    <xf numFmtId="0" fontId="69" fillId="0" borderId="46" xfId="0" applyFont="1" applyBorder="1"/>
    <xf numFmtId="0" fontId="69" fillId="0" borderId="19" xfId="0" applyFont="1" applyBorder="1"/>
    <xf numFmtId="0" fontId="68" fillId="0" borderId="16" xfId="0" applyFont="1" applyBorder="1" applyAlignment="1">
      <alignment horizontal="left"/>
    </xf>
    <xf numFmtId="0" fontId="68" fillId="0" borderId="16" xfId="0" applyFont="1" applyBorder="1" applyAlignment="1">
      <alignment horizontal="right"/>
    </xf>
    <xf numFmtId="3" fontId="68" fillId="0" borderId="23" xfId="0" applyNumberFormat="1" applyFont="1" applyBorder="1"/>
    <xf numFmtId="0" fontId="69" fillId="0" borderId="18" xfId="0" applyFont="1" applyBorder="1"/>
    <xf numFmtId="0" fontId="69" fillId="0" borderId="37" xfId="0" applyFont="1" applyBorder="1"/>
    <xf numFmtId="0" fontId="68" fillId="0" borderId="18" xfId="0" applyFont="1" applyBorder="1"/>
    <xf numFmtId="3" fontId="68" fillId="0" borderId="0" xfId="0" applyNumberFormat="1" applyFont="1"/>
    <xf numFmtId="0" fontId="68" fillId="0" borderId="0" xfId="0" applyFont="1"/>
    <xf numFmtId="3" fontId="68" fillId="0" borderId="18" xfId="0" applyNumberFormat="1" applyFont="1" applyBorder="1"/>
    <xf numFmtId="0" fontId="69" fillId="0" borderId="0" xfId="0" applyFont="1" applyAlignment="1">
      <alignment horizontal="left"/>
    </xf>
    <xf numFmtId="3" fontId="69" fillId="0" borderId="18" xfId="0" applyNumberFormat="1" applyFont="1" applyBorder="1"/>
    <xf numFmtId="0" fontId="69" fillId="0" borderId="0" xfId="77" applyFont="1" applyAlignment="1">
      <alignment horizontal="left"/>
    </xf>
    <xf numFmtId="3" fontId="70" fillId="0" borderId="0" xfId="0" applyNumberFormat="1" applyFont="1"/>
    <xf numFmtId="3" fontId="69" fillId="0" borderId="0" xfId="0" applyNumberFormat="1" applyFont="1"/>
    <xf numFmtId="0" fontId="69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68" fillId="0" borderId="28" xfId="0" applyFont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72" fillId="0" borderId="0" xfId="0" applyNumberFormat="1" applyFont="1" applyAlignment="1">
      <alignment horizontal="center"/>
    </xf>
    <xf numFmtId="3" fontId="68" fillId="0" borderId="46" xfId="0" applyNumberFormat="1" applyFont="1" applyBorder="1"/>
    <xf numFmtId="3" fontId="68" fillId="0" borderId="46" xfId="0" applyNumberFormat="1" applyFont="1" applyBorder="1" applyAlignment="1">
      <alignment horizontal="left"/>
    </xf>
    <xf numFmtId="0" fontId="68" fillId="0" borderId="19" xfId="0" applyFont="1" applyBorder="1" applyAlignment="1">
      <alignment horizontal="left"/>
    </xf>
    <xf numFmtId="3" fontId="68" fillId="0" borderId="95" xfId="0" applyNumberFormat="1" applyFont="1" applyBorder="1"/>
    <xf numFmtId="0" fontId="68" fillId="0" borderId="89" xfId="0" applyFont="1" applyBorder="1"/>
    <xf numFmtId="3" fontId="68" fillId="0" borderId="89" xfId="0" applyNumberFormat="1" applyFont="1" applyBorder="1"/>
    <xf numFmtId="3" fontId="68" fillId="0" borderId="16" xfId="0" applyNumberFormat="1" applyFont="1" applyBorder="1" applyAlignment="1">
      <alignment horizontal="center"/>
    </xf>
    <xf numFmtId="3" fontId="68" fillId="0" borderId="0" xfId="0" applyNumberFormat="1" applyFont="1" applyAlignment="1">
      <alignment horizontal="left"/>
    </xf>
    <xf numFmtId="3" fontId="69" fillId="0" borderId="0" xfId="0" applyNumberFormat="1" applyFont="1" applyAlignment="1">
      <alignment horizontal="left"/>
    </xf>
    <xf numFmtId="3" fontId="69" fillId="0" borderId="0" xfId="0" applyNumberFormat="1" applyFont="1" applyAlignment="1">
      <alignment horizontal="centerContinuous"/>
    </xf>
    <xf numFmtId="3" fontId="69" fillId="0" borderId="37" xfId="0" applyNumberFormat="1" applyFont="1" applyBorder="1" applyAlignment="1">
      <alignment horizontal="centerContinuous"/>
    </xf>
    <xf numFmtId="3" fontId="69" fillId="0" borderId="37" xfId="0" applyNumberFormat="1" applyFont="1" applyBorder="1" applyAlignment="1">
      <alignment horizontal="right"/>
    </xf>
    <xf numFmtId="3" fontId="69" fillId="0" borderId="18" xfId="0" applyNumberFormat="1" applyFont="1" applyBorder="1" applyAlignment="1">
      <alignment horizontal="centerContinuous"/>
    </xf>
    <xf numFmtId="3" fontId="68" fillId="0" borderId="18" xfId="0" applyNumberFormat="1" applyFont="1" applyBorder="1" applyAlignment="1">
      <alignment horizontal="centerContinuous"/>
    </xf>
    <xf numFmtId="3" fontId="68" fillId="0" borderId="0" xfId="0" applyNumberFormat="1" applyFont="1" applyAlignment="1">
      <alignment horizontal="centerContinuous"/>
    </xf>
    <xf numFmtId="3" fontId="68" fillId="0" borderId="18" xfId="0" applyNumberFormat="1" applyFont="1" applyBorder="1" applyAlignment="1">
      <alignment horizontal="left"/>
    </xf>
    <xf numFmtId="0" fontId="69" fillId="0" borderId="0" xfId="77" applyFont="1"/>
    <xf numFmtId="3" fontId="69" fillId="0" borderId="0" xfId="0" applyNumberFormat="1" applyFont="1" applyAlignment="1">
      <alignment horizontal="center"/>
    </xf>
    <xf numFmtId="0" fontId="68" fillId="0" borderId="2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3" fillId="0" borderId="0" xfId="0" applyFont="1"/>
    <xf numFmtId="2" fontId="68" fillId="0" borderId="0" xfId="0" applyNumberFormat="1" applyFont="1"/>
    <xf numFmtId="3" fontId="69" fillId="0" borderId="0" xfId="77" applyNumberFormat="1" applyFont="1" applyAlignment="1">
      <alignment horizontal="right"/>
    </xf>
    <xf numFmtId="0" fontId="69" fillId="0" borderId="23" xfId="77" applyFont="1" applyBorder="1"/>
    <xf numFmtId="0" fontId="69" fillId="0" borderId="19" xfId="77" applyFont="1" applyBorder="1"/>
    <xf numFmtId="0" fontId="68" fillId="0" borderId="18" xfId="77" applyFont="1" applyBorder="1"/>
    <xf numFmtId="0" fontId="71" fillId="0" borderId="0" xfId="77" applyFont="1"/>
    <xf numFmtId="0" fontId="70" fillId="0" borderId="18" xfId="77" applyFont="1" applyBorder="1"/>
    <xf numFmtId="0" fontId="69" fillId="0" borderId="18" xfId="77" applyFont="1" applyBorder="1" applyAlignment="1">
      <alignment horizontal="right"/>
    </xf>
    <xf numFmtId="3" fontId="69" fillId="0" borderId="0" xfId="77" applyNumberFormat="1" applyFont="1"/>
    <xf numFmtId="3" fontId="69" fillId="0" borderId="18" xfId="77" applyNumberFormat="1" applyFont="1" applyBorder="1"/>
    <xf numFmtId="0" fontId="68" fillId="0" borderId="26" xfId="77" applyFont="1" applyBorder="1" applyAlignment="1">
      <alignment horizontal="left"/>
    </xf>
    <xf numFmtId="0" fontId="68" fillId="0" borderId="20" xfId="77" applyFont="1" applyBorder="1"/>
    <xf numFmtId="0" fontId="68" fillId="0" borderId="18" xfId="77" applyFont="1" applyBorder="1" applyAlignment="1">
      <alignment horizontal="left"/>
    </xf>
    <xf numFmtId="0" fontId="2" fillId="0" borderId="0" xfId="77" applyFont="1" applyAlignment="1">
      <alignment horizontal="right"/>
    </xf>
    <xf numFmtId="0" fontId="68" fillId="0" borderId="18" xfId="77" applyFont="1" applyBorder="1" applyAlignment="1">
      <alignment horizontal="center"/>
    </xf>
    <xf numFmtId="0" fontId="68" fillId="0" borderId="23" xfId="77" applyFont="1" applyBorder="1" applyAlignment="1">
      <alignment horizontal="right"/>
    </xf>
    <xf numFmtId="0" fontId="68" fillId="0" borderId="18" xfId="77" applyFont="1" applyBorder="1" applyAlignment="1">
      <alignment horizontal="right"/>
    </xf>
    <xf numFmtId="0" fontId="68" fillId="0" borderId="26" xfId="77" applyFont="1" applyBorder="1" applyAlignment="1">
      <alignment horizontal="right"/>
    </xf>
    <xf numFmtId="0" fontId="68" fillId="0" borderId="108" xfId="77" applyFont="1" applyBorder="1" applyAlignment="1">
      <alignment horizontal="right"/>
    </xf>
    <xf numFmtId="0" fontId="68" fillId="0" borderId="0" xfId="77" applyFont="1"/>
    <xf numFmtId="0" fontId="70" fillId="0" borderId="18" xfId="77" applyFont="1" applyBorder="1" applyAlignment="1">
      <alignment horizontal="left"/>
    </xf>
    <xf numFmtId="0" fontId="73" fillId="0" borderId="0" xfId="77" applyFont="1"/>
    <xf numFmtId="0" fontId="2" fillId="0" borderId="18" xfId="77" applyFont="1" applyBorder="1" applyAlignment="1">
      <alignment horizontal="right"/>
    </xf>
    <xf numFmtId="0" fontId="2" fillId="0" borderId="0" xfId="77" applyFont="1"/>
    <xf numFmtId="0" fontId="75" fillId="0" borderId="0" xfId="77" applyFont="1"/>
    <xf numFmtId="0" fontId="68" fillId="0" borderId="17" xfId="77" applyFont="1" applyBorder="1" applyAlignment="1">
      <alignment horizontal="right"/>
    </xf>
    <xf numFmtId="0" fontId="69" fillId="0" borderId="20" xfId="77" applyFont="1" applyBorder="1" applyAlignment="1">
      <alignment horizontal="right"/>
    </xf>
    <xf numFmtId="3" fontId="74" fillId="0" borderId="0" xfId="77" applyNumberFormat="1" applyFont="1"/>
    <xf numFmtId="3" fontId="77" fillId="0" borderId="15" xfId="0" applyNumberFormat="1" applyFont="1" applyBorder="1"/>
    <xf numFmtId="2" fontId="77" fillId="0" borderId="99" xfId="0" applyNumberFormat="1" applyFont="1" applyBorder="1"/>
    <xf numFmtId="3" fontId="77" fillId="0" borderId="36" xfId="0" applyNumberFormat="1" applyFont="1" applyBorder="1"/>
    <xf numFmtId="2" fontId="77" fillId="0" borderId="68" xfId="0" applyNumberFormat="1" applyFont="1" applyBorder="1"/>
    <xf numFmtId="3" fontId="77" fillId="0" borderId="85" xfId="0" applyNumberFormat="1" applyFont="1" applyBorder="1"/>
    <xf numFmtId="3" fontId="78" fillId="0" borderId="98" xfId="0" applyNumberFormat="1" applyFont="1" applyBorder="1"/>
    <xf numFmtId="3" fontId="78" fillId="0" borderId="97" xfId="0" applyNumberFormat="1" applyFont="1" applyBorder="1"/>
    <xf numFmtId="3" fontId="78" fillId="0" borderId="43" xfId="0" applyNumberFormat="1" applyFont="1" applyBorder="1"/>
    <xf numFmtId="4" fontId="78" fillId="0" borderId="80" xfId="0" applyNumberFormat="1" applyFont="1" applyBorder="1"/>
    <xf numFmtId="3" fontId="78" fillId="0" borderId="16" xfId="0" applyNumberFormat="1" applyFont="1" applyBorder="1" applyAlignment="1">
      <alignment horizontal="center"/>
    </xf>
    <xf numFmtId="0" fontId="78" fillId="28" borderId="45" xfId="0" applyFont="1" applyFill="1" applyBorder="1" applyAlignment="1">
      <alignment horizontal="center"/>
    </xf>
    <xf numFmtId="0" fontId="78" fillId="28" borderId="63" xfId="0" applyFont="1" applyFill="1" applyBorder="1" applyAlignment="1">
      <alignment horizontal="center"/>
    </xf>
    <xf numFmtId="0" fontId="78" fillId="28" borderId="15" xfId="0" applyFont="1" applyFill="1" applyBorder="1" applyAlignment="1">
      <alignment horizontal="center"/>
    </xf>
    <xf numFmtId="0" fontId="78" fillId="28" borderId="31" xfId="0" applyFont="1" applyFill="1" applyBorder="1" applyAlignment="1">
      <alignment horizontal="center"/>
    </xf>
    <xf numFmtId="0" fontId="78" fillId="0" borderId="61" xfId="0" applyFont="1" applyBorder="1" applyAlignment="1">
      <alignment horizontal="center"/>
    </xf>
    <xf numFmtId="0" fontId="78" fillId="0" borderId="83" xfId="0" applyFont="1" applyBorder="1" applyAlignment="1">
      <alignment horizontal="center"/>
    </xf>
    <xf numFmtId="4" fontId="77" fillId="0" borderId="99" xfId="0" applyNumberFormat="1" applyFont="1" applyBorder="1"/>
    <xf numFmtId="4" fontId="77" fillId="0" borderId="68" xfId="0" applyNumberFormat="1" applyFont="1" applyBorder="1"/>
    <xf numFmtId="3" fontId="77" fillId="0" borderId="36" xfId="0" applyNumberFormat="1" applyFont="1" applyBorder="1" applyAlignment="1">
      <alignment horizontal="right"/>
    </xf>
    <xf numFmtId="0" fontId="78" fillId="0" borderId="15" xfId="0" applyFont="1" applyBorder="1" applyAlignment="1">
      <alignment horizontal="center"/>
    </xf>
    <xf numFmtId="0" fontId="78" fillId="0" borderId="85" xfId="0" applyFont="1" applyBorder="1" applyAlignment="1">
      <alignment horizontal="center"/>
    </xf>
    <xf numFmtId="0" fontId="78" fillId="0" borderId="0" xfId="0" applyFont="1" applyAlignment="1">
      <alignment horizontal="center"/>
    </xf>
    <xf numFmtId="3" fontId="78" fillId="0" borderId="21" xfId="0" applyNumberFormat="1" applyFont="1" applyBorder="1"/>
    <xf numFmtId="4" fontId="78" fillId="0" borderId="81" xfId="0" applyNumberFormat="1" applyFont="1" applyBorder="1"/>
    <xf numFmtId="3" fontId="78" fillId="0" borderId="45" xfId="0" applyNumberFormat="1" applyFont="1" applyBorder="1"/>
    <xf numFmtId="3" fontId="78" fillId="0" borderId="46" xfId="0" applyNumberFormat="1" applyFont="1" applyBorder="1"/>
    <xf numFmtId="3" fontId="78" fillId="0" borderId="113" xfId="0" applyNumberFormat="1" applyFont="1" applyBorder="1"/>
    <xf numFmtId="3" fontId="78" fillId="0" borderId="99" xfId="0" applyNumberFormat="1" applyFont="1" applyBorder="1"/>
    <xf numFmtId="3" fontId="77" fillId="0" borderId="107" xfId="77" applyNumberFormat="1" applyFont="1" applyBorder="1" applyAlignment="1">
      <alignment horizontal="right"/>
    </xf>
    <xf numFmtId="3" fontId="77" fillId="0" borderId="51" xfId="0" applyNumberFormat="1" applyFont="1" applyBorder="1"/>
    <xf numFmtId="4" fontId="77" fillId="0" borderId="67" xfId="0" applyNumberFormat="1" applyFont="1" applyBorder="1"/>
    <xf numFmtId="3" fontId="77" fillId="0" borderId="34" xfId="0" applyNumberFormat="1" applyFont="1" applyBorder="1"/>
    <xf numFmtId="3" fontId="78" fillId="0" borderId="15" xfId="0" applyNumberFormat="1" applyFont="1" applyBorder="1"/>
    <xf numFmtId="3" fontId="78" fillId="0" borderId="85" xfId="0" applyNumberFormat="1" applyFont="1" applyBorder="1"/>
    <xf numFmtId="3" fontId="77" fillId="0" borderId="61" xfId="0" applyNumberFormat="1" applyFont="1" applyBorder="1"/>
    <xf numFmtId="3" fontId="77" fillId="0" borderId="83" xfId="0" applyNumberFormat="1" applyFont="1" applyBorder="1"/>
    <xf numFmtId="3" fontId="77" fillId="0" borderId="15" xfId="0" applyNumberFormat="1" applyFont="1" applyBorder="1" applyAlignment="1">
      <alignment horizontal="right"/>
    </xf>
    <xf numFmtId="4" fontId="77" fillId="0" borderId="99" xfId="0" applyNumberFormat="1" applyFont="1" applyBorder="1" applyAlignment="1">
      <alignment horizontal="right"/>
    </xf>
    <xf numFmtId="4" fontId="77" fillId="0" borderId="68" xfId="0" applyNumberFormat="1" applyFont="1" applyBorder="1" applyAlignment="1">
      <alignment horizontal="right"/>
    </xf>
    <xf numFmtId="3" fontId="77" fillId="0" borderId="90" xfId="0" applyNumberFormat="1" applyFont="1" applyBorder="1"/>
    <xf numFmtId="4" fontId="77" fillId="0" borderId="60" xfId="0" applyNumberFormat="1" applyFont="1" applyBorder="1" applyAlignment="1">
      <alignment horizontal="right"/>
    </xf>
    <xf numFmtId="3" fontId="78" fillId="0" borderId="61" xfId="0" applyNumberFormat="1" applyFont="1" applyBorder="1"/>
    <xf numFmtId="4" fontId="78" fillId="0" borderId="83" xfId="0" applyNumberFormat="1" applyFont="1" applyBorder="1"/>
    <xf numFmtId="4" fontId="77" fillId="0" borderId="0" xfId="0" applyNumberFormat="1" applyFont="1" applyAlignment="1">
      <alignment horizontal="right"/>
    </xf>
    <xf numFmtId="4" fontId="78" fillId="28" borderId="27" xfId="0" applyNumberFormat="1" applyFont="1" applyFill="1" applyBorder="1" applyAlignment="1">
      <alignment horizontal="center"/>
    </xf>
    <xf numFmtId="4" fontId="78" fillId="28" borderId="59" xfId="0" applyNumberFormat="1" applyFont="1" applyFill="1" applyBorder="1" applyAlignment="1">
      <alignment horizontal="center"/>
    </xf>
    <xf numFmtId="4" fontId="78" fillId="0" borderId="83" xfId="0" applyNumberFormat="1" applyFont="1" applyBorder="1" applyAlignment="1">
      <alignment horizontal="center"/>
    </xf>
    <xf numFmtId="4" fontId="78" fillId="0" borderId="85" xfId="0" applyNumberFormat="1" applyFont="1" applyBorder="1" applyAlignment="1">
      <alignment horizontal="center"/>
    </xf>
    <xf numFmtId="3" fontId="78" fillId="0" borderId="21" xfId="0" applyNumberFormat="1" applyFont="1" applyBorder="1" applyAlignment="1">
      <alignment horizontal="right"/>
    </xf>
    <xf numFmtId="3" fontId="78" fillId="0" borderId="32" xfId="0" applyNumberFormat="1" applyFont="1" applyBorder="1" applyAlignment="1">
      <alignment horizontal="right"/>
    </xf>
    <xf numFmtId="4" fontId="78" fillId="0" borderId="54" xfId="0" applyNumberFormat="1" applyFont="1" applyBorder="1"/>
    <xf numFmtId="4" fontId="78" fillId="0" borderId="46" xfId="0" applyNumberFormat="1" applyFont="1" applyBorder="1"/>
    <xf numFmtId="4" fontId="78" fillId="0" borderId="53" xfId="0" applyNumberFormat="1" applyFont="1" applyBorder="1"/>
    <xf numFmtId="4" fontId="77" fillId="0" borderId="67" xfId="0" applyNumberFormat="1" applyFont="1" applyBorder="1" applyAlignment="1">
      <alignment horizontal="right"/>
    </xf>
    <xf numFmtId="3" fontId="77" fillId="30" borderId="36" xfId="0" applyNumberFormat="1" applyFont="1" applyFill="1" applyBorder="1"/>
    <xf numFmtId="4" fontId="77" fillId="0" borderId="85" xfId="0" applyNumberFormat="1" applyFont="1" applyBorder="1"/>
    <xf numFmtId="4" fontId="77" fillId="0" borderId="83" xfId="0" applyNumberFormat="1" applyFont="1" applyBorder="1"/>
    <xf numFmtId="0" fontId="78" fillId="0" borderId="82" xfId="0" applyFont="1" applyBorder="1" applyAlignment="1">
      <alignment horizontal="center"/>
    </xf>
    <xf numFmtId="0" fontId="78" fillId="0" borderId="70" xfId="0" applyFont="1" applyBorder="1" applyAlignment="1">
      <alignment horizontal="center"/>
    </xf>
    <xf numFmtId="3" fontId="78" fillId="0" borderId="23" xfId="0" applyNumberFormat="1" applyFont="1" applyBorder="1"/>
    <xf numFmtId="3" fontId="78" fillId="0" borderId="82" xfId="0" applyNumberFormat="1" applyFont="1" applyBorder="1"/>
    <xf numFmtId="3" fontId="80" fillId="0" borderId="38" xfId="0" applyNumberFormat="1" applyFont="1" applyBorder="1"/>
    <xf numFmtId="3" fontId="80" fillId="0" borderId="75" xfId="0" applyNumberFormat="1" applyFont="1" applyBorder="1"/>
    <xf numFmtId="3" fontId="78" fillId="0" borderId="75" xfId="0" applyNumberFormat="1" applyFont="1" applyBorder="1"/>
    <xf numFmtId="4" fontId="78" fillId="0" borderId="75" xfId="0" applyNumberFormat="1" applyFont="1" applyBorder="1"/>
    <xf numFmtId="3" fontId="80" fillId="0" borderId="26" xfId="0" applyNumberFormat="1" applyFont="1" applyBorder="1"/>
    <xf numFmtId="3" fontId="80" fillId="0" borderId="78" xfId="0" applyNumberFormat="1" applyFont="1" applyBorder="1"/>
    <xf numFmtId="3" fontId="78" fillId="0" borderId="78" xfId="0" applyNumberFormat="1" applyFont="1" applyBorder="1"/>
    <xf numFmtId="4" fontId="78" fillId="0" borderId="78" xfId="0" applyNumberFormat="1" applyFont="1" applyBorder="1"/>
    <xf numFmtId="3" fontId="80" fillId="0" borderId="108" xfId="0" applyNumberFormat="1" applyFont="1" applyBorder="1"/>
    <xf numFmtId="3" fontId="77" fillId="0" borderId="38" xfId="0" applyNumberFormat="1" applyFont="1" applyBorder="1"/>
    <xf numFmtId="3" fontId="77" fillId="0" borderId="75" xfId="0" applyNumberFormat="1" applyFont="1" applyBorder="1"/>
    <xf numFmtId="4" fontId="77" fillId="0" borderId="75" xfId="0" applyNumberFormat="1" applyFont="1" applyBorder="1"/>
    <xf numFmtId="3" fontId="77" fillId="0" borderId="40" xfId="0" applyNumberFormat="1" applyFont="1" applyBorder="1"/>
    <xf numFmtId="3" fontId="77" fillId="0" borderId="73" xfId="0" applyNumberFormat="1" applyFont="1" applyBorder="1"/>
    <xf numFmtId="4" fontId="77" fillId="0" borderId="73" xfId="0" applyNumberFormat="1" applyFont="1" applyBorder="1"/>
    <xf numFmtId="3" fontId="81" fillId="0" borderId="73" xfId="0" applyNumberFormat="1" applyFont="1" applyBorder="1"/>
    <xf numFmtId="3" fontId="78" fillId="0" borderId="26" xfId="0" applyNumberFormat="1" applyFont="1" applyBorder="1"/>
    <xf numFmtId="3" fontId="78" fillId="0" borderId="18" xfId="0" applyNumberFormat="1" applyFont="1" applyBorder="1"/>
    <xf numFmtId="4" fontId="78" fillId="0" borderId="69" xfId="0" applyNumberFormat="1" applyFont="1" applyBorder="1"/>
    <xf numFmtId="3" fontId="77" fillId="0" borderId="50" xfId="0" applyNumberFormat="1" applyFont="1" applyBorder="1"/>
    <xf numFmtId="3" fontId="77" fillId="0" borderId="18" xfId="0" applyNumberFormat="1" applyFont="1" applyBorder="1"/>
    <xf numFmtId="3" fontId="77" fillId="0" borderId="69" xfId="0" applyNumberFormat="1" applyFont="1" applyBorder="1"/>
    <xf numFmtId="3" fontId="78" fillId="0" borderId="38" xfId="0" applyNumberFormat="1" applyFont="1" applyBorder="1"/>
    <xf numFmtId="3" fontId="77" fillId="0" borderId="62" xfId="0" applyNumberFormat="1" applyFont="1" applyBorder="1"/>
    <xf numFmtId="3" fontId="77" fillId="0" borderId="72" xfId="0" applyNumberFormat="1" applyFont="1" applyBorder="1"/>
    <xf numFmtId="4" fontId="77" fillId="0" borderId="72" xfId="0" applyNumberFormat="1" applyFont="1" applyBorder="1"/>
    <xf numFmtId="3" fontId="78" fillId="0" borderId="17" xfId="0" applyNumberFormat="1" applyFont="1" applyBorder="1"/>
    <xf numFmtId="3" fontId="78" fillId="0" borderId="76" xfId="0" applyNumberFormat="1" applyFont="1" applyBorder="1"/>
    <xf numFmtId="4" fontId="78" fillId="0" borderId="76" xfId="0" applyNumberFormat="1" applyFont="1" applyBorder="1"/>
    <xf numFmtId="3" fontId="78" fillId="0" borderId="20" xfId="0" applyNumberFormat="1" applyFont="1" applyBorder="1"/>
    <xf numFmtId="4" fontId="78" fillId="0" borderId="86" xfId="0" applyNumberFormat="1" applyFont="1" applyBorder="1"/>
    <xf numFmtId="3" fontId="77" fillId="0" borderId="19" xfId="0" applyNumberFormat="1" applyFont="1" applyBorder="1"/>
    <xf numFmtId="3" fontId="77" fillId="0" borderId="70" xfId="0" applyNumberFormat="1" applyFont="1" applyBorder="1"/>
    <xf numFmtId="3" fontId="77" fillId="0" borderId="16" xfId="0" applyNumberFormat="1" applyFont="1" applyBorder="1"/>
    <xf numFmtId="4" fontId="77" fillId="0" borderId="86" xfId="0" applyNumberFormat="1" applyFont="1" applyBorder="1"/>
    <xf numFmtId="3" fontId="78" fillId="0" borderId="91" xfId="0" applyNumberFormat="1" applyFont="1" applyBorder="1"/>
    <xf numFmtId="3" fontId="78" fillId="0" borderId="77" xfId="0" applyNumberFormat="1" applyFont="1" applyBorder="1"/>
    <xf numFmtId="3" fontId="77" fillId="0" borderId="104" xfId="0" applyNumberFormat="1" applyFont="1" applyBorder="1"/>
    <xf numFmtId="3" fontId="77" fillId="0" borderId="86" xfId="0" applyNumberFormat="1" applyFont="1" applyBorder="1"/>
    <xf numFmtId="3" fontId="78" fillId="0" borderId="0" xfId="0" applyNumberFormat="1" applyFont="1"/>
    <xf numFmtId="3" fontId="78" fillId="0" borderId="69" xfId="0" applyNumberFormat="1" applyFont="1" applyBorder="1"/>
    <xf numFmtId="3" fontId="78" fillId="0" borderId="77" xfId="0" applyNumberFormat="1" applyFont="1" applyBorder="1" applyProtection="1">
      <protection locked="0"/>
    </xf>
    <xf numFmtId="3" fontId="78" fillId="0" borderId="82" xfId="0" applyNumberFormat="1" applyFont="1" applyBorder="1" applyProtection="1">
      <protection locked="0"/>
    </xf>
    <xf numFmtId="3" fontId="78" fillId="0" borderId="46" xfId="0" applyNumberFormat="1" applyFont="1" applyBorder="1" applyProtection="1">
      <protection locked="0"/>
    </xf>
    <xf numFmtId="3" fontId="78" fillId="0" borderId="69" xfId="0" applyNumberFormat="1" applyFont="1" applyBorder="1" applyProtection="1">
      <protection locked="0"/>
    </xf>
    <xf numFmtId="3" fontId="78" fillId="0" borderId="0" xfId="0" applyNumberFormat="1" applyFont="1" applyProtection="1">
      <protection locked="0"/>
    </xf>
    <xf numFmtId="3" fontId="77" fillId="0" borderId="73" xfId="0" applyNumberFormat="1" applyFont="1" applyBorder="1" applyProtection="1">
      <protection locked="0"/>
    </xf>
    <xf numFmtId="4" fontId="78" fillId="0" borderId="73" xfId="0" applyNumberFormat="1" applyFont="1" applyBorder="1"/>
    <xf numFmtId="3" fontId="78" fillId="0" borderId="70" xfId="0" applyNumberFormat="1" applyFont="1" applyBorder="1" applyProtection="1">
      <protection locked="0"/>
    </xf>
    <xf numFmtId="0" fontId="78" fillId="0" borderId="46" xfId="0" applyFont="1" applyBorder="1" applyAlignment="1">
      <alignment horizontal="center"/>
    </xf>
    <xf numFmtId="0" fontId="78" fillId="28" borderId="82" xfId="0" applyFont="1" applyFill="1" applyBorder="1" applyAlignment="1">
      <alignment horizontal="center"/>
    </xf>
    <xf numFmtId="3" fontId="78" fillId="0" borderId="73" xfId="0" applyNumberFormat="1" applyFont="1" applyBorder="1" applyProtection="1">
      <protection locked="0"/>
    </xf>
    <xf numFmtId="3" fontId="78" fillId="0" borderId="37" xfId="0" applyNumberFormat="1" applyFont="1" applyBorder="1" applyProtection="1">
      <protection locked="0"/>
    </xf>
    <xf numFmtId="4" fontId="78" fillId="0" borderId="82" xfId="0" applyNumberFormat="1" applyFont="1" applyBorder="1"/>
    <xf numFmtId="3" fontId="77" fillId="0" borderId="75" xfId="0" applyNumberFormat="1" applyFont="1" applyBorder="1" applyProtection="1">
      <protection locked="0"/>
    </xf>
    <xf numFmtId="3" fontId="77" fillId="0" borderId="72" xfId="0" applyNumberFormat="1" applyFont="1" applyBorder="1" applyProtection="1">
      <protection locked="0"/>
    </xf>
    <xf numFmtId="0" fontId="77" fillId="0" borderId="73" xfId="0" applyFont="1" applyBorder="1"/>
    <xf numFmtId="3" fontId="78" fillId="0" borderId="76" xfId="0" applyNumberFormat="1" applyFont="1" applyBorder="1" applyProtection="1">
      <protection locked="0"/>
    </xf>
    <xf numFmtId="0" fontId="77" fillId="0" borderId="82" xfId="0" applyFont="1" applyBorder="1"/>
    <xf numFmtId="0" fontId="77" fillId="0" borderId="69" xfId="0" applyFont="1" applyBorder="1"/>
    <xf numFmtId="3" fontId="77" fillId="0" borderId="69" xfId="0" applyNumberFormat="1" applyFont="1" applyBorder="1" applyProtection="1">
      <protection locked="0"/>
    </xf>
    <xf numFmtId="0" fontId="78" fillId="0" borderId="53" xfId="0" applyFont="1" applyBorder="1" applyAlignment="1">
      <alignment horizontal="center"/>
    </xf>
    <xf numFmtId="0" fontId="78" fillId="0" borderId="43" xfId="0" applyFont="1" applyBorder="1" applyAlignment="1">
      <alignment horizontal="center"/>
    </xf>
    <xf numFmtId="0" fontId="78" fillId="28" borderId="61" xfId="0" applyFont="1" applyFill="1" applyBorder="1" applyAlignment="1">
      <alignment horizontal="center"/>
    </xf>
    <xf numFmtId="0" fontId="78" fillId="0" borderId="28" xfId="0" applyFont="1" applyBorder="1" applyAlignment="1">
      <alignment horizontal="center"/>
    </xf>
    <xf numFmtId="3" fontId="77" fillId="29" borderId="115" xfId="0" applyNumberFormat="1" applyFont="1" applyFill="1" applyBorder="1"/>
    <xf numFmtId="3" fontId="77" fillId="29" borderId="113" xfId="0" applyNumberFormat="1" applyFont="1" applyFill="1" applyBorder="1"/>
    <xf numFmtId="2" fontId="77" fillId="29" borderId="99" xfId="0" applyNumberFormat="1" applyFont="1" applyFill="1" applyBorder="1"/>
    <xf numFmtId="3" fontId="77" fillId="29" borderId="34" xfId="0" applyNumberFormat="1" applyFont="1" applyFill="1" applyBorder="1"/>
    <xf numFmtId="3" fontId="77" fillId="29" borderId="36" xfId="0" applyNumberFormat="1" applyFont="1" applyFill="1" applyBorder="1"/>
    <xf numFmtId="2" fontId="77" fillId="29" borderId="67" xfId="0" applyNumberFormat="1" applyFont="1" applyFill="1" applyBorder="1"/>
    <xf numFmtId="3" fontId="77" fillId="0" borderId="35" xfId="0" applyNumberFormat="1" applyFont="1" applyBorder="1"/>
    <xf numFmtId="3" fontId="77" fillId="0" borderId="64" xfId="0" applyNumberFormat="1" applyFont="1" applyBorder="1"/>
    <xf numFmtId="2" fontId="77" fillId="0" borderId="67" xfId="0" applyNumberFormat="1" applyFont="1" applyBorder="1"/>
    <xf numFmtId="3" fontId="78" fillId="0" borderId="44" xfId="0" applyNumberFormat="1" applyFont="1" applyBorder="1"/>
    <xf numFmtId="2" fontId="78" fillId="0" borderId="54" xfId="0" applyNumberFormat="1" applyFont="1" applyBorder="1"/>
    <xf numFmtId="3" fontId="77" fillId="29" borderId="51" xfId="0" applyNumberFormat="1" applyFont="1" applyFill="1" applyBorder="1"/>
    <xf numFmtId="3" fontId="77" fillId="0" borderId="107" xfId="0" applyNumberFormat="1" applyFont="1" applyBorder="1"/>
    <xf numFmtId="3" fontId="77" fillId="0" borderId="29" xfId="0" applyNumberFormat="1" applyFont="1" applyBorder="1"/>
    <xf numFmtId="2" fontId="78" fillId="0" borderId="56" xfId="0" applyNumberFormat="1" applyFont="1" applyBorder="1"/>
    <xf numFmtId="2" fontId="78" fillId="0" borderId="60" xfId="0" applyNumberFormat="1" applyFont="1" applyBorder="1"/>
    <xf numFmtId="0" fontId="78" fillId="28" borderId="53" xfId="0" applyFont="1" applyFill="1" applyBorder="1" applyAlignment="1">
      <alignment horizontal="center"/>
    </xf>
    <xf numFmtId="0" fontId="78" fillId="28" borderId="28" xfId="0" applyFont="1" applyFill="1" applyBorder="1" applyAlignment="1">
      <alignment horizontal="center"/>
    </xf>
    <xf numFmtId="3" fontId="77" fillId="29" borderId="52" xfId="0" applyNumberFormat="1" applyFont="1" applyFill="1" applyBorder="1"/>
    <xf numFmtId="3" fontId="77" fillId="29" borderId="45" xfId="0" applyNumberFormat="1" applyFont="1" applyFill="1" applyBorder="1" applyAlignment="1">
      <alignment horizontal="right"/>
    </xf>
    <xf numFmtId="4" fontId="77" fillId="29" borderId="27" xfId="0" applyNumberFormat="1" applyFont="1" applyFill="1" applyBorder="1" applyAlignment="1">
      <alignment horizontal="right"/>
    </xf>
    <xf numFmtId="3" fontId="77" fillId="29" borderId="98" xfId="0" applyNumberFormat="1" applyFont="1" applyFill="1" applyBorder="1"/>
    <xf numFmtId="3" fontId="77" fillId="29" borderId="64" xfId="0" applyNumberFormat="1" applyFont="1" applyFill="1" applyBorder="1"/>
    <xf numFmtId="4" fontId="77" fillId="29" borderId="106" xfId="0" applyNumberFormat="1" applyFont="1" applyFill="1" applyBorder="1" applyAlignment="1">
      <alignment horizontal="right"/>
    </xf>
    <xf numFmtId="0" fontId="78" fillId="0" borderId="0" xfId="0" applyFont="1"/>
    <xf numFmtId="4" fontId="78" fillId="0" borderId="0" xfId="0" applyNumberFormat="1" applyFont="1"/>
    <xf numFmtId="3" fontId="78" fillId="0" borderId="60" xfId="0" applyNumberFormat="1" applyFont="1" applyBorder="1"/>
    <xf numFmtId="4" fontId="78" fillId="0" borderId="60" xfId="0" applyNumberFormat="1" applyFont="1" applyBorder="1"/>
    <xf numFmtId="0" fontId="78" fillId="28" borderId="70" xfId="0" applyFont="1" applyFill="1" applyBorder="1" applyAlignment="1">
      <alignment horizontal="center"/>
    </xf>
    <xf numFmtId="0" fontId="78" fillId="0" borderId="69" xfId="0" applyFont="1" applyBorder="1" applyAlignment="1">
      <alignment horizontal="center"/>
    </xf>
    <xf numFmtId="3" fontId="78" fillId="0" borderId="69" xfId="0" applyNumberFormat="1" applyFont="1" applyBorder="1" applyAlignment="1">
      <alignment horizontal="center"/>
    </xf>
    <xf numFmtId="4" fontId="78" fillId="0" borderId="69" xfId="0" applyNumberFormat="1" applyFont="1" applyBorder="1" applyAlignment="1">
      <alignment horizontal="center"/>
    </xf>
    <xf numFmtId="4" fontId="78" fillId="0" borderId="77" xfId="0" applyNumberFormat="1" applyFont="1" applyBorder="1"/>
    <xf numFmtId="3" fontId="78" fillId="0" borderId="70" xfId="0" applyNumberFormat="1" applyFont="1" applyBorder="1"/>
    <xf numFmtId="3" fontId="77" fillId="0" borderId="82" xfId="0" applyNumberFormat="1" applyFont="1" applyBorder="1"/>
    <xf numFmtId="4" fontId="77" fillId="0" borderId="82" xfId="0" applyNumberFormat="1" applyFont="1" applyBorder="1"/>
    <xf numFmtId="3" fontId="77" fillId="0" borderId="75" xfId="0" applyNumberFormat="1" applyFont="1" applyBorder="1" applyAlignment="1">
      <alignment horizontal="right"/>
    </xf>
    <xf numFmtId="3" fontId="81" fillId="0" borderId="75" xfId="0" applyNumberFormat="1" applyFont="1" applyBorder="1" applyAlignment="1">
      <alignment horizontal="right"/>
    </xf>
    <xf numFmtId="4" fontId="81" fillId="0" borderId="75" xfId="0" applyNumberFormat="1" applyFont="1" applyBorder="1" applyAlignment="1">
      <alignment horizontal="right"/>
    </xf>
    <xf numFmtId="3" fontId="77" fillId="0" borderId="75" xfId="78" applyNumberFormat="1" applyFont="1" applyBorder="1" applyAlignment="1">
      <alignment horizontal="right" wrapText="1"/>
    </xf>
    <xf numFmtId="3" fontId="77" fillId="0" borderId="73" xfId="0" applyNumberFormat="1" applyFont="1" applyBorder="1" applyAlignment="1">
      <alignment horizontal="right"/>
    </xf>
    <xf numFmtId="3" fontId="77" fillId="0" borderId="69" xfId="0" applyNumberFormat="1" applyFont="1" applyBorder="1" applyAlignment="1">
      <alignment horizontal="right"/>
    </xf>
    <xf numFmtId="3" fontId="77" fillId="0" borderId="103" xfId="0" applyNumberFormat="1" applyFont="1" applyBorder="1" applyAlignment="1">
      <alignment horizontal="right"/>
    </xf>
    <xf numFmtId="3" fontId="81" fillId="0" borderId="103" xfId="0" applyNumberFormat="1" applyFont="1" applyBorder="1" applyAlignment="1">
      <alignment horizontal="right"/>
    </xf>
    <xf numFmtId="3" fontId="78" fillId="0" borderId="70" xfId="0" applyNumberFormat="1" applyFont="1" applyBorder="1" applyAlignment="1">
      <alignment horizontal="right"/>
    </xf>
    <xf numFmtId="4" fontId="78" fillId="0" borderId="70" xfId="0" applyNumberFormat="1" applyFont="1" applyBorder="1" applyAlignment="1">
      <alignment horizontal="right"/>
    </xf>
    <xf numFmtId="3" fontId="78" fillId="0" borderId="88" xfId="0" applyNumberFormat="1" applyFont="1" applyBorder="1"/>
    <xf numFmtId="4" fontId="78" fillId="0" borderId="88" xfId="0" applyNumberFormat="1" applyFont="1" applyBorder="1"/>
    <xf numFmtId="3" fontId="78" fillId="0" borderId="76" xfId="0" applyNumberFormat="1" applyFont="1" applyBorder="1" applyAlignment="1">
      <alignment horizontal="right"/>
    </xf>
    <xf numFmtId="4" fontId="78" fillId="0" borderId="76" xfId="0" applyNumberFormat="1" applyFont="1" applyBorder="1" applyAlignment="1">
      <alignment horizontal="right"/>
    </xf>
    <xf numFmtId="3" fontId="78" fillId="0" borderId="40" xfId="0" applyNumberFormat="1" applyFont="1" applyBorder="1"/>
    <xf numFmtId="3" fontId="77" fillId="29" borderId="72" xfId="0" applyNumberFormat="1" applyFont="1" applyFill="1" applyBorder="1"/>
    <xf numFmtId="3" fontId="78" fillId="0" borderId="86" xfId="0" applyNumberFormat="1" applyFont="1" applyBorder="1"/>
    <xf numFmtId="2" fontId="78" fillId="0" borderId="81" xfId="0" applyNumberFormat="1" applyFont="1" applyBorder="1"/>
    <xf numFmtId="3" fontId="78" fillId="0" borderId="81" xfId="0" applyNumberFormat="1" applyFont="1" applyBorder="1"/>
    <xf numFmtId="4" fontId="77" fillId="29" borderId="67" xfId="0" applyNumberFormat="1" applyFont="1" applyFill="1" applyBorder="1"/>
    <xf numFmtId="4" fontId="77" fillId="29" borderId="68" xfId="0" applyNumberFormat="1" applyFont="1" applyFill="1" applyBorder="1"/>
    <xf numFmtId="3" fontId="81" fillId="29" borderId="68" xfId="0" applyNumberFormat="1" applyFont="1" applyFill="1" applyBorder="1"/>
    <xf numFmtId="3" fontId="77" fillId="29" borderId="15" xfId="0" applyNumberFormat="1" applyFont="1" applyFill="1" applyBorder="1"/>
    <xf numFmtId="3" fontId="77" fillId="0" borderId="45" xfId="0" applyNumberFormat="1" applyFont="1" applyBorder="1"/>
    <xf numFmtId="3" fontId="77" fillId="0" borderId="46" xfId="0" applyNumberFormat="1" applyFont="1" applyBorder="1"/>
    <xf numFmtId="4" fontId="77" fillId="0" borderId="27" xfId="0" applyNumberFormat="1" applyFont="1" applyBorder="1"/>
    <xf numFmtId="3" fontId="77" fillId="29" borderId="29" xfId="0" applyNumberFormat="1" applyFont="1" applyFill="1" applyBorder="1"/>
    <xf numFmtId="3" fontId="77" fillId="29" borderId="35" xfId="0" applyNumberFormat="1" applyFont="1" applyFill="1" applyBorder="1"/>
    <xf numFmtId="4" fontId="77" fillId="29" borderId="106" xfId="0" applyNumberFormat="1" applyFont="1" applyFill="1" applyBorder="1"/>
    <xf numFmtId="3" fontId="77" fillId="0" borderId="39" xfId="0" applyNumberFormat="1" applyFont="1" applyBorder="1"/>
    <xf numFmtId="4" fontId="77" fillId="0" borderId="71" xfId="0" applyNumberFormat="1" applyFont="1" applyBorder="1"/>
    <xf numFmtId="3" fontId="77" fillId="0" borderId="52" xfId="0" applyNumberFormat="1" applyFont="1" applyBorder="1"/>
    <xf numFmtId="3" fontId="78" fillId="0" borderId="100" xfId="0" applyNumberFormat="1" applyFont="1" applyBorder="1"/>
    <xf numFmtId="0" fontId="78" fillId="0" borderId="27" xfId="0" applyFont="1" applyBorder="1" applyAlignment="1">
      <alignment horizontal="center"/>
    </xf>
    <xf numFmtId="3" fontId="77" fillId="0" borderId="0" xfId="0" applyNumberFormat="1" applyFont="1"/>
    <xf numFmtId="0" fontId="78" fillId="28" borderId="47" xfId="0" applyFont="1" applyFill="1" applyBorder="1" applyAlignment="1">
      <alignment horizontal="center"/>
    </xf>
    <xf numFmtId="3" fontId="78" fillId="0" borderId="48" xfId="0" applyNumberFormat="1" applyFont="1" applyBorder="1"/>
    <xf numFmtId="3" fontId="78" fillId="0" borderId="33" xfId="0" applyNumberFormat="1" applyFont="1" applyBorder="1"/>
    <xf numFmtId="3" fontId="77" fillId="29" borderId="15" xfId="0" applyNumberFormat="1" applyFont="1" applyFill="1" applyBorder="1" applyAlignment="1">
      <alignment horizontal="right"/>
    </xf>
    <xf numFmtId="3" fontId="77" fillId="29" borderId="29" xfId="0" applyNumberFormat="1" applyFont="1" applyFill="1" applyBorder="1" applyAlignment="1">
      <alignment horizontal="right"/>
    </xf>
    <xf numFmtId="0" fontId="78" fillId="29" borderId="15" xfId="0" applyFont="1" applyFill="1" applyBorder="1" applyAlignment="1">
      <alignment horizontal="center"/>
    </xf>
    <xf numFmtId="2" fontId="77" fillId="29" borderId="59" xfId="0" applyNumberFormat="1" applyFont="1" applyFill="1" applyBorder="1"/>
    <xf numFmtId="0" fontId="78" fillId="29" borderId="36" xfId="0" applyFont="1" applyFill="1" applyBorder="1" applyAlignment="1">
      <alignment horizontal="center"/>
    </xf>
    <xf numFmtId="3" fontId="77" fillId="29" borderId="34" xfId="0" applyNumberFormat="1" applyFont="1" applyFill="1" applyBorder="1" applyAlignment="1">
      <alignment horizontal="right"/>
    </xf>
    <xf numFmtId="2" fontId="77" fillId="29" borderId="68" xfId="0" applyNumberFormat="1" applyFont="1" applyFill="1" applyBorder="1"/>
    <xf numFmtId="0" fontId="78" fillId="0" borderId="91" xfId="0" applyFont="1" applyBorder="1"/>
    <xf numFmtId="0" fontId="77" fillId="0" borderId="85" xfId="0" applyFont="1" applyBorder="1"/>
    <xf numFmtId="3" fontId="77" fillId="29" borderId="68" xfId="0" applyNumberFormat="1" applyFont="1" applyFill="1" applyBorder="1"/>
    <xf numFmtId="3" fontId="77" fillId="29" borderId="114" xfId="0" applyNumberFormat="1" applyFont="1" applyFill="1" applyBorder="1"/>
    <xf numFmtId="4" fontId="77" fillId="29" borderId="99" xfId="0" applyNumberFormat="1" applyFont="1" applyFill="1" applyBorder="1"/>
    <xf numFmtId="3" fontId="77" fillId="29" borderId="37" xfId="0" applyNumberFormat="1" applyFont="1" applyFill="1" applyBorder="1"/>
    <xf numFmtId="3" fontId="77" fillId="29" borderId="0" xfId="0" applyNumberFormat="1" applyFont="1" applyFill="1"/>
    <xf numFmtId="3" fontId="77" fillId="0" borderId="113" xfId="0" applyNumberFormat="1" applyFont="1" applyBorder="1"/>
    <xf numFmtId="2" fontId="77" fillId="0" borderId="59" xfId="0" applyNumberFormat="1" applyFont="1" applyBorder="1"/>
    <xf numFmtId="3" fontId="77" fillId="0" borderId="21" xfId="0" applyNumberFormat="1" applyFont="1" applyBorder="1"/>
    <xf numFmtId="2" fontId="77" fillId="0" borderId="60" xfId="0" applyNumberFormat="1" applyFont="1" applyBorder="1"/>
    <xf numFmtId="2" fontId="77" fillId="0" borderId="27" xfId="0" applyNumberFormat="1" applyFont="1" applyBorder="1"/>
    <xf numFmtId="3" fontId="78" fillId="0" borderId="32" xfId="0" applyNumberFormat="1" applyFont="1" applyBorder="1"/>
    <xf numFmtId="3" fontId="78" fillId="0" borderId="49" xfId="0" applyNumberFormat="1" applyFont="1" applyBorder="1"/>
    <xf numFmtId="4" fontId="78" fillId="0" borderId="58" xfId="0" applyNumberFormat="1" applyFont="1" applyBorder="1"/>
    <xf numFmtId="2" fontId="77" fillId="0" borderId="111" xfId="0" applyNumberFormat="1" applyFont="1" applyBorder="1"/>
    <xf numFmtId="3" fontId="81" fillId="29" borderId="36" xfId="0" applyNumberFormat="1" applyFont="1" applyFill="1" applyBorder="1"/>
    <xf numFmtId="4" fontId="81" fillId="29" borderId="67" xfId="0" applyNumberFormat="1" applyFont="1" applyFill="1" applyBorder="1"/>
    <xf numFmtId="3" fontId="81" fillId="29" borderId="15" xfId="0" applyNumberFormat="1" applyFont="1" applyFill="1" applyBorder="1"/>
    <xf numFmtId="3" fontId="81" fillId="0" borderId="36" xfId="0" applyNumberFormat="1" applyFont="1" applyBorder="1"/>
    <xf numFmtId="4" fontId="81" fillId="0" borderId="68" xfId="0" applyNumberFormat="1" applyFont="1" applyBorder="1"/>
    <xf numFmtId="2" fontId="81" fillId="0" borderId="67" xfId="0" applyNumberFormat="1" applyFont="1" applyBorder="1"/>
    <xf numFmtId="3" fontId="81" fillId="0" borderId="51" xfId="0" applyNumberFormat="1" applyFont="1" applyBorder="1"/>
    <xf numFmtId="3" fontId="81" fillId="0" borderId="65" xfId="0" applyNumberFormat="1" applyFont="1" applyBorder="1"/>
    <xf numFmtId="3" fontId="81" fillId="0" borderId="34" xfId="0" applyNumberFormat="1" applyFont="1" applyBorder="1"/>
    <xf numFmtId="2" fontId="81" fillId="0" borderId="68" xfId="0" applyNumberFormat="1" applyFont="1" applyBorder="1"/>
    <xf numFmtId="3" fontId="77" fillId="0" borderId="65" xfId="0" applyNumberFormat="1" applyFont="1" applyBorder="1"/>
    <xf numFmtId="3" fontId="81" fillId="30" borderId="34" xfId="0" applyNumberFormat="1" applyFont="1" applyFill="1" applyBorder="1"/>
    <xf numFmtId="3" fontId="78" fillId="0" borderId="47" xfId="0" applyNumberFormat="1" applyFont="1" applyBorder="1"/>
    <xf numFmtId="3" fontId="79" fillId="0" borderId="47" xfId="0" applyNumberFormat="1" applyFont="1" applyBorder="1"/>
    <xf numFmtId="2" fontId="79" fillId="0" borderId="27" xfId="0" applyNumberFormat="1" applyFont="1" applyBorder="1"/>
    <xf numFmtId="3" fontId="79" fillId="0" borderId="34" xfId="0" applyNumberFormat="1" applyFont="1" applyBorder="1"/>
    <xf numFmtId="2" fontId="79" fillId="0" borderId="28" xfId="0" applyNumberFormat="1" applyFont="1" applyBorder="1"/>
    <xf numFmtId="3" fontId="79" fillId="0" borderId="48" xfId="0" applyNumberFormat="1" applyFont="1" applyBorder="1"/>
    <xf numFmtId="2" fontId="79" fillId="0" borderId="60" xfId="0" applyNumberFormat="1" applyFont="1" applyBorder="1"/>
    <xf numFmtId="2" fontId="77" fillId="0" borderId="71" xfId="0" applyNumberFormat="1" applyFont="1" applyBorder="1"/>
    <xf numFmtId="3" fontId="77" fillId="29" borderId="65" xfId="0" applyNumberFormat="1" applyFont="1" applyFill="1" applyBorder="1" applyProtection="1">
      <protection locked="0"/>
    </xf>
    <xf numFmtId="3" fontId="77" fillId="0" borderId="65" xfId="0" applyNumberFormat="1" applyFont="1" applyBorder="1" applyProtection="1">
      <protection locked="0"/>
    </xf>
    <xf numFmtId="3" fontId="77" fillId="29" borderId="34" xfId="0" applyNumberFormat="1" applyFont="1" applyFill="1" applyBorder="1" applyProtection="1">
      <protection locked="0"/>
    </xf>
    <xf numFmtId="3" fontId="77" fillId="29" borderId="65" xfId="0" applyNumberFormat="1" applyFont="1" applyFill="1" applyBorder="1"/>
    <xf numFmtId="2" fontId="77" fillId="29" borderId="71" xfId="0" applyNumberFormat="1" applyFont="1" applyFill="1" applyBorder="1"/>
    <xf numFmtId="3" fontId="77" fillId="0" borderId="115" xfId="0" applyNumberFormat="1" applyFont="1" applyBorder="1" applyProtection="1">
      <protection locked="0"/>
    </xf>
    <xf numFmtId="3" fontId="77" fillId="0" borderId="107" xfId="0" applyNumberFormat="1" applyFont="1" applyBorder="1" applyProtection="1">
      <protection locked="0"/>
    </xf>
    <xf numFmtId="3" fontId="77" fillId="0" borderId="34" xfId="0" applyNumberFormat="1" applyFont="1" applyBorder="1" applyProtection="1">
      <protection locked="0"/>
    </xf>
    <xf numFmtId="3" fontId="77" fillId="0" borderId="29" xfId="0" applyNumberFormat="1" applyFont="1" applyBorder="1" applyProtection="1">
      <protection locked="0"/>
    </xf>
    <xf numFmtId="3" fontId="77" fillId="0" borderId="59" xfId="0" applyNumberFormat="1" applyFont="1" applyBorder="1"/>
    <xf numFmtId="3" fontId="77" fillId="0" borderId="73" xfId="77" applyNumberFormat="1" applyFont="1" applyBorder="1" applyAlignment="1">
      <alignment horizontal="right"/>
    </xf>
    <xf numFmtId="4" fontId="77" fillId="0" borderId="73" xfId="77" applyNumberFormat="1" applyFont="1" applyBorder="1" applyAlignment="1">
      <alignment horizontal="right"/>
    </xf>
    <xf numFmtId="3" fontId="77" fillId="0" borderId="69" xfId="77" applyNumberFormat="1" applyFont="1" applyBorder="1" applyAlignment="1">
      <alignment horizontal="right"/>
    </xf>
    <xf numFmtId="3" fontId="80" fillId="0" borderId="78" xfId="0" applyNumberFormat="1" applyFont="1" applyBorder="1" applyAlignment="1">
      <alignment horizontal="right"/>
    </xf>
    <xf numFmtId="4" fontId="80" fillId="0" borderId="78" xfId="77" applyNumberFormat="1" applyFont="1" applyBorder="1" applyAlignment="1">
      <alignment horizontal="right"/>
    </xf>
    <xf numFmtId="3" fontId="80" fillId="0" borderId="119" xfId="0" applyNumberFormat="1" applyFont="1" applyBorder="1" applyAlignment="1">
      <alignment horizontal="right"/>
    </xf>
    <xf numFmtId="4" fontId="80" fillId="0" borderId="119" xfId="77" applyNumberFormat="1" applyFont="1" applyBorder="1" applyAlignment="1">
      <alignment horizontal="right"/>
    </xf>
    <xf numFmtId="3" fontId="78" fillId="0" borderId="103" xfId="0" applyNumberFormat="1" applyFont="1" applyBorder="1" applyAlignment="1">
      <alignment horizontal="right"/>
    </xf>
    <xf numFmtId="4" fontId="80" fillId="0" borderId="103" xfId="77" applyNumberFormat="1" applyFont="1" applyBorder="1" applyAlignment="1">
      <alignment horizontal="right"/>
    </xf>
    <xf numFmtId="3" fontId="77" fillId="0" borderId="75" xfId="77" applyNumberFormat="1" applyFont="1" applyBorder="1" applyAlignment="1">
      <alignment horizontal="right"/>
    </xf>
    <xf numFmtId="4" fontId="77" fillId="0" borderId="72" xfId="77" applyNumberFormat="1" applyFont="1" applyBorder="1" applyAlignment="1">
      <alignment horizontal="right"/>
    </xf>
    <xf numFmtId="3" fontId="78" fillId="0" borderId="112" xfId="77" applyNumberFormat="1" applyFont="1" applyBorder="1" applyAlignment="1">
      <alignment horizontal="right"/>
    </xf>
    <xf numFmtId="4" fontId="78" fillId="0" borderId="69" xfId="77" applyNumberFormat="1" applyFont="1" applyBorder="1" applyAlignment="1">
      <alignment horizontal="right"/>
    </xf>
    <xf numFmtId="3" fontId="78" fillId="0" borderId="78" xfId="77" applyNumberFormat="1" applyFont="1" applyBorder="1"/>
    <xf numFmtId="4" fontId="78" fillId="0" borderId="78" xfId="77" applyNumberFormat="1" applyFont="1" applyBorder="1"/>
    <xf numFmtId="3" fontId="77" fillId="0" borderId="73" xfId="77" applyNumberFormat="1" applyFont="1" applyBorder="1"/>
    <xf numFmtId="2" fontId="77" fillId="0" borderId="73" xfId="77" applyNumberFormat="1" applyFont="1" applyBorder="1"/>
    <xf numFmtId="3" fontId="77" fillId="0" borderId="69" xfId="77" applyNumberFormat="1" applyFont="1" applyBorder="1"/>
    <xf numFmtId="3" fontId="78" fillId="0" borderId="77" xfId="0" applyNumberFormat="1" applyFont="1" applyBorder="1" applyAlignment="1">
      <alignment horizontal="right"/>
    </xf>
    <xf numFmtId="4" fontId="78" fillId="0" borderId="77" xfId="0" applyNumberFormat="1" applyFont="1" applyBorder="1" applyAlignment="1">
      <alignment horizontal="right"/>
    </xf>
    <xf numFmtId="3" fontId="78" fillId="0" borderId="69" xfId="77" applyNumberFormat="1" applyFont="1" applyBorder="1"/>
    <xf numFmtId="3" fontId="78" fillId="0" borderId="73" xfId="77" applyNumberFormat="1" applyFont="1" applyBorder="1"/>
    <xf numFmtId="2" fontId="77" fillId="0" borderId="69" xfId="77" applyNumberFormat="1" applyFont="1" applyBorder="1"/>
    <xf numFmtId="4" fontId="78" fillId="0" borderId="78" xfId="0" applyNumberFormat="1" applyFont="1" applyBorder="1" applyAlignment="1">
      <alignment horizontal="right"/>
    </xf>
    <xf numFmtId="3" fontId="77" fillId="0" borderId="75" xfId="77" applyNumberFormat="1" applyFont="1" applyBorder="1"/>
    <xf numFmtId="2" fontId="77" fillId="0" borderId="75" xfId="77" applyNumberFormat="1" applyFont="1" applyBorder="1"/>
    <xf numFmtId="3" fontId="78" fillId="0" borderId="76" xfId="77" applyNumberFormat="1" applyFont="1" applyBorder="1"/>
    <xf numFmtId="3" fontId="77" fillId="0" borderId="113" xfId="77" applyNumberFormat="1" applyFont="1" applyBorder="1" applyAlignment="1">
      <alignment horizontal="center"/>
    </xf>
    <xf numFmtId="3" fontId="77" fillId="0" borderId="113" xfId="77" applyNumberFormat="1" applyFont="1" applyBorder="1"/>
    <xf numFmtId="3" fontId="77" fillId="0" borderId="15" xfId="77" applyNumberFormat="1" applyFont="1" applyBorder="1" applyAlignment="1">
      <alignment horizontal="center"/>
    </xf>
    <xf numFmtId="3" fontId="77" fillId="0" borderId="15" xfId="77" applyNumberFormat="1" applyFont="1" applyBorder="1"/>
    <xf numFmtId="3" fontId="77" fillId="0" borderId="36" xfId="77" applyNumberFormat="1" applyFont="1" applyBorder="1" applyAlignment="1">
      <alignment horizontal="right"/>
    </xf>
    <xf numFmtId="3" fontId="81" fillId="0" borderId="36" xfId="77" applyNumberFormat="1" applyFont="1" applyBorder="1"/>
    <xf numFmtId="3" fontId="77" fillId="0" borderId="15" xfId="77" applyNumberFormat="1" applyFont="1" applyBorder="1" applyAlignment="1">
      <alignment horizontal="right"/>
    </xf>
    <xf numFmtId="3" fontId="78" fillId="0" borderId="32" xfId="77" applyNumberFormat="1" applyFont="1" applyBorder="1"/>
    <xf numFmtId="3" fontId="78" fillId="0" borderId="110" xfId="77" applyNumberFormat="1" applyFont="1" applyBorder="1"/>
    <xf numFmtId="3" fontId="77" fillId="0" borderId="36" xfId="77" applyNumberFormat="1" applyFont="1" applyBorder="1"/>
    <xf numFmtId="3" fontId="77" fillId="0" borderId="52" xfId="77" applyNumberFormat="1" applyFont="1" applyBorder="1" applyAlignment="1">
      <alignment horizontal="right"/>
    </xf>
    <xf numFmtId="3" fontId="77" fillId="0" borderId="51" xfId="77" applyNumberFormat="1" applyFont="1" applyBorder="1"/>
    <xf numFmtId="3" fontId="77" fillId="0" borderId="39" xfId="77" applyNumberFormat="1" applyFont="1" applyBorder="1"/>
    <xf numFmtId="3" fontId="81" fillId="0" borderId="51" xfId="77" applyNumberFormat="1" applyFont="1" applyBorder="1"/>
    <xf numFmtId="3" fontId="77" fillId="0" borderId="51" xfId="77" applyNumberFormat="1" applyFont="1" applyBorder="1" applyAlignment="1">
      <alignment horizontal="right"/>
    </xf>
    <xf numFmtId="3" fontId="77" fillId="0" borderId="52" xfId="77" applyNumberFormat="1" applyFont="1" applyBorder="1"/>
    <xf numFmtId="3" fontId="78" fillId="0" borderId="36" xfId="77" applyNumberFormat="1" applyFont="1" applyBorder="1" applyAlignment="1">
      <alignment horizontal="right"/>
    </xf>
    <xf numFmtId="3" fontId="77" fillId="0" borderId="90" xfId="77" applyNumberFormat="1" applyFont="1" applyBorder="1"/>
    <xf numFmtId="3" fontId="81" fillId="0" borderId="52" xfId="77" applyNumberFormat="1" applyFont="1" applyBorder="1"/>
    <xf numFmtId="3" fontId="78" fillId="0" borderId="32" xfId="77" applyNumberFormat="1" applyFont="1" applyBorder="1" applyAlignment="1">
      <alignment horizontal="right"/>
    </xf>
    <xf numFmtId="3" fontId="78" fillId="0" borderId="122" xfId="77" applyNumberFormat="1" applyFont="1" applyBorder="1" applyAlignment="1">
      <alignment horizontal="right"/>
    </xf>
    <xf numFmtId="3" fontId="78" fillId="0" borderId="130" xfId="77" applyNumberFormat="1" applyFont="1" applyBorder="1" applyAlignment="1">
      <alignment horizontal="right"/>
    </xf>
    <xf numFmtId="3" fontId="78" fillId="0" borderId="15" xfId="77" applyNumberFormat="1" applyFont="1" applyBorder="1"/>
    <xf numFmtId="3" fontId="77" fillId="0" borderId="111" xfId="77" applyNumberFormat="1" applyFont="1" applyBorder="1"/>
    <xf numFmtId="3" fontId="78" fillId="0" borderId="43" xfId="77" applyNumberFormat="1" applyFont="1" applyBorder="1"/>
    <xf numFmtId="3" fontId="78" fillId="0" borderId="21" xfId="77" applyNumberFormat="1" applyFont="1" applyBorder="1"/>
    <xf numFmtId="2" fontId="78" fillId="0" borderId="54" xfId="77" applyNumberFormat="1" applyFont="1" applyBorder="1"/>
    <xf numFmtId="3" fontId="78" fillId="0" borderId="63" xfId="0" applyNumberFormat="1" applyFont="1" applyBorder="1"/>
    <xf numFmtId="3" fontId="78" fillId="0" borderId="16" xfId="0" applyNumberFormat="1" applyFont="1" applyBorder="1" applyAlignment="1">
      <alignment horizontal="left"/>
    </xf>
    <xf numFmtId="0" fontId="78" fillId="28" borderId="96" xfId="0" applyFont="1" applyFill="1" applyBorder="1" applyAlignment="1">
      <alignment horizontal="center"/>
    </xf>
    <xf numFmtId="0" fontId="78" fillId="0" borderId="23" xfId="0" applyFont="1" applyBorder="1" applyAlignment="1">
      <alignment horizontal="left"/>
    </xf>
    <xf numFmtId="3" fontId="78" fillId="0" borderId="46" xfId="0" applyNumberFormat="1" applyFont="1" applyBorder="1" applyAlignment="1">
      <alignment horizontal="left"/>
    </xf>
    <xf numFmtId="0" fontId="78" fillId="0" borderId="18" xfId="0" applyFont="1" applyBorder="1" applyAlignment="1">
      <alignment horizontal="left"/>
    </xf>
    <xf numFmtId="3" fontId="78" fillId="0" borderId="0" xfId="0" applyNumberFormat="1" applyFont="1" applyAlignment="1">
      <alignment horizontal="left"/>
    </xf>
    <xf numFmtId="3" fontId="78" fillId="0" borderId="19" xfId="0" applyNumberFormat="1" applyFont="1" applyBorder="1" applyAlignment="1">
      <alignment horizontal="centerContinuous"/>
    </xf>
    <xf numFmtId="3" fontId="78" fillId="0" borderId="16" xfId="0" applyNumberFormat="1" applyFont="1" applyBorder="1" applyAlignment="1">
      <alignment horizontal="centerContinuous"/>
    </xf>
    <xf numFmtId="0" fontId="78" fillId="28" borderId="83" xfId="0" applyFont="1" applyFill="1" applyBorder="1" applyAlignment="1">
      <alignment horizontal="center"/>
    </xf>
    <xf numFmtId="0" fontId="78" fillId="0" borderId="46" xfId="0" applyFont="1" applyBorder="1" applyAlignment="1">
      <alignment horizontal="left"/>
    </xf>
    <xf numFmtId="0" fontId="78" fillId="0" borderId="0" xfId="0" applyFont="1" applyAlignment="1">
      <alignment horizontal="left"/>
    </xf>
    <xf numFmtId="0" fontId="77" fillId="0" borderId="16" xfId="0" applyFont="1" applyBorder="1"/>
    <xf numFmtId="3" fontId="78" fillId="0" borderId="16" xfId="0" applyNumberFormat="1" applyFont="1" applyBorder="1" applyAlignment="1">
      <alignment horizontal="right"/>
    </xf>
    <xf numFmtId="3" fontId="77" fillId="30" borderId="73" xfId="77" applyNumberFormat="1" applyFont="1" applyFill="1" applyBorder="1" applyAlignment="1">
      <alignment horizontal="right"/>
    </xf>
    <xf numFmtId="3" fontId="82" fillId="0" borderId="51" xfId="0" applyNumberFormat="1" applyFont="1" applyBorder="1"/>
    <xf numFmtId="3" fontId="77" fillId="30" borderId="73" xfId="0" applyNumberFormat="1" applyFont="1" applyFill="1" applyBorder="1" applyProtection="1">
      <protection locked="0"/>
    </xf>
    <xf numFmtId="3" fontId="77" fillId="30" borderId="72" xfId="0" applyNumberFormat="1" applyFont="1" applyFill="1" applyBorder="1"/>
    <xf numFmtId="3" fontId="77" fillId="0" borderId="64" xfId="77" applyNumberFormat="1" applyFont="1" applyBorder="1" applyAlignment="1">
      <alignment horizontal="right"/>
    </xf>
    <xf numFmtId="3" fontId="77" fillId="30" borderId="51" xfId="0" applyNumberFormat="1" applyFont="1" applyFill="1" applyBorder="1"/>
    <xf numFmtId="3" fontId="78" fillId="0" borderId="58" xfId="77" applyNumberFormat="1" applyFont="1" applyBorder="1"/>
    <xf numFmtId="2" fontId="77" fillId="0" borderId="68" xfId="77" applyNumberFormat="1" applyFont="1" applyBorder="1"/>
    <xf numFmtId="3" fontId="77" fillId="30" borderId="39" xfId="77" applyNumberFormat="1" applyFont="1" applyFill="1" applyBorder="1"/>
    <xf numFmtId="0" fontId="78" fillId="0" borderId="77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3" fontId="77" fillId="0" borderId="27" xfId="0" applyNumberFormat="1" applyFont="1" applyBorder="1"/>
    <xf numFmtId="3" fontId="77" fillId="0" borderId="71" xfId="0" applyNumberFormat="1" applyFont="1" applyBorder="1"/>
    <xf numFmtId="3" fontId="81" fillId="30" borderId="73" xfId="77" applyNumberFormat="1" applyFont="1" applyFill="1" applyBorder="1" applyAlignment="1">
      <alignment horizontal="right"/>
    </xf>
    <xf numFmtId="3" fontId="77" fillId="30" borderId="90" xfId="77" applyNumberFormat="1" applyFont="1" applyFill="1" applyBorder="1"/>
    <xf numFmtId="3" fontId="77" fillId="30" borderId="52" xfId="77" applyNumberFormat="1" applyFont="1" applyFill="1" applyBorder="1" applyAlignment="1">
      <alignment horizontal="right"/>
    </xf>
    <xf numFmtId="3" fontId="77" fillId="30" borderId="36" xfId="77" applyNumberFormat="1" applyFont="1" applyFill="1" applyBorder="1" applyAlignment="1">
      <alignment horizontal="right"/>
    </xf>
    <xf numFmtId="3" fontId="77" fillId="0" borderId="41" xfId="0" applyNumberFormat="1" applyFont="1" applyBorder="1"/>
    <xf numFmtId="3" fontId="77" fillId="0" borderId="103" xfId="0" applyNumberFormat="1" applyFont="1" applyBorder="1"/>
    <xf numFmtId="3" fontId="77" fillId="0" borderId="37" xfId="0" applyNumberFormat="1" applyFont="1" applyBorder="1"/>
    <xf numFmtId="3" fontId="77" fillId="0" borderId="93" xfId="0" applyNumberFormat="1" applyFont="1" applyBorder="1"/>
    <xf numFmtId="0" fontId="83" fillId="30" borderId="40" xfId="0" applyFont="1" applyFill="1" applyBorder="1"/>
    <xf numFmtId="3" fontId="77" fillId="30" borderId="107" xfId="0" applyNumberFormat="1" applyFont="1" applyFill="1" applyBorder="1"/>
    <xf numFmtId="2" fontId="77" fillId="30" borderId="67" xfId="0" applyNumberFormat="1" applyFont="1" applyFill="1" applyBorder="1"/>
    <xf numFmtId="0" fontId="83" fillId="0" borderId="73" xfId="0" applyFont="1" applyBorder="1" applyAlignment="1">
      <alignment horizontal="justify"/>
    </xf>
    <xf numFmtId="0" fontId="86" fillId="0" borderId="77" xfId="0" applyFont="1" applyBorder="1" applyAlignment="1">
      <alignment horizontal="justify"/>
    </xf>
    <xf numFmtId="0" fontId="83" fillId="0" borderId="104" xfId="0" applyFont="1" applyBorder="1" applyAlignment="1">
      <alignment horizontal="justify"/>
    </xf>
    <xf numFmtId="4" fontId="77" fillId="0" borderId="104" xfId="0" applyNumberFormat="1" applyFont="1" applyBorder="1"/>
    <xf numFmtId="0" fontId="83" fillId="0" borderId="86" xfId="0" applyFont="1" applyBorder="1" applyAlignment="1">
      <alignment horizontal="justify"/>
    </xf>
    <xf numFmtId="0" fontId="83" fillId="31" borderId="104" xfId="0" applyFont="1" applyFill="1" applyBorder="1"/>
    <xf numFmtId="0" fontId="83" fillId="31" borderId="73" xfId="0" applyFont="1" applyFill="1" applyBorder="1"/>
    <xf numFmtId="0" fontId="86" fillId="0" borderId="77" xfId="0" applyFont="1" applyBorder="1"/>
    <xf numFmtId="0" fontId="83" fillId="31" borderId="72" xfId="0" applyFont="1" applyFill="1" applyBorder="1"/>
    <xf numFmtId="3" fontId="77" fillId="31" borderId="104" xfId="0" applyNumberFormat="1" applyFont="1" applyFill="1" applyBorder="1"/>
    <xf numFmtId="3" fontId="77" fillId="31" borderId="73" xfId="0" applyNumberFormat="1" applyFont="1" applyFill="1" applyBorder="1"/>
    <xf numFmtId="3" fontId="77" fillId="31" borderId="86" xfId="0" applyNumberFormat="1" applyFont="1" applyFill="1" applyBorder="1"/>
    <xf numFmtId="0" fontId="83" fillId="31" borderId="86" xfId="0" applyFont="1" applyFill="1" applyBorder="1"/>
    <xf numFmtId="3" fontId="78" fillId="30" borderId="77" xfId="0" applyNumberFormat="1" applyFont="1" applyFill="1" applyBorder="1"/>
    <xf numFmtId="0" fontId="83" fillId="0" borderId="104" xfId="0" applyFont="1" applyBorder="1"/>
    <xf numFmtId="0" fontId="83" fillId="0" borderId="73" xfId="0" applyFont="1" applyBorder="1"/>
    <xf numFmtId="0" fontId="83" fillId="0" borderId="40" xfId="0" applyFont="1" applyBorder="1"/>
    <xf numFmtId="0" fontId="83" fillId="0" borderId="40" xfId="0" applyFont="1" applyBorder="1" applyAlignment="1">
      <alignment horizontal="justify"/>
    </xf>
    <xf numFmtId="3" fontId="77" fillId="30" borderId="65" xfId="0" applyNumberFormat="1" applyFont="1" applyFill="1" applyBorder="1" applyProtection="1">
      <protection locked="0"/>
    </xf>
    <xf numFmtId="3" fontId="77" fillId="30" borderId="52" xfId="0" applyNumberFormat="1" applyFont="1" applyFill="1" applyBorder="1"/>
    <xf numFmtId="2" fontId="77" fillId="0" borderId="127" xfId="0" applyNumberFormat="1" applyFont="1" applyBorder="1"/>
    <xf numFmtId="2" fontId="77" fillId="30" borderId="127" xfId="0" applyNumberFormat="1" applyFont="1" applyFill="1" applyBorder="1"/>
    <xf numFmtId="2" fontId="77" fillId="30" borderId="68" xfId="0" applyNumberFormat="1" applyFont="1" applyFill="1" applyBorder="1"/>
    <xf numFmtId="3" fontId="77" fillId="30" borderId="75" xfId="78" applyNumberFormat="1" applyFont="1" applyFill="1" applyBorder="1" applyAlignment="1">
      <alignment horizontal="right" wrapText="1"/>
    </xf>
    <xf numFmtId="4" fontId="77" fillId="30" borderId="75" xfId="0" applyNumberFormat="1" applyFont="1" applyFill="1" applyBorder="1" applyAlignment="1">
      <alignment horizontal="right"/>
    </xf>
    <xf numFmtId="3" fontId="81" fillId="30" borderId="75" xfId="0" applyNumberFormat="1" applyFont="1" applyFill="1" applyBorder="1" applyAlignment="1">
      <alignment horizontal="right"/>
    </xf>
    <xf numFmtId="4" fontId="81" fillId="30" borderId="75" xfId="0" applyNumberFormat="1" applyFont="1" applyFill="1" applyBorder="1" applyAlignment="1">
      <alignment horizontal="right"/>
    </xf>
    <xf numFmtId="3" fontId="81" fillId="30" borderId="75" xfId="78" applyNumberFormat="1" applyFont="1" applyFill="1" applyBorder="1" applyAlignment="1">
      <alignment horizontal="right" wrapText="1"/>
    </xf>
    <xf numFmtId="4" fontId="77" fillId="30" borderId="71" xfId="0" applyNumberFormat="1" applyFont="1" applyFill="1" applyBorder="1"/>
    <xf numFmtId="3" fontId="81" fillId="30" borderId="36" xfId="0" applyNumberFormat="1" applyFont="1" applyFill="1" applyBorder="1"/>
    <xf numFmtId="4" fontId="81" fillId="30" borderId="68" xfId="0" applyNumberFormat="1" applyFont="1" applyFill="1" applyBorder="1"/>
    <xf numFmtId="2" fontId="77" fillId="31" borderId="104" xfId="0" applyNumberFormat="1" applyFont="1" applyFill="1" applyBorder="1"/>
    <xf numFmtId="2" fontId="83" fillId="31" borderId="73" xfId="0" applyNumberFormat="1" applyFont="1" applyFill="1" applyBorder="1"/>
    <xf numFmtId="2" fontId="83" fillId="31" borderId="86" xfId="0" applyNumberFormat="1" applyFont="1" applyFill="1" applyBorder="1"/>
    <xf numFmtId="3" fontId="80" fillId="0" borderId="119" xfId="0" applyNumberFormat="1" applyFont="1" applyBorder="1"/>
    <xf numFmtId="3" fontId="82" fillId="0" borderId="29" xfId="0" applyNumberFormat="1" applyFont="1" applyBorder="1"/>
    <xf numFmtId="0" fontId="77" fillId="0" borderId="72" xfId="0" applyFont="1" applyBorder="1"/>
    <xf numFmtId="3" fontId="77" fillId="0" borderId="86" xfId="77" applyNumberFormat="1" applyFont="1" applyBorder="1"/>
    <xf numFmtId="4" fontId="77" fillId="0" borderId="59" xfId="0" applyNumberFormat="1" applyFont="1" applyBorder="1"/>
    <xf numFmtId="3" fontId="77" fillId="30" borderId="34" xfId="0" applyNumberFormat="1" applyFont="1" applyFill="1" applyBorder="1"/>
    <xf numFmtId="3" fontId="82" fillId="0" borderId="73" xfId="77" applyNumberFormat="1" applyFont="1" applyBorder="1" applyAlignment="1">
      <alignment horizontal="right"/>
    </xf>
    <xf numFmtId="3" fontId="80" fillId="0" borderId="57" xfId="0" applyNumberFormat="1" applyFont="1" applyBorder="1"/>
    <xf numFmtId="3" fontId="80" fillId="0" borderId="88" xfId="0" applyNumberFormat="1" applyFont="1" applyBorder="1"/>
    <xf numFmtId="3" fontId="80" fillId="0" borderId="78" xfId="0" applyNumberFormat="1" applyFont="1" applyBorder="1" applyProtection="1">
      <protection locked="0"/>
    </xf>
    <xf numFmtId="3" fontId="77" fillId="29" borderId="132" xfId="0" applyNumberFormat="1" applyFont="1" applyFill="1" applyBorder="1" applyProtection="1">
      <protection locked="0"/>
    </xf>
    <xf numFmtId="3" fontId="77" fillId="29" borderId="124" xfId="0" applyNumberFormat="1" applyFont="1" applyFill="1" applyBorder="1"/>
    <xf numFmtId="2" fontId="77" fillId="29" borderId="125" xfId="0" applyNumberFormat="1" applyFont="1" applyFill="1" applyBorder="1"/>
    <xf numFmtId="3" fontId="77" fillId="30" borderId="73" xfId="77" applyNumberFormat="1" applyFont="1" applyFill="1" applyBorder="1"/>
    <xf numFmtId="3" fontId="78" fillId="30" borderId="43" xfId="77" applyNumberFormat="1" applyFont="1" applyFill="1" applyBorder="1"/>
    <xf numFmtId="3" fontId="77" fillId="0" borderId="64" xfId="77" applyNumberFormat="1" applyFont="1" applyBorder="1"/>
    <xf numFmtId="3" fontId="81" fillId="30" borderId="73" xfId="0" applyNumberFormat="1" applyFont="1" applyFill="1" applyBorder="1" applyAlignment="1">
      <alignment horizontal="right"/>
    </xf>
    <xf numFmtId="3" fontId="81" fillId="30" borderId="69" xfId="0" applyNumberFormat="1" applyFont="1" applyFill="1" applyBorder="1" applyAlignment="1">
      <alignment horizontal="right"/>
    </xf>
    <xf numFmtId="3" fontId="81" fillId="30" borderId="103" xfId="0" applyNumberFormat="1" applyFont="1" applyFill="1" applyBorder="1" applyAlignment="1">
      <alignment horizontal="right"/>
    </xf>
    <xf numFmtId="4" fontId="81" fillId="30" borderId="69" xfId="0" applyNumberFormat="1" applyFont="1" applyFill="1" applyBorder="1" applyAlignment="1">
      <alignment horizontal="right"/>
    </xf>
    <xf numFmtId="3" fontId="77" fillId="30" borderId="52" xfId="77" applyNumberFormat="1" applyFont="1" applyFill="1" applyBorder="1"/>
    <xf numFmtId="3" fontId="77" fillId="0" borderId="121" xfId="77" applyNumberFormat="1" applyFont="1" applyBorder="1"/>
    <xf numFmtId="0" fontId="69" fillId="0" borderId="34" xfId="77" applyFont="1" applyBorder="1"/>
    <xf numFmtId="0" fontId="83" fillId="0" borderId="40" xfId="0" applyFont="1" applyBorder="1" applyAlignment="1">
      <alignment horizontal="left" wrapText="1"/>
    </xf>
    <xf numFmtId="0" fontId="56" fillId="0" borderId="0" xfId="88" applyFont="1"/>
    <xf numFmtId="0" fontId="90" fillId="0" borderId="0" xfId="0" applyFont="1"/>
    <xf numFmtId="0" fontId="8" fillId="0" borderId="0" xfId="88" applyFont="1"/>
    <xf numFmtId="0" fontId="90" fillId="0" borderId="0" xfId="88" applyFont="1"/>
    <xf numFmtId="0" fontId="89" fillId="0" borderId="0" xfId="88" applyFont="1"/>
    <xf numFmtId="0" fontId="89" fillId="0" borderId="0" xfId="88" applyFont="1" applyAlignment="1">
      <alignment horizontal="right"/>
    </xf>
    <xf numFmtId="0" fontId="7" fillId="0" borderId="0" xfId="88" applyFont="1"/>
    <xf numFmtId="0" fontId="34" fillId="0" borderId="82" xfId="88" applyFont="1" applyBorder="1" applyAlignment="1">
      <alignment horizontal="center"/>
    </xf>
    <xf numFmtId="0" fontId="89" fillId="0" borderId="23" xfId="88" applyFont="1" applyBorder="1" applyAlignment="1">
      <alignment horizontal="center"/>
    </xf>
    <xf numFmtId="0" fontId="89" fillId="0" borderId="82" xfId="88" applyFont="1" applyBorder="1" applyAlignment="1">
      <alignment horizontal="center"/>
    </xf>
    <xf numFmtId="0" fontId="89" fillId="0" borderId="53" xfId="88" applyFont="1" applyBorder="1" applyAlignment="1">
      <alignment horizontal="center"/>
    </xf>
    <xf numFmtId="0" fontId="89" fillId="0" borderId="46" xfId="88" applyFont="1" applyBorder="1" applyAlignment="1">
      <alignment horizontal="center"/>
    </xf>
    <xf numFmtId="0" fontId="55" fillId="0" borderId="0" xfId="88" applyFont="1"/>
    <xf numFmtId="0" fontId="34" fillId="0" borderId="69" xfId="88" applyFont="1" applyBorder="1" applyAlignment="1">
      <alignment horizontal="center"/>
    </xf>
    <xf numFmtId="0" fontId="90" fillId="0" borderId="18" xfId="88" applyFont="1" applyBorder="1"/>
    <xf numFmtId="0" fontId="89" fillId="0" borderId="69" xfId="88" applyFont="1" applyBorder="1" applyAlignment="1">
      <alignment horizontal="center"/>
    </xf>
    <xf numFmtId="0" fontId="89" fillId="0" borderId="85" xfId="88" applyFont="1" applyBorder="1" applyAlignment="1">
      <alignment horizontal="center"/>
    </xf>
    <xf numFmtId="0" fontId="89" fillId="0" borderId="0" xfId="88" applyFont="1" applyAlignment="1">
      <alignment horizontal="center"/>
    </xf>
    <xf numFmtId="0" fontId="34" fillId="0" borderId="70" xfId="88" applyFont="1" applyBorder="1" applyAlignment="1">
      <alignment horizontal="center"/>
    </xf>
    <xf numFmtId="0" fontId="90" fillId="0" borderId="19" xfId="88" applyFont="1" applyBorder="1"/>
    <xf numFmtId="0" fontId="89" fillId="0" borderId="70" xfId="88" applyFont="1" applyBorder="1" applyAlignment="1">
      <alignment horizontal="center" vertical="center" wrapText="1"/>
    </xf>
    <xf numFmtId="0" fontId="89" fillId="0" borderId="83" xfId="88" applyFont="1" applyBorder="1" applyAlignment="1">
      <alignment horizontal="center" vertical="center" wrapText="1"/>
    </xf>
    <xf numFmtId="0" fontId="89" fillId="0" borderId="83" xfId="88" applyFont="1" applyBorder="1" applyAlignment="1">
      <alignment horizontal="justify"/>
    </xf>
    <xf numFmtId="0" fontId="89" fillId="0" borderId="70" xfId="88" applyFont="1" applyBorder="1" applyAlignment="1">
      <alignment horizontal="center"/>
    </xf>
    <xf numFmtId="0" fontId="90" fillId="0" borderId="16" xfId="88" applyFont="1" applyBorder="1"/>
    <xf numFmtId="0" fontId="89" fillId="0" borderId="16" xfId="88" applyFont="1" applyBorder="1" applyAlignment="1">
      <alignment horizontal="center" vertical="center" wrapText="1"/>
    </xf>
    <xf numFmtId="0" fontId="89" fillId="0" borderId="70" xfId="88" applyFont="1" applyBorder="1" applyAlignment="1">
      <alignment horizontal="justify"/>
    </xf>
    <xf numFmtId="0" fontId="91" fillId="0" borderId="0" xfId="88" applyFont="1" applyAlignment="1">
      <alignment horizontal="center"/>
    </xf>
    <xf numFmtId="0" fontId="14" fillId="0" borderId="69" xfId="88" applyFont="1" applyBorder="1" applyAlignment="1">
      <alignment horizontal="center"/>
    </xf>
    <xf numFmtId="0" fontId="89" fillId="0" borderId="18" xfId="88" applyFont="1" applyBorder="1" applyAlignment="1">
      <alignment horizontal="center"/>
    </xf>
    <xf numFmtId="0" fontId="90" fillId="0" borderId="82" xfId="88" applyFont="1" applyBorder="1" applyAlignment="1">
      <alignment horizontal="center"/>
    </xf>
    <xf numFmtId="0" fontId="90" fillId="0" borderId="53" xfId="88" applyFont="1" applyBorder="1" applyAlignment="1">
      <alignment horizontal="center"/>
    </xf>
    <xf numFmtId="0" fontId="90" fillId="0" borderId="69" xfId="88" applyFont="1" applyBorder="1" applyAlignment="1">
      <alignment horizontal="center"/>
    </xf>
    <xf numFmtId="0" fontId="90" fillId="0" borderId="85" xfId="88" applyFont="1" applyBorder="1" applyAlignment="1">
      <alignment horizontal="center"/>
    </xf>
    <xf numFmtId="0" fontId="92" fillId="0" borderId="0" xfId="88" applyFont="1" applyAlignment="1">
      <alignment horizontal="center"/>
    </xf>
    <xf numFmtId="3" fontId="34" fillId="0" borderId="112" xfId="88" applyNumberFormat="1" applyFont="1" applyBorder="1" applyAlignment="1">
      <alignment horizontal="center"/>
    </xf>
    <xf numFmtId="0" fontId="90" fillId="0" borderId="95" xfId="89" applyFont="1" applyBorder="1"/>
    <xf numFmtId="3" fontId="94" fillId="0" borderId="112" xfId="88" applyNumberFormat="1" applyFont="1" applyBorder="1"/>
    <xf numFmtId="3" fontId="89" fillId="0" borderId="112" xfId="88" applyNumberFormat="1" applyFont="1" applyBorder="1"/>
    <xf numFmtId="3" fontId="89" fillId="0" borderId="69" xfId="88" applyNumberFormat="1" applyFont="1" applyBorder="1" applyAlignment="1">
      <alignment horizontal="center"/>
    </xf>
    <xf numFmtId="3" fontId="94" fillId="0" borderId="69" xfId="88" applyNumberFormat="1" applyFont="1" applyBorder="1"/>
    <xf numFmtId="3" fontId="63" fillId="0" borderId="0" xfId="88" applyNumberFormat="1" applyFont="1"/>
    <xf numFmtId="3" fontId="7" fillId="0" borderId="0" xfId="88" applyNumberFormat="1" applyFont="1"/>
    <xf numFmtId="3" fontId="89" fillId="0" borderId="78" xfId="88" applyNumberFormat="1" applyFont="1" applyBorder="1" applyAlignment="1">
      <alignment horizontal="center"/>
    </xf>
    <xf numFmtId="0" fontId="90" fillId="0" borderId="26" xfId="89" applyFont="1" applyBorder="1"/>
    <xf numFmtId="3" fontId="94" fillId="0" borderId="78" xfId="88" applyNumberFormat="1" applyFont="1" applyBorder="1"/>
    <xf numFmtId="3" fontId="90" fillId="0" borderId="78" xfId="88" applyNumberFormat="1" applyFont="1" applyBorder="1"/>
    <xf numFmtId="3" fontId="34" fillId="0" borderId="78" xfId="88" applyNumberFormat="1" applyFont="1" applyBorder="1" applyAlignment="1">
      <alignment horizontal="center"/>
    </xf>
    <xf numFmtId="3" fontId="90" fillId="0" borderId="112" xfId="88" applyNumberFormat="1" applyFont="1" applyBorder="1"/>
    <xf numFmtId="3" fontId="89" fillId="0" borderId="88" xfId="88" applyNumberFormat="1" applyFont="1" applyBorder="1" applyAlignment="1">
      <alignment horizontal="center"/>
    </xf>
    <xf numFmtId="0" fontId="90" fillId="0" borderId="57" xfId="89" applyFont="1" applyBorder="1"/>
    <xf numFmtId="3" fontId="95" fillId="0" borderId="0" xfId="88" applyNumberFormat="1" applyFont="1"/>
    <xf numFmtId="3" fontId="34" fillId="0" borderId="77" xfId="88" applyNumberFormat="1" applyFont="1" applyBorder="1" applyAlignment="1">
      <alignment horizontal="center"/>
    </xf>
    <xf numFmtId="0" fontId="89" fillId="0" borderId="20" xfId="88" applyFont="1" applyBorder="1"/>
    <xf numFmtId="3" fontId="89" fillId="0" borderId="77" xfId="88" applyNumberFormat="1" applyFont="1" applyBorder="1"/>
    <xf numFmtId="3" fontId="89" fillId="0" borderId="77" xfId="88" applyNumberFormat="1" applyFont="1" applyBorder="1" applyAlignment="1">
      <alignment horizontal="center"/>
    </xf>
    <xf numFmtId="3" fontId="96" fillId="0" borderId="77" xfId="88" applyNumberFormat="1" applyFont="1" applyBorder="1"/>
    <xf numFmtId="3" fontId="89" fillId="0" borderId="135" xfId="88" applyNumberFormat="1" applyFont="1" applyBorder="1" applyAlignment="1">
      <alignment horizontal="center"/>
    </xf>
    <xf numFmtId="0" fontId="90" fillId="0" borderId="23" xfId="89" applyFont="1" applyBorder="1"/>
    <xf numFmtId="3" fontId="94" fillId="0" borderId="82" xfId="88" applyNumberFormat="1" applyFont="1" applyBorder="1"/>
    <xf numFmtId="0" fontId="14" fillId="0" borderId="0" xfId="88" applyFont="1"/>
    <xf numFmtId="3" fontId="89" fillId="0" borderId="112" xfId="88" applyNumberFormat="1" applyFont="1" applyBorder="1" applyAlignment="1">
      <alignment horizontal="center"/>
    </xf>
    <xf numFmtId="0" fontId="90" fillId="0" borderId="18" xfId="89" applyFont="1" applyBorder="1"/>
    <xf numFmtId="3" fontId="14" fillId="0" borderId="77" xfId="88" applyNumberFormat="1" applyFont="1" applyBorder="1" applyAlignment="1">
      <alignment horizontal="center"/>
    </xf>
    <xf numFmtId="0" fontId="89" fillId="0" borderId="20" xfId="88" applyFont="1" applyBorder="1" applyAlignment="1">
      <alignment horizontal="justify"/>
    </xf>
    <xf numFmtId="3" fontId="14" fillId="0" borderId="69" xfId="88" applyNumberFormat="1" applyFont="1" applyBorder="1" applyAlignment="1">
      <alignment horizontal="center"/>
    </xf>
    <xf numFmtId="0" fontId="89" fillId="0" borderId="18" xfId="88" applyFont="1" applyBorder="1" applyAlignment="1">
      <alignment horizontal="justify"/>
    </xf>
    <xf numFmtId="3" fontId="94" fillId="0" borderId="85" xfId="88" applyNumberFormat="1" applyFont="1" applyBorder="1"/>
    <xf numFmtId="3" fontId="89" fillId="0" borderId="82" xfId="88" applyNumberFormat="1" applyFont="1" applyBorder="1" applyAlignment="1">
      <alignment horizontal="center"/>
    </xf>
    <xf numFmtId="0" fontId="89" fillId="0" borderId="23" xfId="88" applyFont="1" applyBorder="1" applyAlignment="1">
      <alignment horizontal="justify"/>
    </xf>
    <xf numFmtId="3" fontId="6" fillId="0" borderId="77" xfId="88" applyNumberFormat="1" applyFont="1" applyBorder="1" applyAlignment="1">
      <alignment horizontal="center"/>
    </xf>
    <xf numFmtId="3" fontId="7" fillId="0" borderId="0" xfId="88" applyNumberFormat="1" applyFont="1" applyAlignment="1">
      <alignment horizontal="right"/>
    </xf>
    <xf numFmtId="3" fontId="6" fillId="0" borderId="0" xfId="88" applyNumberFormat="1" applyFont="1"/>
    <xf numFmtId="3" fontId="7" fillId="0" borderId="46" xfId="88" applyNumberFormat="1" applyFont="1" applyBorder="1"/>
    <xf numFmtId="3" fontId="6" fillId="0" borderId="46" xfId="88" applyNumberFormat="1" applyFont="1" applyBorder="1" applyAlignment="1">
      <alignment horizontal="right"/>
    </xf>
    <xf numFmtId="3" fontId="8" fillId="0" borderId="0" xfId="88" applyNumberFormat="1" applyFont="1"/>
    <xf numFmtId="0" fontId="7" fillId="0" borderId="0" xfId="88" applyFont="1" applyAlignment="1">
      <alignment horizontal="right"/>
    </xf>
    <xf numFmtId="3" fontId="98" fillId="0" borderId="0" xfId="88" applyNumberFormat="1" applyFont="1"/>
    <xf numFmtId="49" fontId="7" fillId="0" borderId="0" xfId="88" applyNumberFormat="1" applyFont="1" applyAlignment="1">
      <alignment horizontal="right"/>
    </xf>
    <xf numFmtId="3" fontId="88" fillId="0" borderId="0" xfId="88" applyNumberFormat="1" applyFont="1"/>
    <xf numFmtId="3" fontId="7" fillId="30" borderId="0" xfId="88" applyNumberFormat="1" applyFont="1" applyFill="1"/>
    <xf numFmtId="0" fontId="7" fillId="0" borderId="0" xfId="88" applyFont="1" applyAlignment="1">
      <alignment horizontal="left"/>
    </xf>
    <xf numFmtId="49" fontId="7" fillId="0" borderId="0" xfId="88" applyNumberFormat="1" applyFont="1" applyAlignment="1">
      <alignment horizontal="left"/>
    </xf>
    <xf numFmtId="0" fontId="8" fillId="0" borderId="0" xfId="88" applyFont="1" applyAlignment="1">
      <alignment horizontal="right"/>
    </xf>
    <xf numFmtId="0" fontId="6" fillId="0" borderId="0" xfId="88" applyFont="1"/>
    <xf numFmtId="0" fontId="32" fillId="0" borderId="0" xfId="0" applyFont="1"/>
    <xf numFmtId="0" fontId="76" fillId="0" borderId="0" xfId="0" applyFont="1"/>
    <xf numFmtId="0" fontId="76" fillId="0" borderId="0" xfId="78" applyFont="1" applyAlignment="1">
      <alignment horizontal="right"/>
    </xf>
    <xf numFmtId="0" fontId="12" fillId="0" borderId="0" xfId="0" applyFont="1"/>
    <xf numFmtId="0" fontId="32" fillId="0" borderId="0" xfId="0" applyFont="1" applyAlignment="1">
      <alignment wrapText="1"/>
    </xf>
    <xf numFmtId="49" fontId="32" fillId="0" borderId="0" xfId="0" applyNumberFormat="1" applyFont="1"/>
    <xf numFmtId="0" fontId="5" fillId="0" borderId="0" xfId="78"/>
    <xf numFmtId="0" fontId="69" fillId="0" borderId="0" xfId="78" applyFont="1"/>
    <xf numFmtId="0" fontId="68" fillId="0" borderId="77" xfId="78" applyFont="1" applyBorder="1" applyAlignment="1">
      <alignment horizontal="center"/>
    </xf>
    <xf numFmtId="0" fontId="101" fillId="0" borderId="0" xfId="78" applyFont="1"/>
    <xf numFmtId="0" fontId="69" fillId="0" borderId="0" xfId="90" applyFont="1"/>
    <xf numFmtId="0" fontId="11" fillId="0" borderId="0" xfId="78" applyFont="1"/>
    <xf numFmtId="0" fontId="102" fillId="0" borderId="0" xfId="77" applyFont="1"/>
    <xf numFmtId="3" fontId="102" fillId="0" borderId="0" xfId="77" applyNumberFormat="1" applyFont="1"/>
    <xf numFmtId="0" fontId="103" fillId="0" borderId="0" xfId="91" applyFont="1"/>
    <xf numFmtId="0" fontId="100" fillId="0" borderId="16" xfId="91" applyFont="1" applyBorder="1" applyAlignment="1">
      <alignment horizontal="center"/>
    </xf>
    <xf numFmtId="0" fontId="76" fillId="0" borderId="0" xfId="0" applyFont="1" applyAlignment="1">
      <alignment horizontal="right"/>
    </xf>
    <xf numFmtId="0" fontId="104" fillId="0" borderId="0" xfId="91" applyFont="1"/>
    <xf numFmtId="0" fontId="33" fillId="0" borderId="0" xfId="77" applyFont="1"/>
    <xf numFmtId="0" fontId="104" fillId="0" borderId="0" xfId="92" applyFont="1"/>
    <xf numFmtId="0" fontId="105" fillId="0" borderId="0" xfId="92" applyFont="1"/>
    <xf numFmtId="0" fontId="100" fillId="0" borderId="16" xfId="92" applyFont="1" applyBorder="1" applyAlignment="1">
      <alignment horizontal="center"/>
    </xf>
    <xf numFmtId="3" fontId="106" fillId="0" borderId="0" xfId="92" applyNumberFormat="1" applyFont="1" applyAlignment="1">
      <alignment horizontal="center"/>
    </xf>
    <xf numFmtId="0" fontId="106" fillId="0" borderId="0" xfId="92" applyFont="1" applyAlignment="1">
      <alignment wrapText="1"/>
    </xf>
    <xf numFmtId="0" fontId="76" fillId="0" borderId="0" xfId="0" applyFont="1" applyAlignment="1">
      <alignment wrapText="1"/>
    </xf>
    <xf numFmtId="0" fontId="106" fillId="0" borderId="0" xfId="92" applyFont="1"/>
    <xf numFmtId="3" fontId="106" fillId="0" borderId="0" xfId="92" applyNumberFormat="1" applyFont="1"/>
    <xf numFmtId="0" fontId="104" fillId="0" borderId="0" xfId="92" applyFont="1" applyAlignment="1">
      <alignment horizontal="center"/>
    </xf>
    <xf numFmtId="0" fontId="107" fillId="0" borderId="0" xfId="92" applyFont="1" applyAlignment="1">
      <alignment horizontal="center"/>
    </xf>
    <xf numFmtId="0" fontId="107" fillId="0" borderId="0" xfId="92" applyFont="1"/>
    <xf numFmtId="0" fontId="12" fillId="0" borderId="0" xfId="92" applyFont="1"/>
    <xf numFmtId="0" fontId="100" fillId="0" borderId="0" xfId="92" applyFont="1" applyAlignment="1">
      <alignment horizontal="center"/>
    </xf>
    <xf numFmtId="3" fontId="107" fillId="0" borderId="0" xfId="92" applyNumberFormat="1" applyFont="1"/>
    <xf numFmtId="0" fontId="7" fillId="0" borderId="0" xfId="93" applyFont="1"/>
    <xf numFmtId="0" fontId="6" fillId="0" borderId="0" xfId="93" applyFont="1"/>
    <xf numFmtId="3" fontId="7" fillId="0" borderId="0" xfId="93" applyNumberFormat="1" applyFont="1"/>
    <xf numFmtId="3" fontId="6" fillId="0" borderId="0" xfId="93" applyNumberFormat="1" applyFont="1"/>
    <xf numFmtId="0" fontId="8" fillId="0" borderId="0" xfId="93" applyFont="1"/>
    <xf numFmtId="0" fontId="109" fillId="0" borderId="0" xfId="0" applyFont="1"/>
    <xf numFmtId="0" fontId="105" fillId="0" borderId="0" xfId="94" applyFont="1"/>
    <xf numFmtId="3" fontId="105" fillId="0" borderId="0" xfId="94" applyNumberFormat="1" applyFont="1"/>
    <xf numFmtId="0" fontId="110" fillId="0" borderId="0" xfId="92" applyFont="1"/>
    <xf numFmtId="0" fontId="76" fillId="0" borderId="0" xfId="94" applyFont="1"/>
    <xf numFmtId="0" fontId="100" fillId="0" borderId="0" xfId="94" applyFont="1"/>
    <xf numFmtId="3" fontId="76" fillId="0" borderId="0" xfId="94" applyNumberFormat="1" applyFont="1"/>
    <xf numFmtId="3" fontId="100" fillId="0" borderId="0" xfId="94" applyNumberFormat="1" applyFont="1"/>
    <xf numFmtId="0" fontId="76" fillId="0" borderId="0" xfId="94" applyFont="1" applyAlignment="1">
      <alignment horizontal="right"/>
    </xf>
    <xf numFmtId="0" fontId="90" fillId="0" borderId="23" xfId="94" applyFont="1" applyBorder="1"/>
    <xf numFmtId="0" fontId="90" fillId="0" borderId="46" xfId="94" applyFont="1" applyBorder="1" applyAlignment="1">
      <alignment horizontal="centerContinuous"/>
    </xf>
    <xf numFmtId="0" fontId="90" fillId="0" borderId="47" xfId="0" applyFont="1" applyBorder="1"/>
    <xf numFmtId="0" fontId="90" fillId="0" borderId="53" xfId="0" applyFont="1" applyBorder="1"/>
    <xf numFmtId="0" fontId="112" fillId="0" borderId="0" xfId="94" applyFont="1"/>
    <xf numFmtId="0" fontId="90" fillId="0" borderId="19" xfId="94" applyFont="1" applyBorder="1"/>
    <xf numFmtId="0" fontId="90" fillId="0" borderId="16" xfId="94" applyFont="1" applyBorder="1"/>
    <xf numFmtId="3" fontId="89" fillId="0" borderId="61" xfId="94" applyNumberFormat="1" applyFont="1" applyBorder="1" applyAlignment="1">
      <alignment horizontal="center"/>
    </xf>
    <xf numFmtId="3" fontId="89" fillId="0" borderId="28" xfId="94" applyNumberFormat="1" applyFont="1" applyBorder="1" applyAlignment="1">
      <alignment horizontal="center"/>
    </xf>
    <xf numFmtId="0" fontId="90" fillId="0" borderId="26" xfId="94" applyFont="1" applyBorder="1"/>
    <xf numFmtId="0" fontId="90" fillId="0" borderId="89" xfId="94" applyFont="1" applyBorder="1"/>
    <xf numFmtId="0" fontId="90" fillId="0" borderId="24" xfId="94" applyFont="1" applyBorder="1"/>
    <xf numFmtId="3" fontId="90" fillId="0" borderId="32" xfId="94" applyNumberFormat="1" applyFont="1" applyBorder="1"/>
    <xf numFmtId="4" fontId="90" fillId="0" borderId="58" xfId="94" applyNumberFormat="1" applyFont="1" applyBorder="1"/>
    <xf numFmtId="4" fontId="112" fillId="0" borderId="0" xfId="94" applyNumberFormat="1" applyFont="1"/>
    <xf numFmtId="3" fontId="112" fillId="0" borderId="0" xfId="94" applyNumberFormat="1" applyFont="1"/>
    <xf numFmtId="0" fontId="89" fillId="0" borderId="19" xfId="94" applyFont="1" applyBorder="1"/>
    <xf numFmtId="0" fontId="89" fillId="0" borderId="16" xfId="94" applyFont="1" applyBorder="1"/>
    <xf numFmtId="3" fontId="89" fillId="0" borderId="61" xfId="94" applyNumberFormat="1" applyFont="1" applyBorder="1"/>
    <xf numFmtId="4" fontId="89" fillId="0" borderId="28" xfId="94" applyNumberFormat="1" applyFont="1" applyBorder="1"/>
    <xf numFmtId="0" fontId="66" fillId="0" borderId="0" xfId="0" applyFont="1" applyAlignment="1">
      <alignment vertical="center" wrapText="1"/>
    </xf>
    <xf numFmtId="0" fontId="66" fillId="0" borderId="0" xfId="94" applyFont="1"/>
    <xf numFmtId="0" fontId="89" fillId="0" borderId="22" xfId="94" applyFont="1" applyBorder="1"/>
    <xf numFmtId="3" fontId="89" fillId="0" borderId="43" xfId="94" applyNumberFormat="1" applyFont="1" applyBorder="1"/>
    <xf numFmtId="0" fontId="90" fillId="0" borderId="18" xfId="94" applyFont="1" applyBorder="1"/>
    <xf numFmtId="3" fontId="94" fillId="0" borderId="32" xfId="94" applyNumberFormat="1" applyFont="1" applyBorder="1"/>
    <xf numFmtId="4" fontId="90" fillId="0" borderId="140" xfId="94" applyNumberFormat="1" applyFont="1" applyBorder="1"/>
    <xf numFmtId="0" fontId="113" fillId="0" borderId="0" xfId="94" applyFont="1"/>
    <xf numFmtId="0" fontId="5" fillId="0" borderId="0" xfId="95"/>
    <xf numFmtId="0" fontId="115" fillId="0" borderId="0" xfId="95" applyFont="1" applyAlignment="1">
      <alignment horizontal="center"/>
    </xf>
    <xf numFmtId="0" fontId="5" fillId="0" borderId="0" xfId="95" applyAlignment="1">
      <alignment horizontal="center"/>
    </xf>
    <xf numFmtId="3" fontId="5" fillId="0" borderId="0" xfId="95" applyNumberFormat="1"/>
    <xf numFmtId="3" fontId="105" fillId="0" borderId="0" xfId="96" applyNumberFormat="1" applyFont="1" applyAlignment="1">
      <alignment horizontal="center"/>
    </xf>
    <xf numFmtId="3" fontId="105" fillId="0" borderId="0" xfId="96" applyNumberFormat="1" applyFont="1"/>
    <xf numFmtId="3" fontId="116" fillId="0" borderId="0" xfId="96" applyNumberFormat="1" applyFont="1"/>
    <xf numFmtId="3" fontId="112" fillId="0" borderId="0" xfId="96" applyNumberFormat="1" applyFont="1"/>
    <xf numFmtId="3" fontId="117" fillId="0" borderId="0" xfId="96" applyNumberFormat="1" applyFont="1"/>
    <xf numFmtId="3" fontId="76" fillId="0" borderId="0" xfId="96" applyNumberFormat="1" applyFont="1" applyAlignment="1">
      <alignment horizontal="center"/>
    </xf>
    <xf numFmtId="3" fontId="76" fillId="0" borderId="0" xfId="96" applyNumberFormat="1" applyFont="1"/>
    <xf numFmtId="3" fontId="118" fillId="0" borderId="0" xfId="96" applyNumberFormat="1" applyFont="1"/>
    <xf numFmtId="3" fontId="119" fillId="0" borderId="0" xfId="96" applyNumberFormat="1" applyFont="1"/>
    <xf numFmtId="3" fontId="120" fillId="0" borderId="0" xfId="96" applyNumberFormat="1" applyFont="1"/>
    <xf numFmtId="3" fontId="114" fillId="0" borderId="0" xfId="96" applyNumberFormat="1" applyFont="1"/>
    <xf numFmtId="3" fontId="111" fillId="0" borderId="0" xfId="96" applyNumberFormat="1" applyFont="1"/>
    <xf numFmtId="3" fontId="103" fillId="0" borderId="0" xfId="96" applyNumberFormat="1" applyFont="1"/>
    <xf numFmtId="3" fontId="121" fillId="0" borderId="0" xfId="96" applyNumberFormat="1" applyFont="1"/>
    <xf numFmtId="3" fontId="113" fillId="0" borderId="0" xfId="96" applyNumberFormat="1" applyFont="1"/>
    <xf numFmtId="3" fontId="12" fillId="0" borderId="0" xfId="96" applyNumberFormat="1" applyFont="1"/>
    <xf numFmtId="3" fontId="32" fillId="0" borderId="0" xfId="96" applyNumberFormat="1" applyFont="1"/>
    <xf numFmtId="3" fontId="122" fillId="0" borderId="0" xfId="96" applyNumberFormat="1" applyFont="1"/>
    <xf numFmtId="3" fontId="123" fillId="0" borderId="0" xfId="96" applyNumberFormat="1" applyFont="1"/>
    <xf numFmtId="0" fontId="102" fillId="0" borderId="0" xfId="98" applyFont="1"/>
    <xf numFmtId="3" fontId="102" fillId="0" borderId="0" xfId="98" applyNumberFormat="1" applyFont="1"/>
    <xf numFmtId="0" fontId="125" fillId="0" borderId="0" xfId="101" applyFont="1"/>
    <xf numFmtId="0" fontId="126" fillId="0" borderId="0" xfId="101" applyFont="1"/>
    <xf numFmtId="3" fontId="126" fillId="0" borderId="0" xfId="101" applyNumberFormat="1" applyFont="1" applyAlignment="1">
      <alignment horizontal="right" vertical="center"/>
    </xf>
    <xf numFmtId="0" fontId="126" fillId="0" borderId="0" xfId="101" applyFont="1" applyAlignment="1">
      <alignment horizontal="right" vertical="center"/>
    </xf>
    <xf numFmtId="3" fontId="126" fillId="0" borderId="0" xfId="101" applyNumberFormat="1" applyFont="1"/>
    <xf numFmtId="3" fontId="32" fillId="0" borderId="0" xfId="101" applyNumberFormat="1" applyFont="1"/>
    <xf numFmtId="3" fontId="32" fillId="0" borderId="0" xfId="101" applyNumberFormat="1" applyFont="1" applyAlignment="1">
      <alignment horizontal="center"/>
    </xf>
    <xf numFmtId="0" fontId="32" fillId="0" borderId="0" xfId="101" applyFont="1"/>
    <xf numFmtId="0" fontId="126" fillId="0" borderId="0" xfId="101" applyFont="1" applyAlignment="1">
      <alignment horizontal="right"/>
    </xf>
    <xf numFmtId="3" fontId="62" fillId="0" borderId="0" xfId="88" applyNumberFormat="1" applyFont="1"/>
    <xf numFmtId="3" fontId="127" fillId="0" borderId="46" xfId="88" applyNumberFormat="1" applyFont="1" applyBorder="1"/>
    <xf numFmtId="3" fontId="128" fillId="0" borderId="0" xfId="88" applyNumberFormat="1" applyFont="1"/>
    <xf numFmtId="0" fontId="75" fillId="0" borderId="0" xfId="100" applyFont="1" applyAlignment="1">
      <alignment horizontal="center"/>
    </xf>
    <xf numFmtId="0" fontId="74" fillId="0" borderId="0" xfId="0" applyFont="1"/>
    <xf numFmtId="4" fontId="80" fillId="0" borderId="119" xfId="0" applyNumberFormat="1" applyFont="1" applyBorder="1"/>
    <xf numFmtId="4" fontId="78" fillId="0" borderId="70" xfId="0" applyNumberFormat="1" applyFont="1" applyBorder="1"/>
    <xf numFmtId="4" fontId="81" fillId="0" borderId="72" xfId="0" applyNumberFormat="1" applyFont="1" applyBorder="1"/>
    <xf numFmtId="3" fontId="67" fillId="30" borderId="0" xfId="0" applyNumberFormat="1" applyFont="1" applyFill="1"/>
    <xf numFmtId="3" fontId="65" fillId="30" borderId="0" xfId="0" applyNumberFormat="1" applyFont="1" applyFill="1"/>
    <xf numFmtId="2" fontId="77" fillId="0" borderId="99" xfId="77" applyNumberFormat="1" applyFont="1" applyBorder="1"/>
    <xf numFmtId="2" fontId="77" fillId="0" borderId="106" xfId="77" applyNumberFormat="1" applyFont="1" applyBorder="1"/>
    <xf numFmtId="2" fontId="78" fillId="0" borderId="58" xfId="77" applyNumberFormat="1" applyFont="1" applyBorder="1"/>
    <xf numFmtId="2" fontId="78" fillId="0" borderId="111" xfId="77" applyNumberFormat="1" applyFont="1" applyBorder="1"/>
    <xf numFmtId="2" fontId="77" fillId="0" borderId="56" xfId="77" applyNumberFormat="1" applyFont="1" applyBorder="1"/>
    <xf numFmtId="2" fontId="77" fillId="0" borderId="59" xfId="77" applyNumberFormat="1" applyFont="1" applyBorder="1"/>
    <xf numFmtId="2" fontId="77" fillId="30" borderId="68" xfId="77" applyNumberFormat="1" applyFont="1" applyFill="1" applyBorder="1"/>
    <xf numFmtId="3" fontId="78" fillId="0" borderId="59" xfId="77" applyNumberFormat="1" applyFont="1" applyBorder="1"/>
    <xf numFmtId="0" fontId="129" fillId="0" borderId="0" xfId="92" applyFont="1"/>
    <xf numFmtId="0" fontId="62" fillId="0" borderId="0" xfId="93" applyFont="1"/>
    <xf numFmtId="3" fontId="77" fillId="30" borderId="15" xfId="0" applyNumberFormat="1" applyFont="1" applyFill="1" applyBorder="1"/>
    <xf numFmtId="4" fontId="77" fillId="30" borderId="56" xfId="0" applyNumberFormat="1" applyFont="1" applyFill="1" applyBorder="1"/>
    <xf numFmtId="3" fontId="77" fillId="30" borderId="61" xfId="0" applyNumberFormat="1" applyFont="1" applyFill="1" applyBorder="1"/>
    <xf numFmtId="0" fontId="130" fillId="0" borderId="0" xfId="95" applyFont="1"/>
    <xf numFmtId="3" fontId="131" fillId="0" borderId="0" xfId="76" applyNumberFormat="1" applyFont="1"/>
    <xf numFmtId="3" fontId="131" fillId="0" borderId="0" xfId="76" applyNumberFormat="1" applyFont="1" applyAlignment="1">
      <alignment horizontal="right"/>
    </xf>
    <xf numFmtId="3" fontId="132" fillId="0" borderId="0" xfId="76" applyNumberFormat="1" applyFont="1"/>
    <xf numFmtId="3" fontId="131" fillId="0" borderId="0" xfId="76" applyNumberFormat="1" applyFont="1" applyAlignment="1">
      <alignment horizontal="center"/>
    </xf>
    <xf numFmtId="3" fontId="133" fillId="0" borderId="0" xfId="76" applyNumberFormat="1" applyFont="1"/>
    <xf numFmtId="3" fontId="135" fillId="0" borderId="0" xfId="76" applyNumberFormat="1" applyFont="1"/>
    <xf numFmtId="3" fontId="131" fillId="0" borderId="0" xfId="76" applyNumberFormat="1" applyFont="1" applyAlignment="1">
      <alignment horizontal="justify"/>
    </xf>
    <xf numFmtId="3" fontId="131" fillId="0" borderId="82" xfId="76" applyNumberFormat="1" applyFont="1" applyBorder="1" applyAlignment="1">
      <alignment horizontal="center" vertical="center"/>
    </xf>
    <xf numFmtId="3" fontId="131" fillId="0" borderId="82" xfId="76" applyNumberFormat="1" applyFont="1" applyBorder="1" applyAlignment="1">
      <alignment horizontal="right"/>
    </xf>
    <xf numFmtId="3" fontId="131" fillId="0" borderId="82" xfId="76" applyNumberFormat="1" applyFont="1" applyBorder="1" applyAlignment="1">
      <alignment horizontal="center"/>
    </xf>
    <xf numFmtId="0" fontId="131" fillId="0" borderId="0" xfId="76" applyFont="1"/>
    <xf numFmtId="0" fontId="133" fillId="0" borderId="0" xfId="76" applyFont="1"/>
    <xf numFmtId="3" fontId="133" fillId="0" borderId="0" xfId="76" applyNumberFormat="1" applyFont="1" applyAlignment="1">
      <alignment horizontal="right"/>
    </xf>
    <xf numFmtId="3" fontId="133" fillId="0" borderId="0" xfId="76" applyNumberFormat="1" applyFont="1" applyAlignment="1">
      <alignment horizontal="center"/>
    </xf>
    <xf numFmtId="3" fontId="137" fillId="0" borderId="0" xfId="76" applyNumberFormat="1" applyFont="1"/>
    <xf numFmtId="3" fontId="138" fillId="0" borderId="0" xfId="76" applyNumberFormat="1" applyFont="1"/>
    <xf numFmtId="3" fontId="83" fillId="0" borderId="0" xfId="76" applyNumberFormat="1" applyFont="1" applyAlignment="1">
      <alignment horizontal="right"/>
    </xf>
    <xf numFmtId="3" fontId="139" fillId="0" borderId="0" xfId="76" applyNumberFormat="1" applyFont="1" applyAlignment="1">
      <alignment horizontal="left"/>
    </xf>
    <xf numFmtId="3" fontId="83" fillId="0" borderId="0" xfId="76" applyNumberFormat="1" applyFont="1"/>
    <xf numFmtId="3" fontId="7" fillId="0" borderId="0" xfId="76" applyNumberFormat="1" applyFont="1"/>
    <xf numFmtId="3" fontId="140" fillId="0" borderId="0" xfId="76" applyNumberFormat="1" applyFont="1"/>
    <xf numFmtId="3" fontId="141" fillId="0" borderId="0" xfId="76" applyNumberFormat="1" applyFont="1"/>
    <xf numFmtId="3" fontId="86" fillId="0" borderId="0" xfId="76" applyNumberFormat="1" applyFont="1" applyAlignment="1">
      <alignment horizontal="center"/>
    </xf>
    <xf numFmtId="3" fontId="14" fillId="0" borderId="0" xfId="76" applyNumberFormat="1" applyFont="1" applyAlignment="1">
      <alignment horizontal="center"/>
    </xf>
    <xf numFmtId="3" fontId="86" fillId="0" borderId="0" xfId="76" applyNumberFormat="1" applyFont="1" applyAlignment="1">
      <alignment horizontal="justify"/>
    </xf>
    <xf numFmtId="3" fontId="14" fillId="0" borderId="0" xfId="76" applyNumberFormat="1" applyFont="1" applyAlignment="1">
      <alignment horizontal="justify"/>
    </xf>
    <xf numFmtId="3" fontId="132" fillId="0" borderId="0" xfId="76" applyNumberFormat="1" applyFont="1" applyAlignment="1">
      <alignment horizontal="justify"/>
    </xf>
    <xf numFmtId="3" fontId="137" fillId="0" borderId="0" xfId="76" applyNumberFormat="1" applyFont="1" applyAlignment="1">
      <alignment horizontal="justify"/>
    </xf>
    <xf numFmtId="3" fontId="86" fillId="0" borderId="0" xfId="76" applyNumberFormat="1" applyFont="1"/>
    <xf numFmtId="3" fontId="14" fillId="0" borderId="0" xfId="76" applyNumberFormat="1" applyFont="1"/>
    <xf numFmtId="0" fontId="136" fillId="0" borderId="0" xfId="76" applyFont="1" applyAlignment="1">
      <alignment horizontal="left"/>
    </xf>
    <xf numFmtId="3" fontId="136" fillId="0" borderId="0" xfId="76" applyNumberFormat="1" applyFont="1" applyAlignment="1">
      <alignment horizontal="right"/>
    </xf>
    <xf numFmtId="3" fontId="136" fillId="0" borderId="0" xfId="76" applyNumberFormat="1" applyFont="1"/>
    <xf numFmtId="3" fontId="136" fillId="0" borderId="0" xfId="76" applyNumberFormat="1" applyFont="1" applyAlignment="1">
      <alignment horizontal="left"/>
    </xf>
    <xf numFmtId="3" fontId="142" fillId="0" borderId="0" xfId="76" applyNumberFormat="1" applyFont="1"/>
    <xf numFmtId="3" fontId="143" fillId="0" borderId="0" xfId="76" applyNumberFormat="1" applyFont="1" applyAlignment="1">
      <alignment horizontal="right"/>
    </xf>
    <xf numFmtId="3" fontId="144" fillId="0" borderId="0" xfId="76" applyNumberFormat="1" applyFont="1" applyAlignment="1">
      <alignment horizontal="left"/>
    </xf>
    <xf numFmtId="3" fontId="143" fillId="0" borderId="0" xfId="76" applyNumberFormat="1" applyFont="1"/>
    <xf numFmtId="3" fontId="54" fillId="0" borderId="0" xfId="76" applyNumberFormat="1" applyFont="1"/>
    <xf numFmtId="3" fontId="7" fillId="0" borderId="0" xfId="76" applyNumberFormat="1" applyFont="1" applyAlignment="1">
      <alignment horizontal="right"/>
    </xf>
    <xf numFmtId="3" fontId="145" fillId="0" borderId="0" xfId="76" applyNumberFormat="1" applyFont="1" applyAlignment="1">
      <alignment horizontal="left"/>
    </xf>
    <xf numFmtId="3" fontId="60" fillId="0" borderId="0" xfId="76" applyNumberFormat="1" applyFont="1"/>
    <xf numFmtId="0" fontId="147" fillId="0" borderId="0" xfId="102" applyFont="1"/>
    <xf numFmtId="0" fontId="148" fillId="0" borderId="0" xfId="103" applyFont="1"/>
    <xf numFmtId="0" fontId="146" fillId="0" borderId="0" xfId="102" applyFont="1"/>
    <xf numFmtId="0" fontId="149" fillId="0" borderId="0" xfId="102" applyFont="1" applyAlignment="1">
      <alignment horizontal="center"/>
    </xf>
    <xf numFmtId="0" fontId="13" fillId="0" borderId="0" xfId="102" applyFont="1"/>
    <xf numFmtId="0" fontId="108" fillId="0" borderId="0" xfId="103"/>
    <xf numFmtId="0" fontId="146" fillId="0" borderId="82" xfId="102" applyFont="1" applyBorder="1"/>
    <xf numFmtId="0" fontId="151" fillId="0" borderId="0" xfId="103" applyFont="1"/>
    <xf numFmtId="3" fontId="146" fillId="0" borderId="69" xfId="104" applyNumberFormat="1" applyFont="1" applyBorder="1" applyAlignment="1">
      <alignment horizontal="center"/>
    </xf>
    <xf numFmtId="4" fontId="146" fillId="0" borderId="85" xfId="102" applyNumberFormat="1" applyFont="1" applyBorder="1" applyAlignment="1">
      <alignment horizontal="center"/>
    </xf>
    <xf numFmtId="3" fontId="146" fillId="0" borderId="70" xfId="104" applyNumberFormat="1" applyFont="1" applyBorder="1" applyAlignment="1">
      <alignment horizontal="left"/>
    </xf>
    <xf numFmtId="4" fontId="146" fillId="0" borderId="70" xfId="102" applyNumberFormat="1" applyFont="1" applyBorder="1" applyAlignment="1">
      <alignment horizontal="center"/>
    </xf>
    <xf numFmtId="3" fontId="146" fillId="0" borderId="70" xfId="102" applyNumberFormat="1" applyFont="1" applyBorder="1" applyAlignment="1">
      <alignment horizontal="center"/>
    </xf>
    <xf numFmtId="4" fontId="152" fillId="0" borderId="69" xfId="102" applyNumberFormat="1" applyFont="1" applyBorder="1" applyAlignment="1">
      <alignment horizontal="center"/>
    </xf>
    <xf numFmtId="4" fontId="138" fillId="0" borderId="82" xfId="102" applyNumberFormat="1" applyFont="1" applyBorder="1" applyAlignment="1">
      <alignment horizontal="justify"/>
    </xf>
    <xf numFmtId="4" fontId="138" fillId="0" borderId="53" xfId="102" applyNumberFormat="1" applyFont="1" applyBorder="1" applyAlignment="1">
      <alignment horizontal="justify"/>
    </xf>
    <xf numFmtId="0" fontId="54" fillId="0" borderId="0" xfId="102" applyFont="1" applyAlignment="1">
      <alignment horizontal="justify"/>
    </xf>
    <xf numFmtId="0" fontId="108" fillId="0" borderId="0" xfId="103" applyAlignment="1">
      <alignment horizontal="justify"/>
    </xf>
    <xf numFmtId="3" fontId="153" fillId="0" borderId="112" xfId="0" applyNumberFormat="1" applyFont="1" applyBorder="1" applyAlignment="1">
      <alignment horizontal="left"/>
    </xf>
    <xf numFmtId="4" fontId="154" fillId="0" borderId="69" xfId="102" applyNumberFormat="1" applyFont="1" applyBorder="1"/>
    <xf numFmtId="3" fontId="154" fillId="0" borderId="85" xfId="102" applyNumberFormat="1" applyFont="1" applyBorder="1"/>
    <xf numFmtId="4" fontId="154" fillId="0" borderId="85" xfId="102" applyNumberFormat="1" applyFont="1" applyBorder="1"/>
    <xf numFmtId="4" fontId="150" fillId="0" borderId="85" xfId="102" applyNumberFormat="1" applyFont="1" applyBorder="1"/>
    <xf numFmtId="3" fontId="150" fillId="0" borderId="85" xfId="102" applyNumberFormat="1" applyFont="1" applyBorder="1"/>
    <xf numFmtId="0" fontId="54" fillId="0" borderId="0" xfId="102" applyFont="1"/>
    <xf numFmtId="3" fontId="153" fillId="0" borderId="78" xfId="0" applyNumberFormat="1" applyFont="1" applyBorder="1" applyAlignment="1">
      <alignment horizontal="left"/>
    </xf>
    <xf numFmtId="4" fontId="154" fillId="0" borderId="78" xfId="102" applyNumberFormat="1" applyFont="1" applyBorder="1"/>
    <xf numFmtId="3" fontId="154" fillId="0" borderId="87" xfId="102" applyNumberFormat="1" applyFont="1" applyBorder="1"/>
    <xf numFmtId="4" fontId="150" fillId="0" borderId="78" xfId="102" applyNumberFormat="1" applyFont="1" applyBorder="1"/>
    <xf numFmtId="3" fontId="150" fillId="0" borderId="87" xfId="102" applyNumberFormat="1" applyFont="1" applyBorder="1"/>
    <xf numFmtId="3" fontId="153" fillId="0" borderId="69" xfId="0" applyNumberFormat="1" applyFont="1" applyBorder="1" applyAlignment="1">
      <alignment horizontal="left"/>
    </xf>
    <xf numFmtId="4" fontId="146" fillId="0" borderId="77" xfId="102" applyNumberFormat="1" applyFont="1" applyBorder="1"/>
    <xf numFmtId="4" fontId="150" fillId="0" borderId="77" xfId="102" applyNumberFormat="1" applyFont="1" applyBorder="1"/>
    <xf numFmtId="3" fontId="150" fillId="0" borderId="77" xfId="102" applyNumberFormat="1" applyFont="1" applyBorder="1"/>
    <xf numFmtId="4" fontId="153" fillId="0" borderId="77" xfId="102" applyNumberFormat="1" applyFont="1" applyBorder="1"/>
    <xf numFmtId="3" fontId="150" fillId="0" borderId="81" xfId="102" applyNumberFormat="1" applyFont="1" applyBorder="1"/>
    <xf numFmtId="4" fontId="152" fillId="0" borderId="82" xfId="102" applyNumberFormat="1" applyFont="1" applyBorder="1" applyAlignment="1">
      <alignment horizontal="center"/>
    </xf>
    <xf numFmtId="3" fontId="153" fillId="0" borderId="75" xfId="0" applyNumberFormat="1" applyFont="1" applyBorder="1" applyAlignment="1">
      <alignment horizontal="left" wrapText="1"/>
    </xf>
    <xf numFmtId="4" fontId="154" fillId="0" borderId="87" xfId="102" applyNumberFormat="1" applyFont="1" applyBorder="1"/>
    <xf numFmtId="3" fontId="153" fillId="0" borderId="76" xfId="0" applyNumberFormat="1" applyFont="1" applyBorder="1" applyAlignment="1">
      <alignment horizontal="left"/>
    </xf>
    <xf numFmtId="4" fontId="150" fillId="0" borderId="81" xfId="102" applyNumberFormat="1" applyFont="1" applyBorder="1"/>
    <xf numFmtId="4" fontId="150" fillId="0" borderId="53" xfId="102" applyNumberFormat="1" applyFont="1" applyBorder="1"/>
    <xf numFmtId="4" fontId="154" fillId="0" borderId="53" xfId="102" applyNumberFormat="1" applyFont="1" applyBorder="1"/>
    <xf numFmtId="3" fontId="153" fillId="0" borderId="75" xfId="0" applyNumberFormat="1" applyFont="1" applyBorder="1" applyAlignment="1">
      <alignment horizontal="left"/>
    </xf>
    <xf numFmtId="4" fontId="154" fillId="0" borderId="112" xfId="102" applyNumberFormat="1" applyFont="1" applyBorder="1"/>
    <xf numFmtId="3" fontId="154" fillId="0" borderId="97" xfId="102" applyNumberFormat="1" applyFont="1" applyBorder="1"/>
    <xf numFmtId="4" fontId="150" fillId="0" borderId="97" xfId="102" applyNumberFormat="1" applyFont="1" applyBorder="1"/>
    <xf numFmtId="3" fontId="150" fillId="0" borderId="97" xfId="102" applyNumberFormat="1" applyFont="1" applyBorder="1"/>
    <xf numFmtId="0" fontId="153" fillId="0" borderId="78" xfId="0" applyFont="1" applyBorder="1" applyAlignment="1">
      <alignment horizontal="left"/>
    </xf>
    <xf numFmtId="4" fontId="154" fillId="0" borderId="76" xfId="102" applyNumberFormat="1" applyFont="1" applyBorder="1"/>
    <xf numFmtId="3" fontId="154" fillId="0" borderId="80" xfId="102" applyNumberFormat="1" applyFont="1" applyBorder="1"/>
    <xf numFmtId="4" fontId="154" fillId="0" borderId="80" xfId="102" applyNumberFormat="1" applyFont="1" applyBorder="1"/>
    <xf numFmtId="4" fontId="150" fillId="0" borderId="80" xfId="102" applyNumberFormat="1" applyFont="1" applyBorder="1"/>
    <xf numFmtId="3" fontId="150" fillId="0" borderId="80" xfId="102" applyNumberFormat="1" applyFont="1" applyBorder="1"/>
    <xf numFmtId="4" fontId="150" fillId="0" borderId="83" xfId="102" applyNumberFormat="1" applyFont="1" applyBorder="1"/>
    <xf numFmtId="3" fontId="150" fillId="0" borderId="83" xfId="102" applyNumberFormat="1" applyFont="1" applyBorder="1"/>
    <xf numFmtId="4" fontId="146" fillId="0" borderId="70" xfId="102" applyNumberFormat="1" applyFont="1" applyBorder="1"/>
    <xf numFmtId="4" fontId="146" fillId="0" borderId="70" xfId="102" applyNumberFormat="1" applyFont="1" applyBorder="1" applyAlignment="1">
      <alignment horizontal="left"/>
    </xf>
    <xf numFmtId="49" fontId="155" fillId="0" borderId="0" xfId="102" applyNumberFormat="1" applyFont="1"/>
    <xf numFmtId="4" fontId="156" fillId="0" borderId="0" xfId="102" applyNumberFormat="1" applyFont="1"/>
    <xf numFmtId="3" fontId="157" fillId="0" borderId="0" xfId="102" applyNumberFormat="1" applyFont="1"/>
    <xf numFmtId="0" fontId="156" fillId="0" borderId="0" xfId="102" applyFont="1"/>
    <xf numFmtId="0" fontId="158" fillId="0" borderId="0" xfId="103" applyFont="1"/>
    <xf numFmtId="49" fontId="147" fillId="0" borderId="0" xfId="102" applyNumberFormat="1" applyFont="1"/>
    <xf numFmtId="0" fontId="59" fillId="0" borderId="0" xfId="103" applyFont="1"/>
    <xf numFmtId="0" fontId="155" fillId="0" borderId="0" xfId="102" applyFont="1"/>
    <xf numFmtId="4" fontId="159" fillId="0" borderId="0" xfId="102" applyNumberFormat="1" applyFont="1"/>
    <xf numFmtId="0" fontId="160" fillId="0" borderId="0" xfId="102" applyFont="1"/>
    <xf numFmtId="3" fontId="156" fillId="0" borderId="0" xfId="102" applyNumberFormat="1" applyFont="1"/>
    <xf numFmtId="0" fontId="161" fillId="0" borderId="0" xfId="102" applyFont="1"/>
    <xf numFmtId="0" fontId="162" fillId="0" borderId="0" xfId="102" applyFont="1"/>
    <xf numFmtId="0" fontId="155" fillId="0" borderId="0" xfId="102" applyFont="1" applyAlignment="1">
      <alignment horizontal="left"/>
    </xf>
    <xf numFmtId="49" fontId="156" fillId="0" borderId="0" xfId="102" applyNumberFormat="1" applyFont="1"/>
    <xf numFmtId="49" fontId="54" fillId="0" borderId="0" xfId="102" applyNumberFormat="1" applyFont="1"/>
    <xf numFmtId="4" fontId="77" fillId="29" borderId="72" xfId="0" applyNumberFormat="1" applyFont="1" applyFill="1" applyBorder="1"/>
    <xf numFmtId="0" fontId="113" fillId="0" borderId="0" xfId="105" applyFont="1"/>
    <xf numFmtId="3" fontId="125" fillId="0" borderId="0" xfId="106" applyNumberFormat="1" applyFont="1"/>
    <xf numFmtId="0" fontId="125" fillId="0" borderId="0" xfId="106" applyFont="1"/>
    <xf numFmtId="0" fontId="163" fillId="0" borderId="0" xfId="106" applyFont="1"/>
    <xf numFmtId="0" fontId="81" fillId="0" borderId="0" xfId="106" applyFont="1" applyAlignment="1">
      <alignment wrapText="1"/>
    </xf>
    <xf numFmtId="3" fontId="79" fillId="0" borderId="0" xfId="106" applyNumberFormat="1" applyFont="1"/>
    <xf numFmtId="0" fontId="78" fillId="0" borderId="116" xfId="106" applyFont="1" applyBorder="1" applyAlignment="1">
      <alignment horizontal="center" wrapText="1"/>
    </xf>
    <xf numFmtId="3" fontId="165" fillId="0" borderId="125" xfId="106" applyNumberFormat="1" applyFont="1" applyBorder="1" applyAlignment="1">
      <alignment horizontal="center" vertical="center" wrapText="1"/>
    </xf>
    <xf numFmtId="3" fontId="164" fillId="0" borderId="125" xfId="106" applyNumberFormat="1" applyFont="1" applyBorder="1" applyAlignment="1">
      <alignment horizontal="center" vertical="center" wrapText="1"/>
    </xf>
    <xf numFmtId="0" fontId="78" fillId="0" borderId="57" xfId="106" applyFont="1" applyBorder="1" applyAlignment="1">
      <alignment wrapText="1"/>
    </xf>
    <xf numFmtId="3" fontId="79" fillId="0" borderId="56" xfId="106" applyNumberFormat="1" applyFont="1" applyBorder="1"/>
    <xf numFmtId="0" fontId="81" fillId="0" borderId="95" xfId="106" applyFont="1" applyBorder="1" applyAlignment="1">
      <alignment wrapText="1"/>
    </xf>
    <xf numFmtId="3" fontId="125" fillId="0" borderId="140" xfId="106" applyNumberFormat="1" applyFont="1" applyBorder="1"/>
    <xf numFmtId="3" fontId="166" fillId="0" borderId="140" xfId="106" applyNumberFormat="1" applyFont="1" applyBorder="1"/>
    <xf numFmtId="0" fontId="81" fillId="0" borderId="26" xfId="106" applyFont="1" applyBorder="1" applyAlignment="1">
      <alignment wrapText="1"/>
    </xf>
    <xf numFmtId="3" fontId="125" fillId="0" borderId="58" xfId="106" applyNumberFormat="1" applyFont="1" applyBorder="1"/>
    <xf numFmtId="3" fontId="166" fillId="0" borderId="58" xfId="106" applyNumberFormat="1" applyFont="1" applyBorder="1"/>
    <xf numFmtId="0" fontId="81" fillId="0" borderId="18" xfId="106" applyFont="1" applyBorder="1" applyAlignment="1">
      <alignment wrapText="1"/>
    </xf>
    <xf numFmtId="0" fontId="78" fillId="32" borderId="142" xfId="106" applyFont="1" applyFill="1" applyBorder="1" applyAlignment="1">
      <alignment wrapText="1"/>
    </xf>
    <xf numFmtId="3" fontId="138" fillId="32" borderId="143" xfId="106" applyNumberFormat="1" applyFont="1" applyFill="1" applyBorder="1"/>
    <xf numFmtId="0" fontId="113" fillId="0" borderId="0" xfId="106" applyFont="1"/>
    <xf numFmtId="0" fontId="78" fillId="0" borderId="18" xfId="106" applyFont="1" applyBorder="1" applyAlignment="1">
      <alignment wrapText="1"/>
    </xf>
    <xf numFmtId="3" fontId="138" fillId="0" borderId="59" xfId="106" applyNumberFormat="1" applyFont="1" applyBorder="1"/>
    <xf numFmtId="0" fontId="79" fillId="0" borderId="18" xfId="106" applyFont="1" applyBorder="1" applyAlignment="1">
      <alignment wrapText="1"/>
    </xf>
    <xf numFmtId="3" fontId="166" fillId="0" borderId="59" xfId="106" applyNumberFormat="1" applyFont="1" applyBorder="1"/>
    <xf numFmtId="0" fontId="164" fillId="0" borderId="95" xfId="106" applyFont="1" applyBorder="1" applyAlignment="1">
      <alignment wrapText="1"/>
    </xf>
    <xf numFmtId="3" fontId="125" fillId="0" borderId="56" xfId="106" applyNumberFormat="1" applyFont="1" applyBorder="1"/>
    <xf numFmtId="3" fontId="166" fillId="0" borderId="56" xfId="106" applyNumberFormat="1" applyFont="1" applyBorder="1"/>
    <xf numFmtId="0" fontId="79" fillId="0" borderId="95" xfId="106" applyFont="1" applyBorder="1" applyAlignment="1">
      <alignment wrapText="1"/>
    </xf>
    <xf numFmtId="0" fontId="164" fillId="0" borderId="57" xfId="106" applyFont="1" applyBorder="1" applyAlignment="1">
      <alignment wrapText="1"/>
    </xf>
    <xf numFmtId="0" fontId="167" fillId="0" borderId="18" xfId="106" applyFont="1" applyBorder="1" applyAlignment="1">
      <alignment wrapText="1"/>
    </xf>
    <xf numFmtId="3" fontId="125" fillId="0" borderId="59" xfId="106" applyNumberFormat="1" applyFont="1" applyBorder="1"/>
    <xf numFmtId="0" fontId="167" fillId="0" borderId="95" xfId="106" applyFont="1" applyBorder="1" applyAlignment="1">
      <alignment wrapText="1"/>
    </xf>
    <xf numFmtId="0" fontId="81" fillId="0" borderId="144" xfId="106" applyFont="1" applyBorder="1" applyAlignment="1">
      <alignment wrapText="1"/>
    </xf>
    <xf numFmtId="3" fontId="125" fillId="0" borderId="145" xfId="106" applyNumberFormat="1" applyFont="1" applyBorder="1"/>
    <xf numFmtId="3" fontId="166" fillId="0" borderId="145" xfId="106" applyNumberFormat="1" applyFont="1" applyBorder="1"/>
    <xf numFmtId="0" fontId="79" fillId="0" borderId="57" xfId="106" applyFont="1" applyBorder="1" applyAlignment="1">
      <alignment wrapText="1"/>
    </xf>
    <xf numFmtId="3" fontId="165" fillId="0" borderId="56" xfId="106" applyNumberFormat="1" applyFont="1" applyBorder="1"/>
    <xf numFmtId="3" fontId="168" fillId="0" borderId="56" xfId="106" applyNumberFormat="1" applyFont="1" applyBorder="1"/>
    <xf numFmtId="0" fontId="165" fillId="0" borderId="0" xfId="106" applyFont="1"/>
    <xf numFmtId="3" fontId="166" fillId="32" borderId="143" xfId="106" applyNumberFormat="1" applyFont="1" applyFill="1" applyBorder="1"/>
    <xf numFmtId="3" fontId="138" fillId="0" borderId="146" xfId="106" applyNumberFormat="1" applyFont="1" applyBorder="1"/>
    <xf numFmtId="0" fontId="66" fillId="0" borderId="0" xfId="106" applyFont="1"/>
    <xf numFmtId="3" fontId="81" fillId="0" borderId="18" xfId="106" applyNumberFormat="1" applyFont="1" applyBorder="1"/>
    <xf numFmtId="0" fontId="167" fillId="0" borderId="26" xfId="106" applyFont="1" applyBorder="1" applyAlignment="1">
      <alignment wrapText="1"/>
    </xf>
    <xf numFmtId="0" fontId="77" fillId="0" borderId="26" xfId="106" applyFont="1" applyBorder="1" applyAlignment="1">
      <alignment wrapText="1"/>
    </xf>
    <xf numFmtId="0" fontId="79" fillId="0" borderId="142" xfId="106" applyFont="1" applyBorder="1" applyAlignment="1">
      <alignment wrapText="1"/>
    </xf>
    <xf numFmtId="3" fontId="125" fillId="0" borderId="143" xfId="106" applyNumberFormat="1" applyFont="1" applyBorder="1"/>
    <xf numFmtId="3" fontId="166" fillId="0" borderId="147" xfId="106" applyNumberFormat="1" applyFont="1" applyBorder="1"/>
    <xf numFmtId="0" fontId="79" fillId="0" borderId="144" xfId="106" applyFont="1" applyBorder="1" applyAlignment="1">
      <alignment wrapText="1"/>
    </xf>
    <xf numFmtId="0" fontId="79" fillId="0" borderId="148" xfId="106" applyFont="1" applyBorder="1" applyAlignment="1">
      <alignment wrapText="1"/>
    </xf>
    <xf numFmtId="3" fontId="125" fillId="0" borderId="146" xfId="106" applyNumberFormat="1" applyFont="1" applyBorder="1"/>
    <xf numFmtId="3" fontId="166" fillId="0" borderId="146" xfId="106" applyNumberFormat="1" applyFont="1" applyBorder="1"/>
    <xf numFmtId="0" fontId="79" fillId="0" borderId="149" xfId="106" applyFont="1" applyBorder="1" applyAlignment="1">
      <alignment wrapText="1"/>
    </xf>
    <xf numFmtId="0" fontId="81" fillId="0" borderId="26" xfId="106" applyFont="1" applyBorder="1" applyAlignment="1">
      <alignment horizontal="left" wrapText="1"/>
    </xf>
    <xf numFmtId="0" fontId="81" fillId="0" borderId="57" xfId="106" applyFont="1" applyBorder="1" applyAlignment="1">
      <alignment wrapText="1"/>
    </xf>
    <xf numFmtId="0" fontId="79" fillId="32" borderId="142" xfId="106" applyFont="1" applyFill="1" applyBorder="1" applyAlignment="1">
      <alignment wrapText="1"/>
    </xf>
    <xf numFmtId="0" fontId="79" fillId="32" borderId="150" xfId="106" applyFont="1" applyFill="1" applyBorder="1" applyAlignment="1">
      <alignment wrapText="1"/>
    </xf>
    <xf numFmtId="3" fontId="166" fillId="32" borderId="151" xfId="106" applyNumberFormat="1" applyFont="1" applyFill="1" applyBorder="1"/>
    <xf numFmtId="0" fontId="78" fillId="0" borderId="23" xfId="106" applyFont="1" applyBorder="1" applyAlignment="1">
      <alignment horizontal="center" wrapText="1"/>
    </xf>
    <xf numFmtId="3" fontId="168" fillId="0" borderId="27" xfId="106" applyNumberFormat="1" applyFont="1" applyBorder="1" applyAlignment="1">
      <alignment horizontal="center"/>
    </xf>
    <xf numFmtId="0" fontId="77" fillId="0" borderId="98" xfId="105" applyFont="1" applyBorder="1" applyAlignment="1">
      <alignment wrapText="1"/>
    </xf>
    <xf numFmtId="3" fontId="168" fillId="0" borderId="140" xfId="106" applyNumberFormat="1" applyFont="1" applyBorder="1" applyAlignment="1">
      <alignment horizontal="right"/>
    </xf>
    <xf numFmtId="0" fontId="77" fillId="0" borderId="95" xfId="105" applyFont="1" applyBorder="1" applyAlignment="1">
      <alignment horizontal="left"/>
    </xf>
    <xf numFmtId="3" fontId="138" fillId="0" borderId="140" xfId="106" applyNumberFormat="1" applyFont="1" applyBorder="1"/>
    <xf numFmtId="3" fontId="138" fillId="0" borderId="58" xfId="106" applyNumberFormat="1" applyFont="1" applyBorder="1"/>
    <xf numFmtId="0" fontId="77" fillId="0" borderId="95" xfId="105" applyFont="1" applyBorder="1" applyAlignment="1">
      <alignment horizontal="left" wrapText="1"/>
    </xf>
    <xf numFmtId="0" fontId="77" fillId="0" borderId="95" xfId="105" applyFont="1" applyBorder="1"/>
    <xf numFmtId="0" fontId="77" fillId="0" borderId="32" xfId="105" applyFont="1" applyBorder="1" applyAlignment="1">
      <alignment wrapText="1"/>
    </xf>
    <xf numFmtId="3" fontId="138" fillId="0" borderId="85" xfId="106" applyNumberFormat="1" applyFont="1" applyBorder="1"/>
    <xf numFmtId="0" fontId="77" fillId="0" borderId="95" xfId="105" applyFont="1" applyBorder="1" applyAlignment="1">
      <alignment horizontal="left" vertical="top" wrapText="1"/>
    </xf>
    <xf numFmtId="0" fontId="77" fillId="0" borderId="144" xfId="105" applyFont="1" applyBorder="1" applyAlignment="1">
      <alignment wrapText="1"/>
    </xf>
    <xf numFmtId="3" fontId="138" fillId="0" borderId="152" xfId="106" applyNumberFormat="1" applyFont="1" applyBorder="1"/>
    <xf numFmtId="3" fontId="78" fillId="32" borderId="142" xfId="106" applyNumberFormat="1" applyFont="1" applyFill="1" applyBorder="1" applyAlignment="1">
      <alignment wrapText="1"/>
    </xf>
    <xf numFmtId="3" fontId="78" fillId="0" borderId="18" xfId="106" applyNumberFormat="1" applyFont="1" applyBorder="1" applyAlignment="1">
      <alignment wrapText="1"/>
    </xf>
    <xf numFmtId="0" fontId="78" fillId="0" borderId="18" xfId="105" applyFont="1" applyBorder="1"/>
    <xf numFmtId="0" fontId="77" fillId="0" borderId="26" xfId="105" applyFont="1" applyBorder="1"/>
    <xf numFmtId="3" fontId="138" fillId="0" borderId="145" xfId="106" applyNumberFormat="1" applyFont="1" applyBorder="1"/>
    <xf numFmtId="0" fontId="163" fillId="0" borderId="0" xfId="106" applyFont="1" applyAlignment="1">
      <alignment wrapText="1"/>
    </xf>
    <xf numFmtId="0" fontId="169" fillId="0" borderId="0" xfId="92" applyFont="1"/>
    <xf numFmtId="4" fontId="77" fillId="0" borderId="71" xfId="0" applyNumberFormat="1" applyFont="1" applyBorder="1" applyAlignment="1">
      <alignment horizontal="right"/>
    </xf>
    <xf numFmtId="4" fontId="81" fillId="0" borderId="75" xfId="0" applyNumberFormat="1" applyFont="1" applyBorder="1"/>
    <xf numFmtId="0" fontId="83" fillId="29" borderId="105" xfId="0" applyFont="1" applyFill="1" applyBorder="1"/>
    <xf numFmtId="0" fontId="83" fillId="29" borderId="40" xfId="0" applyFont="1" applyFill="1" applyBorder="1"/>
    <xf numFmtId="0" fontId="83" fillId="29" borderId="94" xfId="0" applyFont="1" applyFill="1" applyBorder="1" applyAlignment="1">
      <alignment horizontal="left"/>
    </xf>
    <xf numFmtId="0" fontId="83" fillId="0" borderId="102" xfId="0" applyFont="1" applyBorder="1" applyAlignment="1">
      <alignment horizontal="left" wrapText="1"/>
    </xf>
    <xf numFmtId="0" fontId="83" fillId="0" borderId="38" xfId="0" applyFont="1" applyBorder="1" applyAlignment="1">
      <alignment horizontal="left" wrapText="1"/>
    </xf>
    <xf numFmtId="0" fontId="83" fillId="29" borderId="40" xfId="0" applyFont="1" applyFill="1" applyBorder="1" applyAlignment="1">
      <alignment wrapText="1"/>
    </xf>
    <xf numFmtId="0" fontId="83" fillId="0" borderId="42" xfId="0" applyFont="1" applyBorder="1" applyAlignment="1">
      <alignment horizontal="left"/>
    </xf>
    <xf numFmtId="0" fontId="83" fillId="0" borderId="42" xfId="0" applyFont="1" applyBorder="1" applyAlignment="1">
      <alignment horizontal="left" wrapText="1"/>
    </xf>
    <xf numFmtId="0" fontId="83" fillId="0" borderId="18" xfId="0" applyFont="1" applyBorder="1" applyAlignment="1">
      <alignment horizontal="left" wrapText="1"/>
    </xf>
    <xf numFmtId="0" fontId="78" fillId="0" borderId="17" xfId="0" applyFont="1" applyBorder="1" applyAlignment="1">
      <alignment wrapText="1"/>
    </xf>
    <xf numFmtId="0" fontId="86" fillId="0" borderId="0" xfId="0" applyFont="1" applyAlignment="1">
      <alignment horizontal="center"/>
    </xf>
    <xf numFmtId="3" fontId="170" fillId="0" borderId="16" xfId="0" applyNumberFormat="1" applyFont="1" applyBorder="1" applyAlignment="1">
      <alignment horizontal="left"/>
    </xf>
    <xf numFmtId="0" fontId="86" fillId="0" borderId="25" xfId="0" applyFont="1" applyBorder="1" applyAlignment="1">
      <alignment horizontal="center"/>
    </xf>
    <xf numFmtId="0" fontId="86" fillId="0" borderId="92" xfId="0" applyFont="1" applyBorder="1" applyAlignment="1">
      <alignment horizontal="center"/>
    </xf>
    <xf numFmtId="0" fontId="86" fillId="0" borderId="17" xfId="0" applyFont="1" applyBorder="1"/>
    <xf numFmtId="0" fontId="86" fillId="0" borderId="19" xfId="0" applyFont="1" applyBorder="1"/>
    <xf numFmtId="0" fontId="170" fillId="0" borderId="0" xfId="0" applyFont="1"/>
    <xf numFmtId="0" fontId="86" fillId="0" borderId="23" xfId="0" applyFont="1" applyBorder="1" applyAlignment="1">
      <alignment horizontal="center"/>
    </xf>
    <xf numFmtId="0" fontId="86" fillId="0" borderId="19" xfId="0" applyFont="1" applyBorder="1" applyAlignment="1">
      <alignment horizontal="center"/>
    </xf>
    <xf numFmtId="0" fontId="86" fillId="0" borderId="0" xfId="0" applyFont="1"/>
    <xf numFmtId="0" fontId="86" fillId="0" borderId="20" xfId="0" applyFont="1" applyBorder="1"/>
    <xf numFmtId="0" fontId="86" fillId="0" borderId="82" xfId="0" applyFont="1" applyBorder="1" applyAlignment="1">
      <alignment horizontal="center"/>
    </xf>
    <xf numFmtId="0" fontId="83" fillId="0" borderId="70" xfId="0" applyFont="1" applyBorder="1" applyAlignment="1">
      <alignment horizontal="center"/>
    </xf>
    <xf numFmtId="0" fontId="86" fillId="0" borderId="69" xfId="0" applyFont="1" applyBorder="1" applyAlignment="1">
      <alignment horizontal="center"/>
    </xf>
    <xf numFmtId="0" fontId="170" fillId="0" borderId="69" xfId="0" applyFont="1" applyBorder="1" applyAlignment="1">
      <alignment horizontal="left"/>
    </xf>
    <xf numFmtId="0" fontId="83" fillId="0" borderId="75" xfId="0" applyFont="1" applyBorder="1" applyAlignment="1">
      <alignment horizontal="justify"/>
    </xf>
    <xf numFmtId="0" fontId="83" fillId="0" borderId="75" xfId="0" applyFont="1" applyBorder="1"/>
    <xf numFmtId="0" fontId="83" fillId="0" borderId="69" xfId="0" applyFont="1" applyBorder="1" applyAlignment="1">
      <alignment horizontal="left" wrapText="1"/>
    </xf>
    <xf numFmtId="0" fontId="86" fillId="0" borderId="77" xfId="0" applyFont="1" applyBorder="1" applyAlignment="1">
      <alignment horizontal="left"/>
    </xf>
    <xf numFmtId="0" fontId="170" fillId="0" borderId="69" xfId="0" applyFont="1" applyBorder="1"/>
    <xf numFmtId="3" fontId="83" fillId="0" borderId="75" xfId="0" applyNumberFormat="1" applyFont="1" applyBorder="1" applyAlignment="1">
      <alignment horizontal="justify"/>
    </xf>
    <xf numFmtId="3" fontId="83" fillId="0" borderId="73" xfId="78" applyNumberFormat="1" applyFont="1" applyBorder="1" applyAlignment="1">
      <alignment horizontal="justify" wrapText="1"/>
    </xf>
    <xf numFmtId="0" fontId="83" fillId="0" borderId="69" xfId="0" applyFont="1" applyBorder="1"/>
    <xf numFmtId="0" fontId="83" fillId="0" borderId="103" xfId="0" applyFont="1" applyBorder="1"/>
    <xf numFmtId="0" fontId="86" fillId="0" borderId="70" xfId="0" applyFont="1" applyBorder="1"/>
    <xf numFmtId="0" fontId="86" fillId="0" borderId="69" xfId="0" applyFont="1" applyBorder="1" applyAlignment="1">
      <alignment horizontal="left"/>
    </xf>
    <xf numFmtId="0" fontId="170" fillId="0" borderId="88" xfId="0" applyFont="1" applyBorder="1" applyAlignment="1">
      <alignment horizontal="left"/>
    </xf>
    <xf numFmtId="0" fontId="86" fillId="0" borderId="88" xfId="0" applyFont="1" applyBorder="1" applyAlignment="1">
      <alignment horizontal="left"/>
    </xf>
    <xf numFmtId="0" fontId="86" fillId="0" borderId="76" xfId="0" applyFont="1" applyBorder="1"/>
    <xf numFmtId="0" fontId="86" fillId="0" borderId="88" xfId="0" applyFont="1" applyBorder="1" applyAlignment="1">
      <alignment horizontal="center"/>
    </xf>
    <xf numFmtId="0" fontId="170" fillId="0" borderId="69" xfId="0" applyFont="1" applyBorder="1" applyAlignment="1">
      <alignment horizontal="left" wrapText="1"/>
    </xf>
    <xf numFmtId="3" fontId="83" fillId="0" borderId="103" xfId="0" applyNumberFormat="1" applyFont="1" applyBorder="1" applyAlignment="1">
      <alignment horizontal="justify"/>
    </xf>
    <xf numFmtId="0" fontId="86" fillId="0" borderId="76" xfId="0" applyFont="1" applyBorder="1" applyAlignment="1">
      <alignment wrapText="1"/>
    </xf>
    <xf numFmtId="3" fontId="83" fillId="0" borderId="75" xfId="78" applyNumberFormat="1" applyFont="1" applyBorder="1" applyAlignment="1">
      <alignment horizontal="justify" wrapText="1"/>
    </xf>
    <xf numFmtId="0" fontId="83" fillId="0" borderId="0" xfId="0" applyFont="1"/>
    <xf numFmtId="0" fontId="86" fillId="0" borderId="70" xfId="0" applyFont="1" applyBorder="1" applyAlignment="1">
      <alignment horizontal="center"/>
    </xf>
    <xf numFmtId="0" fontId="86" fillId="0" borderId="82" xfId="0" applyFont="1" applyBorder="1" applyAlignment="1">
      <alignment horizontal="left"/>
    </xf>
    <xf numFmtId="0" fontId="83" fillId="0" borderId="69" xfId="0" applyFont="1" applyBorder="1" applyAlignment="1">
      <alignment horizontal="justify"/>
    </xf>
    <xf numFmtId="3" fontId="83" fillId="29" borderId="72" xfId="0" applyNumberFormat="1" applyFont="1" applyFill="1" applyBorder="1"/>
    <xf numFmtId="0" fontId="83" fillId="0" borderId="86" xfId="0" applyFont="1" applyBorder="1"/>
    <xf numFmtId="0" fontId="86" fillId="0" borderId="18" xfId="0" applyFont="1" applyBorder="1"/>
    <xf numFmtId="3" fontId="86" fillId="0" borderId="0" xfId="0" applyNumberFormat="1" applyFont="1" applyAlignment="1">
      <alignment horizontal="center"/>
    </xf>
    <xf numFmtId="3" fontId="86" fillId="0" borderId="25" xfId="0" applyNumberFormat="1" applyFont="1" applyBorder="1" applyAlignment="1">
      <alignment horizontal="center"/>
    </xf>
    <xf numFmtId="3" fontId="86" fillId="0" borderId="30" xfId="0" applyNumberFormat="1" applyFont="1" applyBorder="1" applyAlignment="1">
      <alignment horizontal="center"/>
    </xf>
    <xf numFmtId="0" fontId="83" fillId="29" borderId="105" xfId="0" applyFont="1" applyFill="1" applyBorder="1" applyAlignment="1">
      <alignment horizontal="justify"/>
    </xf>
    <xf numFmtId="0" fontId="83" fillId="29" borderId="40" xfId="0" applyFont="1" applyFill="1" applyBorder="1" applyAlignment="1">
      <alignment horizontal="justify"/>
    </xf>
    <xf numFmtId="3" fontId="86" fillId="0" borderId="17" xfId="0" applyNumberFormat="1" applyFont="1" applyBorder="1"/>
    <xf numFmtId="0" fontId="170" fillId="0" borderId="18" xfId="0" applyFont="1" applyBorder="1"/>
    <xf numFmtId="0" fontId="83" fillId="29" borderId="41" xfId="0" applyFont="1" applyFill="1" applyBorder="1" applyAlignment="1">
      <alignment horizontal="justify"/>
    </xf>
    <xf numFmtId="3" fontId="83" fillId="0" borderId="102" xfId="0" applyNumberFormat="1" applyFont="1" applyBorder="1" applyAlignment="1">
      <alignment horizontal="left" wrapText="1"/>
    </xf>
    <xf numFmtId="0" fontId="83" fillId="0" borderId="40" xfId="0" applyFont="1" applyBorder="1" applyAlignment="1">
      <alignment wrapText="1"/>
    </xf>
    <xf numFmtId="0" fontId="83" fillId="0" borderId="62" xfId="0" applyFont="1" applyBorder="1"/>
    <xf numFmtId="0" fontId="83" fillId="0" borderId="40" xfId="0" applyFont="1" applyBorder="1" applyAlignment="1">
      <alignment horizontal="justify" wrapText="1"/>
    </xf>
    <xf numFmtId="0" fontId="83" fillId="0" borderId="18" xfId="0" applyFont="1" applyBorder="1" applyAlignment="1">
      <alignment horizontal="justify"/>
    </xf>
    <xf numFmtId="0" fontId="170" fillId="0" borderId="20" xfId="0" applyFont="1" applyBorder="1" applyAlignment="1">
      <alignment horizontal="justify"/>
    </xf>
    <xf numFmtId="3" fontId="83" fillId="0" borderId="46" xfId="0" applyNumberFormat="1" applyFont="1" applyBorder="1"/>
    <xf numFmtId="3" fontId="86" fillId="0" borderId="23" xfId="0" applyNumberFormat="1" applyFont="1" applyBorder="1" applyAlignment="1">
      <alignment horizontal="center"/>
    </xf>
    <xf numFmtId="3" fontId="86" fillId="0" borderId="19" xfId="0" applyNumberFormat="1" applyFont="1" applyBorder="1" applyAlignment="1">
      <alignment horizontal="center"/>
    </xf>
    <xf numFmtId="0" fontId="83" fillId="30" borderId="18" xfId="0" applyFont="1" applyFill="1" applyBorder="1" applyAlignment="1">
      <alignment horizontal="left" wrapText="1"/>
    </xf>
    <xf numFmtId="0" fontId="83" fillId="30" borderId="40" xfId="0" applyFont="1" applyFill="1" applyBorder="1" applyAlignment="1">
      <alignment horizontal="left" wrapText="1"/>
    </xf>
    <xf numFmtId="0" fontId="83" fillId="30" borderId="19" xfId="0" applyFont="1" applyFill="1" applyBorder="1" applyAlignment="1">
      <alignment horizontal="left" wrapText="1"/>
    </xf>
    <xf numFmtId="3" fontId="83" fillId="0" borderId="18" xfId="0" applyNumberFormat="1" applyFont="1" applyBorder="1"/>
    <xf numFmtId="0" fontId="83" fillId="29" borderId="38" xfId="0" applyFont="1" applyFill="1" applyBorder="1" applyAlignment="1">
      <alignment horizontal="justify"/>
    </xf>
    <xf numFmtId="3" fontId="83" fillId="29" borderId="38" xfId="0" applyNumberFormat="1" applyFont="1" applyFill="1" applyBorder="1" applyAlignment="1">
      <alignment wrapText="1"/>
    </xf>
    <xf numFmtId="0" fontId="86" fillId="0" borderId="17" xfId="0" applyFont="1" applyBorder="1" applyAlignment="1">
      <alignment horizontal="left"/>
    </xf>
    <xf numFmtId="0" fontId="86" fillId="0" borderId="19" xfId="0" applyFont="1" applyBorder="1" applyAlignment="1">
      <alignment horizontal="left"/>
    </xf>
    <xf numFmtId="0" fontId="83" fillId="29" borderId="18" xfId="0" applyFont="1" applyFill="1" applyBorder="1" applyAlignment="1">
      <alignment horizontal="justify"/>
    </xf>
    <xf numFmtId="0" fontId="83" fillId="0" borderId="19" xfId="0" applyFont="1" applyBorder="1" applyAlignment="1">
      <alignment horizontal="center"/>
    </xf>
    <xf numFmtId="0" fontId="83" fillId="29" borderId="38" xfId="0" applyFont="1" applyFill="1" applyBorder="1" applyAlignment="1">
      <alignment horizontal="justify" wrapText="1"/>
    </xf>
    <xf numFmtId="3" fontId="83" fillId="29" borderId="40" xfId="0" applyNumberFormat="1" applyFont="1" applyFill="1" applyBorder="1" applyAlignment="1">
      <alignment wrapText="1"/>
    </xf>
    <xf numFmtId="0" fontId="86" fillId="0" borderId="18" xfId="0" applyFont="1" applyBorder="1" applyAlignment="1">
      <alignment horizontal="center"/>
    </xf>
    <xf numFmtId="0" fontId="83" fillId="0" borderId="105" xfId="0" applyFont="1" applyBorder="1"/>
    <xf numFmtId="0" fontId="83" fillId="0" borderId="18" xfId="0" applyFont="1" applyBorder="1"/>
    <xf numFmtId="0" fontId="83" fillId="0" borderId="20" xfId="0" applyFont="1" applyBorder="1"/>
    <xf numFmtId="0" fontId="83" fillId="0" borderId="38" xfId="0" applyFont="1" applyBorder="1"/>
    <xf numFmtId="0" fontId="172" fillId="0" borderId="23" xfId="0" applyFont="1" applyBorder="1" applyAlignment="1">
      <alignment horizontal="center"/>
    </xf>
    <xf numFmtId="0" fontId="83" fillId="29" borderId="38" xfId="0" applyFont="1" applyFill="1" applyBorder="1"/>
    <xf numFmtId="0" fontId="86" fillId="0" borderId="26" xfId="0" applyFont="1" applyBorder="1" applyAlignment="1">
      <alignment horizontal="center"/>
    </xf>
    <xf numFmtId="0" fontId="173" fillId="0" borderId="18" xfId="0" applyFont="1" applyBorder="1" applyAlignment="1">
      <alignment horizontal="left"/>
    </xf>
    <xf numFmtId="3" fontId="83" fillId="29" borderId="18" xfId="0" applyNumberFormat="1" applyFont="1" applyFill="1" applyBorder="1" applyAlignment="1">
      <alignment wrapText="1"/>
    </xf>
    <xf numFmtId="3" fontId="83" fillId="0" borderId="40" xfId="0" applyNumberFormat="1" applyFont="1" applyBorder="1" applyAlignment="1">
      <alignment wrapText="1"/>
    </xf>
    <xf numFmtId="3" fontId="83" fillId="0" borderId="38" xfId="0" applyNumberFormat="1" applyFont="1" applyBorder="1" applyAlignment="1">
      <alignment wrapText="1"/>
    </xf>
    <xf numFmtId="49" fontId="83" fillId="0" borderId="62" xfId="0" applyNumberFormat="1" applyFont="1" applyBorder="1" applyAlignment="1">
      <alignment horizontal="justify" wrapText="1"/>
    </xf>
    <xf numFmtId="0" fontId="173" fillId="0" borderId="62" xfId="0" applyFont="1" applyBorder="1" applyAlignment="1">
      <alignment horizontal="justify" wrapText="1"/>
    </xf>
    <xf numFmtId="0" fontId="173" fillId="0" borderId="40" xfId="0" applyFont="1" applyBorder="1" applyAlignment="1">
      <alignment horizontal="justify" wrapText="1"/>
    </xf>
    <xf numFmtId="3" fontId="83" fillId="29" borderId="42" xfId="0" applyNumberFormat="1" applyFont="1" applyFill="1" applyBorder="1" applyAlignment="1" applyProtection="1">
      <alignment wrapText="1"/>
      <protection locked="0"/>
    </xf>
    <xf numFmtId="0" fontId="83" fillId="0" borderId="62" xfId="0" applyFont="1" applyBorder="1" applyAlignment="1">
      <alignment wrapText="1"/>
    </xf>
    <xf numFmtId="0" fontId="173" fillId="0" borderId="38" xfId="0" applyFont="1" applyBorder="1" applyAlignment="1">
      <alignment horizontal="justify" wrapText="1"/>
    </xf>
    <xf numFmtId="0" fontId="86" fillId="0" borderId="20" xfId="0" applyFont="1" applyBorder="1" applyAlignment="1">
      <alignment horizontal="center"/>
    </xf>
    <xf numFmtId="0" fontId="83" fillId="0" borderId="41" xfId="0" applyFont="1" applyBorder="1" applyAlignment="1">
      <alignment horizontal="justify" wrapText="1"/>
    </xf>
    <xf numFmtId="0" fontId="86" fillId="0" borderId="20" xfId="0" applyFont="1" applyBorder="1" applyAlignment="1">
      <alignment horizontal="left"/>
    </xf>
    <xf numFmtId="0" fontId="86" fillId="0" borderId="19" xfId="0" applyFont="1" applyBorder="1" applyAlignment="1">
      <alignment horizontal="left" wrapText="1"/>
    </xf>
    <xf numFmtId="0" fontId="83" fillId="0" borderId="23" xfId="0" applyFont="1" applyBorder="1"/>
    <xf numFmtId="0" fontId="86" fillId="0" borderId="20" xfId="0" applyFont="1" applyBorder="1" applyAlignment="1">
      <alignment wrapText="1"/>
    </xf>
    <xf numFmtId="0" fontId="83" fillId="0" borderId="16" xfId="0" applyFont="1" applyBorder="1"/>
    <xf numFmtId="0" fontId="86" fillId="0" borderId="46" xfId="0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83" fillId="29" borderId="50" xfId="0" applyFont="1" applyFill="1" applyBorder="1"/>
    <xf numFmtId="0" fontId="83" fillId="29" borderId="121" xfId="0" applyFont="1" applyFill="1" applyBorder="1"/>
    <xf numFmtId="0" fontId="83" fillId="29" borderId="37" xfId="0" applyFont="1" applyFill="1" applyBorder="1"/>
    <xf numFmtId="0" fontId="83" fillId="29" borderId="39" xfId="0" applyFont="1" applyFill="1" applyBorder="1"/>
    <xf numFmtId="0" fontId="83" fillId="30" borderId="37" xfId="0" applyFont="1" applyFill="1" applyBorder="1"/>
    <xf numFmtId="0" fontId="83" fillId="30" borderId="39" xfId="0" applyFont="1" applyFill="1" applyBorder="1"/>
    <xf numFmtId="0" fontId="83" fillId="29" borderId="62" xfId="0" applyFont="1" applyFill="1" applyBorder="1"/>
    <xf numFmtId="0" fontId="83" fillId="29" borderId="66" xfId="0" applyFont="1" applyFill="1" applyBorder="1"/>
    <xf numFmtId="0" fontId="83" fillId="29" borderId="90" xfId="0" applyFont="1" applyFill="1" applyBorder="1"/>
    <xf numFmtId="0" fontId="83" fillId="0" borderId="37" xfId="0" applyFont="1" applyBorder="1"/>
    <xf numFmtId="0" fontId="83" fillId="0" borderId="39" xfId="0" applyFont="1" applyBorder="1"/>
    <xf numFmtId="0" fontId="86" fillId="0" borderId="91" xfId="0" applyFont="1" applyBorder="1" applyAlignment="1">
      <alignment horizontal="left"/>
    </xf>
    <xf numFmtId="0" fontId="83" fillId="0" borderId="114" xfId="0" applyFont="1" applyBorder="1"/>
    <xf numFmtId="0" fontId="83" fillId="0" borderId="50" xfId="0" applyFont="1" applyBorder="1"/>
    <xf numFmtId="0" fontId="86" fillId="0" borderId="16" xfId="0" applyFont="1" applyBorder="1"/>
    <xf numFmtId="3" fontId="86" fillId="0" borderId="23" xfId="0" applyNumberFormat="1" applyFont="1" applyBorder="1" applyAlignment="1">
      <alignment horizontal="centerContinuous"/>
    </xf>
    <xf numFmtId="3" fontId="86" fillId="0" borderId="18" xfId="0" applyNumberFormat="1" applyFont="1" applyBorder="1" applyAlignment="1">
      <alignment horizontal="centerContinuous"/>
    </xf>
    <xf numFmtId="0" fontId="83" fillId="29" borderId="42" xfId="0" applyFont="1" applyFill="1" applyBorder="1" applyAlignment="1">
      <alignment horizontal="left"/>
    </xf>
    <xf numFmtId="0" fontId="83" fillId="29" borderId="42" xfId="0" applyFont="1" applyFill="1" applyBorder="1" applyAlignment="1">
      <alignment horizontal="left" wrapText="1"/>
    </xf>
    <xf numFmtId="0" fontId="170" fillId="0" borderId="20" xfId="0" applyFont="1" applyBorder="1" applyAlignment="1">
      <alignment horizontal="left"/>
    </xf>
    <xf numFmtId="0" fontId="174" fillId="0" borderId="0" xfId="77" applyFont="1"/>
    <xf numFmtId="0" fontId="86" fillId="0" borderId="46" xfId="77" applyFont="1" applyBorder="1" applyAlignment="1">
      <alignment horizontal="center"/>
    </xf>
    <xf numFmtId="0" fontId="83" fillId="0" borderId="16" xfId="77" applyFont="1" applyBorder="1" applyAlignment="1">
      <alignment horizontal="center"/>
    </xf>
    <xf numFmtId="0" fontId="83" fillId="0" borderId="0" xfId="77" applyFont="1" applyAlignment="1">
      <alignment horizontal="center"/>
    </xf>
    <xf numFmtId="0" fontId="175" fillId="0" borderId="37" xfId="77" applyFont="1" applyBorder="1" applyAlignment="1">
      <alignment horizontal="left" wrapText="1"/>
    </xf>
    <xf numFmtId="0" fontId="170" fillId="0" borderId="24" xfId="77" applyFont="1" applyBorder="1" applyAlignment="1">
      <alignment horizontal="left"/>
    </xf>
    <xf numFmtId="0" fontId="170" fillId="0" borderId="109" xfId="77" applyFont="1" applyBorder="1" applyAlignment="1">
      <alignment horizontal="left"/>
    </xf>
    <xf numFmtId="0" fontId="86" fillId="0" borderId="93" xfId="77" applyFont="1" applyBorder="1" applyAlignment="1">
      <alignment horizontal="justify"/>
    </xf>
    <xf numFmtId="0" fontId="83" fillId="0" borderId="37" xfId="0" applyFont="1" applyBorder="1" applyAlignment="1">
      <alignment wrapText="1"/>
    </xf>
    <xf numFmtId="0" fontId="83" fillId="0" borderId="50" xfId="77" applyFont="1" applyBorder="1" applyAlignment="1">
      <alignment horizontal="left" wrapText="1"/>
    </xf>
    <xf numFmtId="0" fontId="170" fillId="0" borderId="89" xfId="77" applyFont="1" applyBorder="1" applyAlignment="1">
      <alignment horizontal="left"/>
    </xf>
    <xf numFmtId="0" fontId="86" fillId="0" borderId="87" xfId="77" applyFont="1" applyBorder="1" applyAlignment="1">
      <alignment horizontal="left"/>
    </xf>
    <xf numFmtId="0" fontId="83" fillId="0" borderId="129" xfId="77" applyFont="1" applyBorder="1" applyAlignment="1">
      <alignment horizontal="center"/>
    </xf>
    <xf numFmtId="0" fontId="83" fillId="0" borderId="0" xfId="0" applyFont="1" applyAlignment="1">
      <alignment wrapText="1"/>
    </xf>
    <xf numFmtId="0" fontId="83" fillId="0" borderId="37" xfId="77" applyFont="1" applyBorder="1" applyAlignment="1">
      <alignment horizontal="left"/>
    </xf>
    <xf numFmtId="0" fontId="83" fillId="0" borderId="91" xfId="77" applyFont="1" applyBorder="1" applyAlignment="1">
      <alignment horizontal="center"/>
    </xf>
    <xf numFmtId="0" fontId="86" fillId="0" borderId="118" xfId="77" applyFont="1" applyBorder="1" applyAlignment="1">
      <alignment horizontal="center"/>
    </xf>
    <xf numFmtId="0" fontId="86" fillId="0" borderId="0" xfId="77" applyFont="1" applyAlignment="1">
      <alignment horizontal="justify"/>
    </xf>
    <xf numFmtId="0" fontId="86" fillId="0" borderId="37" xfId="77" applyFont="1" applyBorder="1" applyAlignment="1">
      <alignment horizontal="justify"/>
    </xf>
    <xf numFmtId="0" fontId="83" fillId="0" borderId="0" xfId="77" applyFont="1" applyAlignment="1">
      <alignment horizontal="left"/>
    </xf>
    <xf numFmtId="0" fontId="83" fillId="0" borderId="37" xfId="77" applyFont="1" applyBorder="1" applyAlignment="1">
      <alignment horizontal="left" wrapText="1"/>
    </xf>
    <xf numFmtId="0" fontId="86" fillId="0" borderId="85" xfId="77" applyFont="1" applyBorder="1" applyAlignment="1">
      <alignment horizontal="left"/>
    </xf>
    <xf numFmtId="0" fontId="83" fillId="0" borderId="0" xfId="0" applyFont="1" applyAlignment="1">
      <alignment horizontal="left"/>
    </xf>
    <xf numFmtId="0" fontId="83" fillId="0" borderId="37" xfId="0" applyFont="1" applyBorder="1" applyAlignment="1">
      <alignment horizontal="left"/>
    </xf>
    <xf numFmtId="0" fontId="83" fillId="0" borderId="50" xfId="0" applyFont="1" applyBorder="1" applyAlignment="1">
      <alignment horizontal="left"/>
    </xf>
    <xf numFmtId="0" fontId="83" fillId="0" borderId="16" xfId="77" applyFont="1" applyBorder="1" applyAlignment="1">
      <alignment horizontal="justify"/>
    </xf>
    <xf numFmtId="0" fontId="86" fillId="0" borderId="0" xfId="77" applyFont="1" applyAlignment="1">
      <alignment horizontal="center"/>
    </xf>
    <xf numFmtId="0" fontId="86" fillId="0" borderId="114" xfId="77" applyFont="1" applyBorder="1"/>
    <xf numFmtId="0" fontId="83" fillId="0" borderId="37" xfId="77" applyFont="1" applyBorder="1" applyAlignment="1">
      <alignment horizontal="justify"/>
    </xf>
    <xf numFmtId="0" fontId="83" fillId="0" borderId="0" xfId="77" applyFont="1" applyAlignment="1">
      <alignment horizontal="justify"/>
    </xf>
    <xf numFmtId="0" fontId="86" fillId="0" borderId="24" xfId="77" applyFont="1" applyBorder="1" applyAlignment="1">
      <alignment horizontal="center"/>
    </xf>
    <xf numFmtId="0" fontId="86" fillId="0" borderId="109" xfId="77" applyFont="1" applyBorder="1"/>
    <xf numFmtId="0" fontId="83" fillId="0" borderId="50" xfId="77" applyFont="1" applyBorder="1"/>
    <xf numFmtId="0" fontId="83" fillId="0" borderId="0" xfId="77" applyFont="1"/>
    <xf numFmtId="0" fontId="86" fillId="0" borderId="0" xfId="77" applyFont="1"/>
    <xf numFmtId="3" fontId="83" fillId="0" borderId="37" xfId="0" applyNumberFormat="1" applyFont="1" applyBorder="1" applyAlignment="1">
      <alignment horizontal="justify"/>
    </xf>
    <xf numFmtId="0" fontId="86" fillId="0" borderId="24" xfId="77" applyFont="1" applyBorder="1"/>
    <xf numFmtId="0" fontId="170" fillId="0" borderId="0" xfId="77" applyFont="1"/>
    <xf numFmtId="0" fontId="83" fillId="0" borderId="37" xfId="77" applyFont="1" applyBorder="1"/>
    <xf numFmtId="0" fontId="170" fillId="0" borderId="39" xfId="77" applyFont="1" applyBorder="1"/>
    <xf numFmtId="3" fontId="83" fillId="0" borderId="50" xfId="0" applyNumberFormat="1" applyFont="1" applyBorder="1" applyAlignment="1">
      <alignment horizontal="justify"/>
    </xf>
    <xf numFmtId="0" fontId="83" fillId="0" borderId="50" xfId="77" applyFont="1" applyBorder="1" applyAlignment="1">
      <alignment wrapText="1"/>
    </xf>
    <xf numFmtId="3" fontId="83" fillId="0" borderId="50" xfId="0" applyNumberFormat="1" applyFont="1" applyBorder="1"/>
    <xf numFmtId="0" fontId="83" fillId="0" borderId="37" xfId="77" applyFont="1" applyBorder="1" applyAlignment="1">
      <alignment wrapText="1"/>
    </xf>
    <xf numFmtId="0" fontId="176" fillId="0" borderId="39" xfId="0" applyFont="1" applyBorder="1"/>
    <xf numFmtId="0" fontId="83" fillId="0" borderId="66" xfId="77" applyFont="1" applyBorder="1" applyAlignment="1">
      <alignment horizontal="left" wrapText="1"/>
    </xf>
    <xf numFmtId="0" fontId="83" fillId="0" borderId="66" xfId="77" applyFont="1" applyBorder="1"/>
    <xf numFmtId="0" fontId="177" fillId="0" borderId="37" xfId="0" applyFont="1" applyBorder="1" applyAlignment="1">
      <alignment wrapText="1"/>
    </xf>
    <xf numFmtId="0" fontId="83" fillId="0" borderId="37" xfId="0" applyFont="1" applyBorder="1" applyAlignment="1">
      <alignment horizontal="justify"/>
    </xf>
    <xf numFmtId="0" fontId="83" fillId="0" borderId="50" xfId="0" applyFont="1" applyBorder="1" applyAlignment="1">
      <alignment wrapText="1"/>
    </xf>
    <xf numFmtId="0" fontId="177" fillId="0" borderId="66" xfId="0" applyFont="1" applyBorder="1" applyAlignment="1">
      <alignment wrapText="1"/>
    </xf>
    <xf numFmtId="0" fontId="83" fillId="0" borderId="39" xfId="0" applyFont="1" applyBorder="1" applyAlignment="1">
      <alignment wrapText="1"/>
    </xf>
    <xf numFmtId="0" fontId="86" fillId="0" borderId="22" xfId="77" applyFont="1" applyBorder="1"/>
    <xf numFmtId="0" fontId="86" fillId="0" borderId="91" xfId="77" applyFont="1" applyBorder="1"/>
    <xf numFmtId="0" fontId="9" fillId="0" borderId="0" xfId="77" applyFont="1"/>
    <xf numFmtId="3" fontId="83" fillId="0" borderId="0" xfId="77" applyNumberFormat="1" applyFont="1" applyAlignment="1">
      <alignment horizontal="right"/>
    </xf>
    <xf numFmtId="0" fontId="83" fillId="0" borderId="0" xfId="78" applyFont="1" applyAlignment="1">
      <alignment horizontal="right"/>
    </xf>
    <xf numFmtId="0" fontId="178" fillId="0" borderId="23" xfId="77" applyFont="1" applyBorder="1" applyAlignment="1">
      <alignment horizontal="center"/>
    </xf>
    <xf numFmtId="0" fontId="178" fillId="0" borderId="45" xfId="0" applyFont="1" applyBorder="1" applyAlignment="1">
      <alignment horizontal="center"/>
    </xf>
    <xf numFmtId="0" fontId="178" fillId="0" borderId="53" xfId="0" applyFont="1" applyBorder="1" applyAlignment="1">
      <alignment horizontal="center"/>
    </xf>
    <xf numFmtId="0" fontId="179" fillId="0" borderId="19" xfId="77" applyFont="1" applyBorder="1" applyAlignment="1">
      <alignment horizontal="center"/>
    </xf>
    <xf numFmtId="0" fontId="178" fillId="0" borderId="61" xfId="0" applyFont="1" applyBorder="1" applyAlignment="1">
      <alignment horizontal="center"/>
    </xf>
    <xf numFmtId="0" fontId="178" fillId="0" borderId="83" xfId="0" applyFont="1" applyBorder="1" applyAlignment="1">
      <alignment horizontal="center"/>
    </xf>
    <xf numFmtId="0" fontId="180" fillId="0" borderId="116" xfId="77" applyFont="1" applyBorder="1" applyAlignment="1">
      <alignment horizontal="center"/>
    </xf>
    <xf numFmtId="0" fontId="178" fillId="0" borderId="124" xfId="0" applyFont="1" applyBorder="1" applyAlignment="1">
      <alignment horizontal="center"/>
    </xf>
    <xf numFmtId="0" fontId="178" fillId="0" borderId="136" xfId="0" applyFont="1" applyBorder="1" applyAlignment="1">
      <alignment horizontal="center"/>
    </xf>
    <xf numFmtId="0" fontId="179" fillId="0" borderId="26" xfId="77" applyFont="1" applyBorder="1" applyAlignment="1">
      <alignment horizontal="left" wrapText="1"/>
    </xf>
    <xf numFmtId="3" fontId="179" fillId="0" borderId="32" xfId="77" applyNumberFormat="1" applyFont="1" applyBorder="1" applyAlignment="1">
      <alignment horizontal="right" wrapText="1"/>
    </xf>
    <xf numFmtId="3" fontId="179" fillId="0" borderId="58" xfId="77" applyNumberFormat="1" applyFont="1" applyBorder="1" applyAlignment="1">
      <alignment horizontal="right" wrapText="1"/>
    </xf>
    <xf numFmtId="0" fontId="180" fillId="0" borderId="26" xfId="77" applyFont="1" applyBorder="1" applyAlignment="1">
      <alignment horizontal="center"/>
    </xf>
    <xf numFmtId="3" fontId="179" fillId="0" borderId="49" xfId="0" applyNumberFormat="1" applyFont="1" applyBorder="1"/>
    <xf numFmtId="3" fontId="179" fillId="0" borderId="58" xfId="77" applyNumberFormat="1" applyFont="1" applyBorder="1" applyAlignment="1">
      <alignment horizontal="right"/>
    </xf>
    <xf numFmtId="0" fontId="179" fillId="0" borderId="122" xfId="77" applyFont="1" applyBorder="1" applyAlignment="1">
      <alignment horizontal="left" wrapText="1"/>
    </xf>
    <xf numFmtId="0" fontId="178" fillId="0" borderId="17" xfId="77" applyFont="1" applyBorder="1" applyAlignment="1">
      <alignment horizontal="center"/>
    </xf>
    <xf numFmtId="3" fontId="178" fillId="0" borderId="44" xfId="77" applyNumberFormat="1" applyFont="1" applyBorder="1"/>
    <xf numFmtId="3" fontId="178" fillId="0" borderId="54" xfId="77" applyNumberFormat="1" applyFont="1" applyBorder="1"/>
    <xf numFmtId="0" fontId="179" fillId="0" borderId="0" xfId="77" applyFont="1"/>
    <xf numFmtId="0" fontId="179" fillId="0" borderId="0" xfId="0" applyFont="1" applyAlignment="1">
      <alignment horizontal="right"/>
    </xf>
    <xf numFmtId="0" fontId="179" fillId="0" borderId="92" xfId="77" applyFont="1" applyBorder="1" applyAlignment="1">
      <alignment horizontal="center"/>
    </xf>
    <xf numFmtId="0" fontId="178" fillId="0" borderId="132" xfId="0" applyFont="1" applyBorder="1" applyAlignment="1">
      <alignment horizontal="center"/>
    </xf>
    <xf numFmtId="0" fontId="178" fillId="0" borderId="125" xfId="0" applyFont="1" applyBorder="1" applyAlignment="1">
      <alignment horizontal="center"/>
    </xf>
    <xf numFmtId="0" fontId="178" fillId="0" borderId="18" xfId="77" applyFont="1" applyBorder="1"/>
    <xf numFmtId="0" fontId="178" fillId="0" borderId="29" xfId="0" applyFont="1" applyBorder="1" applyAlignment="1">
      <alignment horizontal="center"/>
    </xf>
    <xf numFmtId="0" fontId="178" fillId="0" borderId="59" xfId="0" applyFont="1" applyBorder="1" applyAlignment="1">
      <alignment horizontal="center"/>
    </xf>
    <xf numFmtId="0" fontId="179" fillId="0" borderId="26" xfId="0" applyFont="1" applyBorder="1" applyAlignment="1">
      <alignment horizontal="justify" wrapText="1"/>
    </xf>
    <xf numFmtId="3" fontId="179" fillId="0" borderId="32" xfId="0" applyNumberFormat="1" applyFont="1" applyBorder="1"/>
    <xf numFmtId="3" fontId="181" fillId="0" borderId="58" xfId="0" applyNumberFormat="1" applyFont="1" applyBorder="1"/>
    <xf numFmtId="0" fontId="179" fillId="0" borderId="26" xfId="0" applyFont="1" applyBorder="1" applyAlignment="1">
      <alignment wrapText="1"/>
    </xf>
    <xf numFmtId="3" fontId="181" fillId="30" borderId="58" xfId="0" applyNumberFormat="1" applyFont="1" applyFill="1" applyBorder="1"/>
    <xf numFmtId="3" fontId="179" fillId="30" borderId="58" xfId="0" applyNumberFormat="1" applyFont="1" applyFill="1" applyBorder="1"/>
    <xf numFmtId="0" fontId="179" fillId="0" borderId="57" xfId="0" applyFont="1" applyBorder="1" applyAlignment="1">
      <alignment wrapText="1"/>
    </xf>
    <xf numFmtId="3" fontId="179" fillId="0" borderId="55" xfId="0" applyNumberFormat="1" applyFont="1" applyBorder="1"/>
    <xf numFmtId="3" fontId="181" fillId="0" borderId="56" xfId="0" applyNumberFormat="1" applyFont="1" applyBorder="1"/>
    <xf numFmtId="0" fontId="179" fillId="0" borderId="17" xfId="0" applyFont="1" applyBorder="1" applyAlignment="1">
      <alignment horizontal="justify" wrapText="1"/>
    </xf>
    <xf numFmtId="3" fontId="179" fillId="0" borderId="43" xfId="0" applyNumberFormat="1" applyFont="1" applyBorder="1"/>
    <xf numFmtId="3" fontId="181" fillId="0" borderId="54" xfId="0" applyNumberFormat="1" applyFont="1" applyBorder="1"/>
    <xf numFmtId="0" fontId="180" fillId="0" borderId="100" xfId="77" applyFont="1" applyBorder="1" applyAlignment="1">
      <alignment horizontal="center"/>
    </xf>
    <xf numFmtId="3" fontId="179" fillId="0" borderId="21" xfId="0" applyNumberFormat="1" applyFont="1" applyBorder="1" applyAlignment="1">
      <alignment horizontal="right"/>
    </xf>
    <xf numFmtId="3" fontId="179" fillId="0" borderId="81" xfId="0" applyNumberFormat="1" applyFont="1" applyBorder="1" applyAlignment="1">
      <alignment horizontal="right"/>
    </xf>
    <xf numFmtId="0" fontId="178" fillId="0" borderId="137" xfId="77" applyFont="1" applyBorder="1"/>
    <xf numFmtId="0" fontId="179" fillId="0" borderId="98" xfId="77" applyFont="1" applyBorder="1"/>
    <xf numFmtId="3" fontId="179" fillId="0" borderId="125" xfId="77" applyNumberFormat="1" applyFont="1" applyBorder="1" applyAlignment="1">
      <alignment horizontal="right"/>
    </xf>
    <xf numFmtId="3" fontId="179" fillId="0" borderId="98" xfId="0" applyNumberFormat="1" applyFont="1" applyBorder="1"/>
    <xf numFmtId="3" fontId="181" fillId="0" borderId="140" xfId="0" applyNumberFormat="1" applyFont="1" applyBorder="1"/>
    <xf numFmtId="0" fontId="179" fillId="0" borderId="138" xfId="77" applyFont="1" applyBorder="1" applyAlignment="1">
      <alignment horizontal="left" wrapText="1"/>
    </xf>
    <xf numFmtId="0" fontId="65" fillId="0" borderId="77" xfId="77" applyFont="1" applyBorder="1" applyAlignment="1">
      <alignment horizontal="center"/>
    </xf>
    <xf numFmtId="3" fontId="65" fillId="0" borderId="77" xfId="77" applyNumberFormat="1" applyFont="1" applyBorder="1"/>
    <xf numFmtId="0" fontId="87" fillId="0" borderId="23" xfId="0" applyFont="1" applyBorder="1" applyAlignment="1">
      <alignment horizontal="center"/>
    </xf>
    <xf numFmtId="0" fontId="87" fillId="0" borderId="45" xfId="0" applyFont="1" applyBorder="1" applyAlignment="1">
      <alignment horizontal="center"/>
    </xf>
    <xf numFmtId="0" fontId="87" fillId="0" borderId="46" xfId="0" applyFont="1" applyBorder="1" applyAlignment="1">
      <alignment horizontal="center"/>
    </xf>
    <xf numFmtId="0" fontId="87" fillId="0" borderId="53" xfId="77" applyFont="1" applyBorder="1" applyAlignment="1">
      <alignment horizontal="center"/>
    </xf>
    <xf numFmtId="0" fontId="176" fillId="0" borderId="19" xfId="77" applyFont="1" applyBorder="1"/>
    <xf numFmtId="0" fontId="176" fillId="0" borderId="16" xfId="77" applyFont="1" applyBorder="1" applyAlignment="1">
      <alignment horizontal="center"/>
    </xf>
    <xf numFmtId="0" fontId="87" fillId="0" borderId="19" xfId="0" applyFont="1" applyBorder="1" applyAlignment="1">
      <alignment horizontal="center"/>
    </xf>
    <xf numFmtId="0" fontId="87" fillId="0" borderId="61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87" fillId="0" borderId="83" xfId="0" applyFont="1" applyBorder="1" applyAlignment="1">
      <alignment horizontal="center"/>
    </xf>
    <xf numFmtId="0" fontId="87" fillId="0" borderId="18" xfId="77" applyFont="1" applyBorder="1" applyAlignment="1">
      <alignment horizontal="right"/>
    </xf>
    <xf numFmtId="0" fontId="87" fillId="0" borderId="0" xfId="77" applyFont="1"/>
    <xf numFmtId="3" fontId="176" fillId="0" borderId="18" xfId="77" applyNumberFormat="1" applyFont="1" applyBorder="1" applyAlignment="1">
      <alignment horizontal="center"/>
    </xf>
    <xf numFmtId="3" fontId="176" fillId="0" borderId="29" xfId="77" applyNumberFormat="1" applyFont="1" applyBorder="1" applyAlignment="1">
      <alignment horizontal="center"/>
    </xf>
    <xf numFmtId="3" fontId="176" fillId="0" borderId="15" xfId="77" applyNumberFormat="1" applyFont="1" applyBorder="1" applyAlignment="1">
      <alignment horizontal="center"/>
    </xf>
    <xf numFmtId="3" fontId="176" fillId="0" borderId="29" xfId="77" applyNumberFormat="1" applyFont="1" applyBorder="1" applyAlignment="1">
      <alignment horizontal="right"/>
    </xf>
    <xf numFmtId="3" fontId="176" fillId="0" borderId="59" xfId="77" applyNumberFormat="1" applyFont="1" applyBorder="1" applyAlignment="1">
      <alignment horizontal="right"/>
    </xf>
    <xf numFmtId="0" fontId="176" fillId="0" borderId="18" xfId="77" applyFont="1" applyBorder="1" applyAlignment="1">
      <alignment horizontal="right"/>
    </xf>
    <xf numFmtId="0" fontId="176" fillId="0" borderId="50" xfId="77" applyFont="1" applyBorder="1"/>
    <xf numFmtId="3" fontId="176" fillId="0" borderId="18" xfId="77" applyNumberFormat="1" applyFont="1" applyBorder="1" applyAlignment="1">
      <alignment horizontal="right"/>
    </xf>
    <xf numFmtId="3" fontId="176" fillId="0" borderId="15" xfId="77" applyNumberFormat="1" applyFont="1" applyBorder="1" applyAlignment="1">
      <alignment horizontal="right"/>
    </xf>
    <xf numFmtId="0" fontId="87" fillId="0" borderId="57" xfId="77" applyFont="1" applyBorder="1" applyAlignment="1">
      <alignment horizontal="right"/>
    </xf>
    <xf numFmtId="0" fontId="87" fillId="0" borderId="101" xfId="77" applyFont="1" applyBorder="1" applyAlignment="1">
      <alignment horizontal="right"/>
    </xf>
    <xf numFmtId="3" fontId="87" fillId="0" borderId="57" xfId="77" applyNumberFormat="1" applyFont="1" applyBorder="1" applyAlignment="1">
      <alignment horizontal="right"/>
    </xf>
    <xf numFmtId="3" fontId="87" fillId="0" borderId="134" xfId="77" applyNumberFormat="1" applyFont="1" applyBorder="1" applyAlignment="1">
      <alignment horizontal="right"/>
    </xf>
    <xf numFmtId="3" fontId="87" fillId="0" borderId="55" xfId="77" applyNumberFormat="1" applyFont="1" applyBorder="1" applyAlignment="1">
      <alignment horizontal="right"/>
    </xf>
    <xf numFmtId="3" fontId="87" fillId="0" borderId="56" xfId="77" applyNumberFormat="1" applyFont="1" applyBorder="1" applyAlignment="1">
      <alignment horizontal="right"/>
    </xf>
    <xf numFmtId="0" fontId="87" fillId="0" borderId="23" xfId="77" applyFont="1" applyBorder="1" applyAlignment="1">
      <alignment horizontal="right"/>
    </xf>
    <xf numFmtId="0" fontId="87" fillId="0" borderId="46" xfId="77" applyFont="1" applyBorder="1"/>
    <xf numFmtId="3" fontId="176" fillId="0" borderId="23" xfId="77" applyNumberFormat="1" applyFont="1" applyBorder="1" applyAlignment="1">
      <alignment horizontal="center"/>
    </xf>
    <xf numFmtId="3" fontId="176" fillId="0" borderId="47" xfId="77" applyNumberFormat="1" applyFont="1" applyBorder="1" applyAlignment="1">
      <alignment horizontal="center"/>
    </xf>
    <xf numFmtId="3" fontId="176" fillId="0" borderId="47" xfId="77" applyNumberFormat="1" applyFont="1" applyBorder="1" applyAlignment="1">
      <alignment horizontal="right"/>
    </xf>
    <xf numFmtId="3" fontId="176" fillId="0" borderId="27" xfId="77" applyNumberFormat="1" applyFont="1" applyBorder="1" applyAlignment="1">
      <alignment horizontal="right"/>
    </xf>
    <xf numFmtId="0" fontId="176" fillId="0" borderId="95" xfId="77" applyFont="1" applyBorder="1" applyAlignment="1">
      <alignment horizontal="right"/>
    </xf>
    <xf numFmtId="3" fontId="176" fillId="0" borderId="95" xfId="77" applyNumberFormat="1" applyFont="1" applyBorder="1" applyAlignment="1">
      <alignment horizontal="right"/>
    </xf>
    <xf numFmtId="3" fontId="176" fillId="0" borderId="98" xfId="77" applyNumberFormat="1" applyFont="1" applyBorder="1" applyAlignment="1">
      <alignment horizontal="right"/>
    </xf>
    <xf numFmtId="3" fontId="176" fillId="0" borderId="89" xfId="77" applyNumberFormat="1" applyFont="1" applyBorder="1" applyAlignment="1">
      <alignment horizontal="right"/>
    </xf>
    <xf numFmtId="3" fontId="176" fillId="0" borderId="97" xfId="77" applyNumberFormat="1" applyFont="1" applyBorder="1" applyAlignment="1">
      <alignment horizontal="right"/>
    </xf>
    <xf numFmtId="0" fontId="87" fillId="0" borderId="17" xfId="77" applyFont="1" applyBorder="1" applyAlignment="1">
      <alignment horizontal="right"/>
    </xf>
    <xf numFmtId="0" fontId="87" fillId="0" borderId="22" xfId="77" applyFont="1" applyBorder="1" applyAlignment="1">
      <alignment horizontal="right"/>
    </xf>
    <xf numFmtId="3" fontId="87" fillId="0" borderId="17" xfId="77" applyNumberFormat="1" applyFont="1" applyBorder="1" applyAlignment="1">
      <alignment horizontal="right"/>
    </xf>
    <xf numFmtId="3" fontId="87" fillId="0" borderId="43" xfId="77" applyNumberFormat="1" applyFont="1" applyBorder="1" applyAlignment="1">
      <alignment horizontal="right"/>
    </xf>
    <xf numFmtId="3" fontId="87" fillId="0" borderId="22" xfId="77" applyNumberFormat="1" applyFont="1" applyBorder="1" applyAlignment="1">
      <alignment horizontal="right"/>
    </xf>
    <xf numFmtId="3" fontId="87" fillId="0" borderId="80" xfId="77" applyNumberFormat="1" applyFont="1" applyBorder="1" applyAlignment="1">
      <alignment horizontal="right"/>
    </xf>
    <xf numFmtId="3" fontId="176" fillId="0" borderId="89" xfId="0" applyNumberFormat="1" applyFont="1" applyBorder="1" applyAlignment="1">
      <alignment horizontal="justify"/>
    </xf>
    <xf numFmtId="3" fontId="87" fillId="0" borderId="54" xfId="77" applyNumberFormat="1" applyFont="1" applyBorder="1" applyAlignment="1">
      <alignment horizontal="right"/>
    </xf>
    <xf numFmtId="0" fontId="87" fillId="0" borderId="118" xfId="77" applyFont="1" applyBorder="1"/>
    <xf numFmtId="3" fontId="176" fillId="0" borderId="0" xfId="77" applyNumberFormat="1" applyFont="1" applyAlignment="1">
      <alignment horizontal="center"/>
    </xf>
    <xf numFmtId="3" fontId="176" fillId="0" borderId="85" xfId="77" applyNumberFormat="1" applyFont="1" applyBorder="1" applyAlignment="1">
      <alignment horizontal="right"/>
    </xf>
    <xf numFmtId="0" fontId="176" fillId="0" borderId="84" xfId="77" applyFont="1" applyBorder="1"/>
    <xf numFmtId="3" fontId="176" fillId="0" borderId="41" xfId="77" applyNumberFormat="1" applyFont="1" applyBorder="1" applyAlignment="1">
      <alignment horizontal="right"/>
    </xf>
    <xf numFmtId="3" fontId="176" fillId="0" borderId="64" xfId="77" applyNumberFormat="1" applyFont="1" applyBorder="1" applyAlignment="1">
      <alignment horizontal="right"/>
    </xf>
    <xf numFmtId="3" fontId="176" fillId="0" borderId="93" xfId="77" applyNumberFormat="1" applyFont="1" applyBorder="1" applyAlignment="1">
      <alignment horizontal="right"/>
    </xf>
    <xf numFmtId="3" fontId="176" fillId="0" borderId="131" xfId="77" applyNumberFormat="1" applyFont="1" applyBorder="1" applyAlignment="1">
      <alignment horizontal="right"/>
    </xf>
    <xf numFmtId="0" fontId="87" fillId="0" borderId="80" xfId="77" applyFont="1" applyBorder="1" applyAlignment="1">
      <alignment horizontal="right"/>
    </xf>
    <xf numFmtId="0" fontId="176" fillId="0" borderId="20" xfId="77" applyFont="1" applyBorder="1" applyAlignment="1">
      <alignment horizontal="right"/>
    </xf>
    <xf numFmtId="0" fontId="87" fillId="0" borderId="91" xfId="77" applyFont="1" applyBorder="1"/>
    <xf numFmtId="3" fontId="87" fillId="0" borderId="20" xfId="77" applyNumberFormat="1" applyFont="1" applyBorder="1"/>
    <xf numFmtId="3" fontId="87" fillId="0" borderId="77" xfId="77" applyNumberFormat="1" applyFont="1" applyBorder="1"/>
    <xf numFmtId="0" fontId="176" fillId="0" borderId="0" xfId="77" applyFont="1" applyAlignment="1">
      <alignment horizontal="right"/>
    </xf>
    <xf numFmtId="3" fontId="87" fillId="0" borderId="0" xfId="77" applyNumberFormat="1" applyFont="1"/>
    <xf numFmtId="0" fontId="176" fillId="0" borderId="0" xfId="77" applyFont="1"/>
    <xf numFmtId="0" fontId="182" fillId="0" borderId="0" xfId="77" applyFont="1"/>
    <xf numFmtId="3" fontId="176" fillId="0" borderId="0" xfId="77" applyNumberFormat="1" applyFont="1"/>
    <xf numFmtId="4" fontId="104" fillId="0" borderId="0" xfId="92" applyNumberFormat="1" applyFont="1"/>
    <xf numFmtId="4" fontId="105" fillId="0" borderId="0" xfId="92" applyNumberFormat="1" applyFont="1"/>
    <xf numFmtId="4" fontId="122" fillId="0" borderId="0" xfId="92" quotePrefix="1" applyNumberFormat="1" applyFont="1"/>
    <xf numFmtId="3" fontId="87" fillId="0" borderId="20" xfId="96" applyNumberFormat="1" applyFont="1" applyBorder="1"/>
    <xf numFmtId="3" fontId="176" fillId="0" borderId="91" xfId="96" applyNumberFormat="1" applyFont="1" applyBorder="1"/>
    <xf numFmtId="3" fontId="87" fillId="0" borderId="20" xfId="96" applyNumberFormat="1" applyFont="1" applyBorder="1" applyAlignment="1">
      <alignment horizontal="center"/>
    </xf>
    <xf numFmtId="3" fontId="87" fillId="0" borderId="91" xfId="96" applyNumberFormat="1" applyFont="1" applyBorder="1" applyAlignment="1">
      <alignment horizontal="center"/>
    </xf>
    <xf numFmtId="3" fontId="176" fillId="0" borderId="20" xfId="96" applyNumberFormat="1" applyFont="1" applyBorder="1" applyAlignment="1">
      <alignment horizontal="center"/>
    </xf>
    <xf numFmtId="3" fontId="87" fillId="0" borderId="21" xfId="96" applyNumberFormat="1" applyFont="1" applyBorder="1" applyAlignment="1">
      <alignment horizontal="center"/>
    </xf>
    <xf numFmtId="3" fontId="87" fillId="0" borderId="60" xfId="96" applyNumberFormat="1" applyFont="1" applyBorder="1" applyAlignment="1">
      <alignment horizontal="center"/>
    </xf>
    <xf numFmtId="3" fontId="84" fillId="0" borderId="19" xfId="96" applyNumberFormat="1" applyFont="1" applyBorder="1" applyAlignment="1">
      <alignment horizontal="center"/>
    </xf>
    <xf numFmtId="3" fontId="84" fillId="0" borderId="16" xfId="96" applyNumberFormat="1" applyFont="1" applyBorder="1"/>
    <xf numFmtId="3" fontId="87" fillId="0" borderId="61" xfId="96" applyNumberFormat="1" applyFont="1" applyBorder="1" applyAlignment="1">
      <alignment horizontal="center"/>
    </xf>
    <xf numFmtId="3" fontId="87" fillId="0" borderId="28" xfId="96" applyNumberFormat="1" applyFont="1" applyBorder="1" applyAlignment="1">
      <alignment horizontal="center"/>
    </xf>
    <xf numFmtId="3" fontId="87" fillId="0" borderId="91" xfId="96" applyNumberFormat="1" applyFont="1" applyBorder="1"/>
    <xf numFmtId="3" fontId="87" fillId="30" borderId="21" xfId="96" applyNumberFormat="1" applyFont="1" applyFill="1" applyBorder="1"/>
    <xf numFmtId="3" fontId="87" fillId="30" borderId="60" xfId="96" applyNumberFormat="1" applyFont="1" applyFill="1" applyBorder="1"/>
    <xf numFmtId="3" fontId="87" fillId="0" borderId="18" xfId="96" applyNumberFormat="1" applyFont="1" applyBorder="1" applyAlignment="1">
      <alignment horizontal="center"/>
    </xf>
    <xf numFmtId="3" fontId="87" fillId="0" borderId="0" xfId="96" applyNumberFormat="1" applyFont="1"/>
    <xf numFmtId="3" fontId="87" fillId="30" borderId="15" xfId="96" applyNumberFormat="1" applyFont="1" applyFill="1" applyBorder="1"/>
    <xf numFmtId="3" fontId="87" fillId="30" borderId="59" xfId="96" applyNumberFormat="1" applyFont="1" applyFill="1" applyBorder="1"/>
    <xf numFmtId="3" fontId="176" fillId="0" borderId="40" xfId="96" applyNumberFormat="1" applyFont="1" applyBorder="1" applyAlignment="1">
      <alignment horizontal="center"/>
    </xf>
    <xf numFmtId="3" fontId="176" fillId="0" borderId="37" xfId="96" applyNumberFormat="1" applyFont="1" applyBorder="1"/>
    <xf numFmtId="3" fontId="176" fillId="30" borderId="36" xfId="96" applyNumberFormat="1" applyFont="1" applyFill="1" applyBorder="1"/>
    <xf numFmtId="3" fontId="176" fillId="30" borderId="37" xfId="96" applyNumberFormat="1" applyFont="1" applyFill="1" applyBorder="1"/>
    <xf numFmtId="3" fontId="176" fillId="30" borderId="68" xfId="96" applyNumberFormat="1" applyFont="1" applyFill="1" applyBorder="1"/>
    <xf numFmtId="3" fontId="176" fillId="0" borderId="18" xfId="96" applyNumberFormat="1" applyFont="1" applyBorder="1" applyAlignment="1">
      <alignment horizontal="center"/>
    </xf>
    <xf numFmtId="3" fontId="176" fillId="0" borderId="0" xfId="96" applyNumberFormat="1" applyFont="1"/>
    <xf numFmtId="3" fontId="176" fillId="30" borderId="15" xfId="96" applyNumberFormat="1" applyFont="1" applyFill="1" applyBorder="1"/>
    <xf numFmtId="3" fontId="176" fillId="30" borderId="0" xfId="96" applyNumberFormat="1" applyFont="1" applyFill="1"/>
    <xf numFmtId="3" fontId="87" fillId="0" borderId="40" xfId="96" applyNumberFormat="1" applyFont="1" applyBorder="1" applyAlignment="1">
      <alignment horizontal="center"/>
    </xf>
    <xf numFmtId="3" fontId="87" fillId="0" borderId="37" xfId="96" applyNumberFormat="1" applyFont="1" applyBorder="1"/>
    <xf numFmtId="3" fontId="87" fillId="30" borderId="36" xfId="96" applyNumberFormat="1" applyFont="1" applyFill="1" applyBorder="1"/>
    <xf numFmtId="3" fontId="87" fillId="30" borderId="68" xfId="96" applyNumberFormat="1" applyFont="1" applyFill="1" applyBorder="1"/>
    <xf numFmtId="3" fontId="176" fillId="30" borderId="59" xfId="96" applyNumberFormat="1" applyFont="1" applyFill="1" applyBorder="1"/>
    <xf numFmtId="3" fontId="87" fillId="0" borderId="21" xfId="96" applyNumberFormat="1" applyFont="1" applyBorder="1"/>
    <xf numFmtId="3" fontId="87" fillId="0" borderId="81" xfId="96" applyNumberFormat="1" applyFont="1" applyBorder="1"/>
    <xf numFmtId="3" fontId="87" fillId="0" borderId="15" xfId="96" applyNumberFormat="1" applyFont="1" applyBorder="1"/>
    <xf numFmtId="3" fontId="87" fillId="0" borderId="59" xfId="96" applyNumberFormat="1" applyFont="1" applyBorder="1"/>
    <xf numFmtId="3" fontId="84" fillId="0" borderId="37" xfId="96" applyNumberFormat="1" applyFont="1" applyBorder="1"/>
    <xf numFmtId="3" fontId="84" fillId="30" borderId="36" xfId="96" applyNumberFormat="1" applyFont="1" applyFill="1" applyBorder="1"/>
    <xf numFmtId="3" fontId="84" fillId="30" borderId="68" xfId="96" applyNumberFormat="1" applyFont="1" applyFill="1" applyBorder="1"/>
    <xf numFmtId="3" fontId="176" fillId="0" borderId="0" xfId="96" applyNumberFormat="1" applyFont="1" applyAlignment="1">
      <alignment horizontal="center"/>
    </xf>
    <xf numFmtId="3" fontId="176" fillId="30" borderId="71" xfId="96" applyNumberFormat="1" applyFont="1" applyFill="1" applyBorder="1"/>
    <xf numFmtId="3" fontId="176" fillId="0" borderId="37" xfId="96" applyNumberFormat="1" applyFont="1" applyBorder="1" applyAlignment="1">
      <alignment horizontal="center"/>
    </xf>
    <xf numFmtId="3" fontId="176" fillId="0" borderId="0" xfId="96" applyNumberFormat="1" applyFont="1" applyAlignment="1">
      <alignment horizontal="center" vertical="center"/>
    </xf>
    <xf numFmtId="3" fontId="176" fillId="0" borderId="0" xfId="96" applyNumberFormat="1" applyFont="1" applyAlignment="1">
      <alignment wrapText="1"/>
    </xf>
    <xf numFmtId="3" fontId="176" fillId="30" borderId="67" xfId="96" applyNumberFormat="1" applyFont="1" applyFill="1" applyBorder="1"/>
    <xf numFmtId="3" fontId="87" fillId="30" borderId="37" xfId="96" applyNumberFormat="1" applyFont="1" applyFill="1" applyBorder="1"/>
    <xf numFmtId="3" fontId="183" fillId="30" borderId="37" xfId="96" applyNumberFormat="1" applyFont="1" applyFill="1" applyBorder="1"/>
    <xf numFmtId="3" fontId="176" fillId="30" borderId="0" xfId="96" applyNumberFormat="1" applyFont="1" applyFill="1" applyAlignment="1">
      <alignment wrapText="1"/>
    </xf>
    <xf numFmtId="3" fontId="176" fillId="0" borderId="41" xfId="96" applyNumberFormat="1" applyFont="1" applyBorder="1" applyAlignment="1">
      <alignment horizontal="center"/>
    </xf>
    <xf numFmtId="3" fontId="176" fillId="0" borderId="93" xfId="96" applyNumberFormat="1" applyFont="1" applyBorder="1"/>
    <xf numFmtId="3" fontId="176" fillId="30" borderId="64" xfId="96" applyNumberFormat="1" applyFont="1" applyFill="1" applyBorder="1"/>
    <xf numFmtId="3" fontId="176" fillId="30" borderId="93" xfId="96" applyNumberFormat="1" applyFont="1" applyFill="1" applyBorder="1"/>
    <xf numFmtId="3" fontId="87" fillId="0" borderId="108" xfId="96" applyNumberFormat="1" applyFont="1" applyBorder="1" applyAlignment="1">
      <alignment horizontal="center"/>
    </xf>
    <xf numFmtId="3" fontId="87" fillId="0" borderId="109" xfId="96" applyNumberFormat="1" applyFont="1" applyBorder="1"/>
    <xf numFmtId="3" fontId="87" fillId="30" borderId="110" xfId="96" applyNumberFormat="1" applyFont="1" applyFill="1" applyBorder="1"/>
    <xf numFmtId="3" fontId="87" fillId="30" borderId="111" xfId="96" applyNumberFormat="1" applyFont="1" applyFill="1" applyBorder="1"/>
    <xf numFmtId="3" fontId="176" fillId="0" borderId="37" xfId="97" applyNumberFormat="1" applyFont="1" applyBorder="1"/>
    <xf numFmtId="3" fontId="176" fillId="30" borderId="36" xfId="97" applyNumberFormat="1" applyFont="1" applyFill="1" applyBorder="1"/>
    <xf numFmtId="3" fontId="176" fillId="30" borderId="37" xfId="97" applyNumberFormat="1" applyFont="1" applyFill="1" applyBorder="1"/>
    <xf numFmtId="3" fontId="87" fillId="0" borderId="41" xfId="96" applyNumberFormat="1" applyFont="1" applyBorder="1" applyAlignment="1">
      <alignment horizontal="center"/>
    </xf>
    <xf numFmtId="3" fontId="87" fillId="0" borderId="93" xfId="96" applyNumberFormat="1" applyFont="1" applyBorder="1"/>
    <xf numFmtId="3" fontId="87" fillId="0" borderId="93" xfId="97" applyNumberFormat="1" applyFont="1" applyBorder="1"/>
    <xf numFmtId="3" fontId="87" fillId="30" borderId="64" xfId="97" applyNumberFormat="1" applyFont="1" applyFill="1" applyBorder="1"/>
    <xf numFmtId="3" fontId="87" fillId="30" borderId="93" xfId="97" applyNumberFormat="1" applyFont="1" applyFill="1" applyBorder="1"/>
    <xf numFmtId="3" fontId="87" fillId="30" borderId="106" xfId="96" applyNumberFormat="1" applyFont="1" applyFill="1" applyBorder="1"/>
    <xf numFmtId="3" fontId="87" fillId="0" borderId="19" xfId="96" applyNumberFormat="1" applyFont="1" applyBorder="1" applyAlignment="1">
      <alignment horizontal="center"/>
    </xf>
    <xf numFmtId="3" fontId="87" fillId="0" borderId="16" xfId="96" applyNumberFormat="1" applyFont="1" applyBorder="1"/>
    <xf numFmtId="3" fontId="87" fillId="0" borderId="16" xfId="97" applyNumberFormat="1" applyFont="1" applyBorder="1"/>
    <xf numFmtId="3" fontId="87" fillId="30" borderId="61" xfId="97" applyNumberFormat="1" applyFont="1" applyFill="1" applyBorder="1"/>
    <xf numFmtId="3" fontId="87" fillId="30" borderId="16" xfId="97" applyNumberFormat="1" applyFont="1" applyFill="1" applyBorder="1"/>
    <xf numFmtId="3" fontId="87" fillId="30" borderId="28" xfId="96" applyNumberFormat="1" applyFont="1" applyFill="1" applyBorder="1"/>
    <xf numFmtId="3" fontId="176" fillId="0" borderId="0" xfId="97" applyNumberFormat="1" applyFont="1"/>
    <xf numFmtId="3" fontId="176" fillId="30" borderId="15" xfId="97" applyNumberFormat="1" applyFont="1" applyFill="1" applyBorder="1"/>
    <xf numFmtId="3" fontId="176" fillId="30" borderId="0" xfId="97" applyNumberFormat="1" applyFont="1" applyFill="1"/>
    <xf numFmtId="3" fontId="87" fillId="0" borderId="91" xfId="97" applyNumberFormat="1" applyFont="1" applyBorder="1"/>
    <xf numFmtId="3" fontId="87" fillId="30" borderId="21" xfId="97" applyNumberFormat="1" applyFont="1" applyFill="1" applyBorder="1"/>
    <xf numFmtId="3" fontId="85" fillId="0" borderId="0" xfId="97" applyNumberFormat="1" applyFont="1"/>
    <xf numFmtId="3" fontId="184" fillId="30" borderId="21" xfId="97" applyNumberFormat="1" applyFont="1" applyFill="1" applyBorder="1"/>
    <xf numFmtId="3" fontId="184" fillId="30" borderId="91" xfId="97" applyNumberFormat="1" applyFont="1" applyFill="1" applyBorder="1"/>
    <xf numFmtId="3" fontId="185" fillId="30" borderId="15" xfId="97" applyNumberFormat="1" applyFont="1" applyFill="1" applyBorder="1"/>
    <xf numFmtId="3" fontId="185" fillId="30" borderId="0" xfId="97" applyNumberFormat="1" applyFont="1" applyFill="1"/>
    <xf numFmtId="3" fontId="185" fillId="30" borderId="36" xfId="97" applyNumberFormat="1" applyFont="1" applyFill="1" applyBorder="1"/>
    <xf numFmtId="3" fontId="185" fillId="30" borderId="37" xfId="97" applyNumberFormat="1" applyFont="1" applyFill="1" applyBorder="1"/>
    <xf numFmtId="3" fontId="185" fillId="30" borderId="59" xfId="96" applyNumberFormat="1" applyFont="1" applyFill="1" applyBorder="1"/>
    <xf numFmtId="3" fontId="184" fillId="0" borderId="21" xfId="97" applyNumberFormat="1" applyFont="1" applyBorder="1"/>
    <xf numFmtId="3" fontId="184" fillId="0" borderId="91" xfId="97" applyNumberFormat="1" applyFont="1" applyBorder="1"/>
    <xf numFmtId="3" fontId="87" fillId="0" borderId="60" xfId="96" applyNumberFormat="1" applyFont="1" applyBorder="1"/>
    <xf numFmtId="3" fontId="176" fillId="30" borderId="59" xfId="96" applyNumberFormat="1" applyFont="1" applyFill="1" applyBorder="1" applyAlignment="1">
      <alignment horizontal="right"/>
    </xf>
    <xf numFmtId="3" fontId="176" fillId="30" borderId="68" xfId="96" applyNumberFormat="1" applyFont="1" applyFill="1" applyBorder="1" applyAlignment="1">
      <alignment horizontal="right"/>
    </xf>
    <xf numFmtId="3" fontId="176" fillId="0" borderId="23" xfId="96" applyNumberFormat="1" applyFont="1" applyBorder="1" applyAlignment="1">
      <alignment horizontal="center"/>
    </xf>
    <xf numFmtId="3" fontId="176" fillId="0" borderId="46" xfId="96" applyNumberFormat="1" applyFont="1" applyBorder="1"/>
    <xf numFmtId="3" fontId="176" fillId="0" borderId="46" xfId="97" applyNumberFormat="1" applyFont="1" applyBorder="1"/>
    <xf numFmtId="3" fontId="185" fillId="0" borderId="45" xfId="97" applyNumberFormat="1" applyFont="1" applyBorder="1"/>
    <xf numFmtId="3" fontId="185" fillId="0" borderId="46" xfId="97" applyNumberFormat="1" applyFont="1" applyBorder="1"/>
    <xf numFmtId="3" fontId="185" fillId="0" borderId="27" xfId="96" applyNumberFormat="1" applyFont="1" applyBorder="1"/>
    <xf numFmtId="3" fontId="87" fillId="0" borderId="18" xfId="96" applyNumberFormat="1" applyFont="1" applyBorder="1"/>
    <xf numFmtId="3" fontId="184" fillId="0" borderId="15" xfId="96" applyNumberFormat="1" applyFont="1" applyBorder="1"/>
    <xf numFmtId="3" fontId="184" fillId="0" borderId="0" xfId="96" applyNumberFormat="1" applyFont="1"/>
    <xf numFmtId="3" fontId="184" fillId="0" borderId="59" xfId="96" applyNumberFormat="1" applyFont="1" applyBorder="1"/>
    <xf numFmtId="3" fontId="176" fillId="0" borderId="68" xfId="96" applyNumberFormat="1" applyFont="1" applyBorder="1"/>
    <xf numFmtId="3" fontId="185" fillId="30" borderId="15" xfId="96" applyNumberFormat="1" applyFont="1" applyFill="1" applyBorder="1"/>
    <xf numFmtId="3" fontId="184" fillId="30" borderId="0" xfId="96" applyNumberFormat="1" applyFont="1" applyFill="1"/>
    <xf numFmtId="3" fontId="185" fillId="0" borderId="15" xfId="96" applyNumberFormat="1" applyFont="1" applyBorder="1"/>
    <xf numFmtId="3" fontId="185" fillId="0" borderId="0" xfId="96" applyNumberFormat="1" applyFont="1"/>
    <xf numFmtId="3" fontId="185" fillId="0" borderId="59" xfId="96" applyNumberFormat="1" applyFont="1" applyBorder="1"/>
    <xf numFmtId="3" fontId="184" fillId="0" borderId="67" xfId="96" applyNumberFormat="1" applyFont="1" applyBorder="1"/>
    <xf numFmtId="3" fontId="184" fillId="0" borderId="36" xfId="96" applyNumberFormat="1" applyFont="1" applyBorder="1"/>
    <xf numFmtId="3" fontId="176" fillId="0" borderId="15" xfId="96" applyNumberFormat="1" applyFont="1" applyBorder="1"/>
    <xf numFmtId="3" fontId="185" fillId="0" borderId="68" xfId="96" applyNumberFormat="1" applyFont="1" applyBorder="1"/>
    <xf numFmtId="3" fontId="176" fillId="0" borderId="36" xfId="96" applyNumberFormat="1" applyFont="1" applyBorder="1"/>
    <xf numFmtId="3" fontId="185" fillId="0" borderId="36" xfId="96" applyNumberFormat="1" applyFont="1" applyBorder="1"/>
    <xf numFmtId="3" fontId="87" fillId="0" borderId="40" xfId="96" applyNumberFormat="1" applyFont="1" applyBorder="1"/>
    <xf numFmtId="3" fontId="184" fillId="0" borderId="61" xfId="96" applyNumberFormat="1" applyFont="1" applyBorder="1"/>
    <xf numFmtId="3" fontId="184" fillId="0" borderId="16" xfId="96" applyNumberFormat="1" applyFont="1" applyBorder="1"/>
    <xf numFmtId="3" fontId="184" fillId="0" borderId="28" xfId="96" applyNumberFormat="1" applyFont="1" applyBorder="1"/>
    <xf numFmtId="3" fontId="176" fillId="0" borderId="52" xfId="96" applyNumberFormat="1" applyFont="1" applyBorder="1"/>
    <xf numFmtId="3" fontId="86" fillId="0" borderId="0" xfId="0" applyNumberFormat="1" applyFont="1" applyAlignment="1">
      <alignment horizontal="right"/>
    </xf>
    <xf numFmtId="3" fontId="86" fillId="0" borderId="37" xfId="0" applyNumberFormat="1" applyFont="1" applyBorder="1"/>
    <xf numFmtId="3" fontId="170" fillId="0" borderId="37" xfId="0" applyNumberFormat="1" applyFont="1" applyBorder="1" applyAlignment="1">
      <alignment horizontal="left"/>
    </xf>
    <xf numFmtId="3" fontId="83" fillId="0" borderId="37" xfId="0" applyNumberFormat="1" applyFont="1" applyBorder="1"/>
    <xf numFmtId="3" fontId="83" fillId="0" borderId="37" xfId="0" applyNumberFormat="1" applyFont="1" applyBorder="1" applyAlignment="1">
      <alignment horizontal="left"/>
    </xf>
    <xf numFmtId="3" fontId="83" fillId="0" borderId="0" xfId="0" applyNumberFormat="1" applyFont="1"/>
    <xf numFmtId="3" fontId="83" fillId="0" borderId="18" xfId="0" applyNumberFormat="1" applyFont="1" applyBorder="1" applyAlignment="1">
      <alignment horizontal="left"/>
    </xf>
    <xf numFmtId="3" fontId="83" fillId="0" borderId="0" xfId="0" applyNumberFormat="1" applyFont="1" applyAlignment="1">
      <alignment horizontal="left"/>
    </xf>
    <xf numFmtId="3" fontId="83" fillId="0" borderId="40" xfId="0" applyNumberFormat="1" applyFont="1" applyBorder="1" applyAlignment="1">
      <alignment horizontal="left"/>
    </xf>
    <xf numFmtId="3" fontId="83" fillId="0" borderId="37" xfId="0" applyNumberFormat="1" applyFont="1" applyBorder="1" applyAlignment="1">
      <alignment horizontal="centerContinuous"/>
    </xf>
    <xf numFmtId="0" fontId="83" fillId="0" borderId="40" xfId="0" applyFont="1" applyBorder="1" applyAlignment="1">
      <alignment horizontal="left"/>
    </xf>
    <xf numFmtId="3" fontId="83" fillId="0" borderId="37" xfId="0" applyNumberFormat="1" applyFont="1" applyBorder="1" applyAlignment="1">
      <alignment horizontal="right"/>
    </xf>
    <xf numFmtId="3" fontId="86" fillId="0" borderId="37" xfId="0" applyNumberFormat="1" applyFont="1" applyBorder="1" applyAlignment="1">
      <alignment horizontal="right"/>
    </xf>
    <xf numFmtId="3" fontId="86" fillId="0" borderId="91" xfId="0" applyNumberFormat="1" applyFont="1" applyBorder="1" applyAlignment="1">
      <alignment horizontal="right"/>
    </xf>
    <xf numFmtId="0" fontId="86" fillId="0" borderId="49" xfId="0" applyFont="1" applyBorder="1"/>
    <xf numFmtId="3" fontId="86" fillId="0" borderId="24" xfId="0" applyNumberFormat="1" applyFont="1" applyBorder="1" applyAlignment="1">
      <alignment horizontal="right"/>
    </xf>
    <xf numFmtId="3" fontId="86" fillId="0" borderId="25" xfId="0" applyNumberFormat="1" applyFont="1" applyBorder="1"/>
    <xf numFmtId="3" fontId="86" fillId="0" borderId="45" xfId="0" applyNumberFormat="1" applyFont="1" applyBorder="1"/>
    <xf numFmtId="3" fontId="86" fillId="0" borderId="47" xfId="0" applyNumberFormat="1" applyFont="1" applyBorder="1"/>
    <xf numFmtId="3" fontId="86" fillId="0" borderId="18" xfId="0" applyNumberFormat="1" applyFont="1" applyBorder="1"/>
    <xf numFmtId="0" fontId="83" fillId="0" borderId="50" xfId="77" applyFont="1" applyBorder="1" applyAlignment="1">
      <alignment horizontal="justify"/>
    </xf>
    <xf numFmtId="0" fontId="170" fillId="0" borderId="91" xfId="0" applyFont="1" applyBorder="1" applyAlignment="1">
      <alignment horizontal="left"/>
    </xf>
    <xf numFmtId="3" fontId="86" fillId="0" borderId="0" xfId="0" applyNumberFormat="1" applyFont="1"/>
    <xf numFmtId="3" fontId="86" fillId="0" borderId="19" xfId="0" applyNumberFormat="1" applyFont="1" applyBorder="1"/>
    <xf numFmtId="3" fontId="83" fillId="0" borderId="16" xfId="0" applyNumberFormat="1" applyFont="1" applyBorder="1"/>
    <xf numFmtId="3" fontId="86" fillId="0" borderId="63" xfId="0" applyNumberFormat="1" applyFont="1" applyBorder="1"/>
    <xf numFmtId="3" fontId="86" fillId="0" borderId="47" xfId="0" applyNumberFormat="1" applyFont="1" applyBorder="1" applyAlignment="1">
      <alignment horizontal="left"/>
    </xf>
    <xf numFmtId="3" fontId="86" fillId="0" borderId="37" xfId="0" applyNumberFormat="1" applyFont="1" applyBorder="1" applyAlignment="1">
      <alignment horizontal="left"/>
    </xf>
    <xf numFmtId="3" fontId="177" fillId="0" borderId="40" xfId="0" applyNumberFormat="1" applyFont="1" applyBorder="1" applyAlignment="1">
      <alignment horizontal="left"/>
    </xf>
    <xf numFmtId="3" fontId="177" fillId="0" borderId="37" xfId="0" applyNumberFormat="1" applyFont="1" applyBorder="1" applyAlignment="1">
      <alignment horizontal="left"/>
    </xf>
    <xf numFmtId="3" fontId="86" fillId="0" borderId="0" xfId="0" applyNumberFormat="1" applyFont="1" applyAlignment="1">
      <alignment horizontal="left"/>
    </xf>
    <xf numFmtId="3" fontId="86" fillId="0" borderId="23" xfId="0" applyNumberFormat="1" applyFont="1" applyBorder="1" applyAlignment="1">
      <alignment horizontal="left"/>
    </xf>
    <xf numFmtId="3" fontId="86" fillId="0" borderId="46" xfId="0" applyNumberFormat="1" applyFont="1" applyBorder="1" applyAlignment="1">
      <alignment horizontal="left"/>
    </xf>
    <xf numFmtId="0" fontId="83" fillId="0" borderId="19" xfId="0" applyFont="1" applyBorder="1" applyAlignment="1">
      <alignment horizontal="left"/>
    </xf>
    <xf numFmtId="3" fontId="86" fillId="0" borderId="91" xfId="0" applyNumberFormat="1" applyFont="1" applyBorder="1"/>
    <xf numFmtId="0" fontId="86" fillId="0" borderId="46" xfId="0" applyFont="1" applyBorder="1"/>
    <xf numFmtId="0" fontId="86" fillId="0" borderId="23" xfId="0" applyFont="1" applyBorder="1"/>
    <xf numFmtId="0" fontId="86" fillId="0" borderId="46" xfId="0" applyFont="1" applyBorder="1" applyAlignment="1">
      <alignment horizontal="left"/>
    </xf>
    <xf numFmtId="0" fontId="86" fillId="0" borderId="53" xfId="0" applyFont="1" applyBorder="1" applyAlignment="1">
      <alignment horizontal="left"/>
    </xf>
    <xf numFmtId="0" fontId="170" fillId="0" borderId="50" xfId="0" applyFont="1" applyBorder="1"/>
    <xf numFmtId="3" fontId="170" fillId="0" borderId="84" xfId="0" applyNumberFormat="1" applyFont="1" applyBorder="1" applyProtection="1">
      <protection locked="0"/>
    </xf>
    <xf numFmtId="0" fontId="170" fillId="0" borderId="24" xfId="0" applyFont="1" applyBorder="1"/>
    <xf numFmtId="3" fontId="170" fillId="0" borderId="87" xfId="0" applyNumberFormat="1" applyFont="1" applyBorder="1" applyProtection="1">
      <protection locked="0"/>
    </xf>
    <xf numFmtId="0" fontId="186" fillId="0" borderId="0" xfId="0" applyFont="1"/>
    <xf numFmtId="3" fontId="83" fillId="0" borderId="79" xfId="0" applyNumberFormat="1" applyFont="1" applyBorder="1" applyProtection="1">
      <protection locked="0"/>
    </xf>
    <xf numFmtId="0" fontId="83" fillId="0" borderId="24" xfId="0" applyFont="1" applyBorder="1"/>
    <xf numFmtId="0" fontId="186" fillId="0" borderId="24" xfId="0" applyFont="1" applyBorder="1"/>
    <xf numFmtId="0" fontId="83" fillId="0" borderId="24" xfId="0" applyFont="1" applyBorder="1" applyAlignment="1">
      <alignment wrapText="1"/>
    </xf>
    <xf numFmtId="3" fontId="170" fillId="0" borderId="84" xfId="0" applyNumberFormat="1" applyFont="1" applyBorder="1"/>
    <xf numFmtId="0" fontId="83" fillId="0" borderId="84" xfId="0" applyFont="1" applyBorder="1" applyAlignment="1">
      <alignment horizontal="left"/>
    </xf>
    <xf numFmtId="3" fontId="86" fillId="0" borderId="24" xfId="0" applyNumberFormat="1" applyFont="1" applyBorder="1"/>
    <xf numFmtId="0" fontId="86" fillId="0" borderId="24" xfId="0" applyFont="1" applyBorder="1"/>
    <xf numFmtId="3" fontId="86" fillId="0" borderId="87" xfId="0" applyNumberFormat="1" applyFont="1" applyBorder="1" applyProtection="1">
      <protection locked="0"/>
    </xf>
    <xf numFmtId="3" fontId="86" fillId="0" borderId="85" xfId="0" applyNumberFormat="1" applyFont="1" applyBorder="1" applyProtection="1">
      <protection locked="0"/>
    </xf>
    <xf numFmtId="0" fontId="83" fillId="0" borderId="79" xfId="0" applyFont="1" applyBorder="1" applyAlignment="1">
      <alignment horizontal="left" wrapText="1"/>
    </xf>
    <xf numFmtId="0" fontId="83" fillId="0" borderId="85" xfId="0" applyFont="1" applyBorder="1" applyAlignment="1">
      <alignment horizontal="left"/>
    </xf>
    <xf numFmtId="0" fontId="83" fillId="0" borderId="93" xfId="0" applyFont="1" applyBorder="1" applyAlignment="1">
      <alignment horizontal="left"/>
    </xf>
    <xf numFmtId="0" fontId="83" fillId="0" borderId="131" xfId="0" applyFont="1" applyBorder="1" applyAlignment="1">
      <alignment horizontal="left"/>
    </xf>
    <xf numFmtId="0" fontId="170" fillId="0" borderId="101" xfId="0" applyFont="1" applyBorder="1"/>
    <xf numFmtId="3" fontId="170" fillId="0" borderId="126" xfId="0" applyNumberFormat="1" applyFont="1" applyBorder="1" applyProtection="1">
      <protection locked="0"/>
    </xf>
    <xf numFmtId="0" fontId="86" fillId="0" borderId="50" xfId="0" applyFont="1" applyBorder="1"/>
    <xf numFmtId="0" fontId="86" fillId="0" borderId="50" xfId="0" applyFont="1" applyBorder="1" applyAlignment="1">
      <alignment horizontal="left"/>
    </xf>
    <xf numFmtId="0" fontId="86" fillId="0" borderId="84" xfId="0" applyFont="1" applyBorder="1" applyAlignment="1">
      <alignment horizontal="left"/>
    </xf>
    <xf numFmtId="0" fontId="83" fillId="0" borderId="66" xfId="0" applyFont="1" applyBorder="1" applyAlignment="1">
      <alignment horizontal="left"/>
    </xf>
    <xf numFmtId="0" fontId="83" fillId="0" borderId="74" xfId="0" applyFont="1" applyBorder="1" applyAlignment="1">
      <alignment horizontal="left"/>
    </xf>
    <xf numFmtId="0" fontId="170" fillId="0" borderId="22" xfId="0" applyFont="1" applyBorder="1"/>
    <xf numFmtId="0" fontId="86" fillId="0" borderId="22" xfId="0" applyFont="1" applyBorder="1" applyAlignment="1">
      <alignment horizontal="left"/>
    </xf>
    <xf numFmtId="0" fontId="86" fillId="0" borderId="80" xfId="0" applyFont="1" applyBorder="1" applyAlignment="1">
      <alignment horizontal="left"/>
    </xf>
    <xf numFmtId="0" fontId="86" fillId="0" borderId="81" xfId="0" applyFont="1" applyBorder="1" applyAlignment="1">
      <alignment horizontal="left"/>
    </xf>
    <xf numFmtId="0" fontId="186" fillId="0" borderId="16" xfId="0" applyFont="1" applyBorder="1" applyAlignment="1">
      <alignment horizontal="left"/>
    </xf>
    <xf numFmtId="0" fontId="83" fillId="0" borderId="16" xfId="0" applyFont="1" applyBorder="1" applyAlignment="1">
      <alignment horizontal="left"/>
    </xf>
    <xf numFmtId="0" fontId="83" fillId="0" borderId="83" xfId="0" applyFont="1" applyBorder="1" applyAlignment="1">
      <alignment horizontal="left"/>
    </xf>
    <xf numFmtId="0" fontId="170" fillId="0" borderId="16" xfId="0" applyFont="1" applyBorder="1" applyAlignment="1">
      <alignment horizontal="left"/>
    </xf>
    <xf numFmtId="3" fontId="177" fillId="0" borderId="50" xfId="0" applyNumberFormat="1" applyFont="1" applyBorder="1"/>
    <xf numFmtId="0" fontId="177" fillId="0" borderId="50" xfId="77" applyFont="1" applyBorder="1" applyAlignment="1">
      <alignment horizontal="justify"/>
    </xf>
    <xf numFmtId="0" fontId="177" fillId="0" borderId="79" xfId="0" applyFont="1" applyBorder="1"/>
    <xf numFmtId="0" fontId="177" fillId="0" borderId="37" xfId="77" applyFont="1" applyBorder="1" applyAlignment="1">
      <alignment horizontal="justify"/>
    </xf>
    <xf numFmtId="0" fontId="177" fillId="0" borderId="37" xfId="77" applyFont="1" applyBorder="1" applyAlignment="1">
      <alignment horizontal="left"/>
    </xf>
    <xf numFmtId="0" fontId="177" fillId="0" borderId="37" xfId="0" applyFont="1" applyBorder="1"/>
    <xf numFmtId="0" fontId="83" fillId="0" borderId="66" xfId="0" applyFont="1" applyBorder="1" applyAlignment="1">
      <alignment horizontal="left" wrapText="1"/>
    </xf>
    <xf numFmtId="0" fontId="83" fillId="0" borderId="0" xfId="0" applyFont="1" applyAlignment="1">
      <alignment horizontal="left" wrapText="1"/>
    </xf>
    <xf numFmtId="0" fontId="83" fillId="0" borderId="131" xfId="0" applyFont="1" applyBorder="1" applyAlignment="1">
      <alignment horizontal="left" wrapText="1"/>
    </xf>
    <xf numFmtId="0" fontId="86" fillId="0" borderId="85" xfId="0" applyFont="1" applyBorder="1" applyAlignment="1">
      <alignment horizontal="left"/>
    </xf>
    <xf numFmtId="0" fontId="83" fillId="0" borderId="79" xfId="0" applyFont="1" applyBorder="1"/>
    <xf numFmtId="0" fontId="86" fillId="0" borderId="16" xfId="0" applyFont="1" applyBorder="1" applyAlignment="1">
      <alignment horizontal="left"/>
    </xf>
    <xf numFmtId="0" fontId="86" fillId="0" borderId="83" xfId="0" applyFont="1" applyBorder="1" applyAlignment="1">
      <alignment horizontal="left"/>
    </xf>
    <xf numFmtId="0" fontId="170" fillId="0" borderId="0" xfId="0" applyFont="1" applyAlignment="1">
      <alignment horizontal="left"/>
    </xf>
    <xf numFmtId="0" fontId="83" fillId="0" borderId="66" xfId="77" applyFont="1" applyBorder="1" applyAlignment="1">
      <alignment horizontal="left"/>
    </xf>
    <xf numFmtId="0" fontId="83" fillId="0" borderId="66" xfId="77" applyFont="1" applyBorder="1" applyAlignment="1">
      <alignment horizontal="justify"/>
    </xf>
    <xf numFmtId="0" fontId="83" fillId="0" borderId="74" xfId="0" applyFont="1" applyBorder="1"/>
    <xf numFmtId="0" fontId="86" fillId="0" borderId="37" xfId="0" applyFont="1" applyBorder="1" applyAlignment="1">
      <alignment horizontal="center"/>
    </xf>
    <xf numFmtId="0" fontId="86" fillId="0" borderId="79" xfId="0" applyFont="1" applyBorder="1" applyAlignment="1">
      <alignment horizontal="left"/>
    </xf>
    <xf numFmtId="0" fontId="86" fillId="0" borderId="0" xfId="0" applyFont="1" applyAlignment="1">
      <alignment horizontal="left"/>
    </xf>
    <xf numFmtId="0" fontId="83" fillId="0" borderId="50" xfId="77" applyFont="1" applyBorder="1" applyAlignment="1">
      <alignment horizontal="left"/>
    </xf>
    <xf numFmtId="0" fontId="86" fillId="0" borderId="22" xfId="0" applyFont="1" applyBorder="1" applyAlignment="1">
      <alignment horizontal="center"/>
    </xf>
    <xf numFmtId="0" fontId="83" fillId="0" borderId="46" xfId="0" applyFont="1" applyBorder="1"/>
    <xf numFmtId="0" fontId="83" fillId="0" borderId="53" xfId="0" applyFont="1" applyBorder="1"/>
    <xf numFmtId="0" fontId="170" fillId="0" borderId="18" xfId="0" applyFont="1" applyBorder="1" applyAlignment="1">
      <alignment horizontal="left"/>
    </xf>
    <xf numFmtId="0" fontId="170" fillId="0" borderId="37" xfId="0" applyFont="1" applyBorder="1" applyAlignment="1">
      <alignment horizontal="left"/>
    </xf>
    <xf numFmtId="0" fontId="86" fillId="0" borderId="37" xfId="0" applyFont="1" applyBorder="1"/>
    <xf numFmtId="0" fontId="170" fillId="0" borderId="22" xfId="0" applyFont="1" applyBorder="1" applyAlignment="1">
      <alignment horizontal="left"/>
    </xf>
    <xf numFmtId="0" fontId="85" fillId="0" borderId="23" xfId="0" applyFont="1" applyBorder="1"/>
    <xf numFmtId="0" fontId="87" fillId="0" borderId="26" xfId="0" quotePrefix="1" applyFont="1" applyBorder="1"/>
    <xf numFmtId="49" fontId="176" fillId="0" borderId="18" xfId="0" applyNumberFormat="1" applyFont="1" applyBorder="1"/>
    <xf numFmtId="0" fontId="176" fillId="0" borderId="26" xfId="0" quotePrefix="1" applyFont="1" applyBorder="1"/>
    <xf numFmtId="49" fontId="176" fillId="0" borderId="26" xfId="0" quotePrefix="1" applyNumberFormat="1" applyFont="1" applyBorder="1" applyAlignment="1">
      <alignment wrapText="1"/>
    </xf>
    <xf numFmtId="0" fontId="85" fillId="0" borderId="17" xfId="0" applyFont="1" applyBorder="1"/>
    <xf numFmtId="0" fontId="176" fillId="0" borderId="18" xfId="0" applyFont="1" applyBorder="1"/>
    <xf numFmtId="0" fontId="176" fillId="0" borderId="26" xfId="0" applyFont="1" applyBorder="1"/>
    <xf numFmtId="0" fontId="176" fillId="0" borderId="19" xfId="0" applyFont="1" applyBorder="1"/>
    <xf numFmtId="3" fontId="85" fillId="0" borderId="27" xfId="0" applyNumberFormat="1" applyFont="1" applyBorder="1" applyAlignment="1">
      <alignment horizontal="right"/>
    </xf>
    <xf numFmtId="3" fontId="87" fillId="0" borderId="58" xfId="0" quotePrefix="1" applyNumberFormat="1" applyFont="1" applyBorder="1" applyAlignment="1">
      <alignment horizontal="right"/>
    </xf>
    <xf numFmtId="3" fontId="176" fillId="0" borderId="59" xfId="0" applyNumberFormat="1" applyFont="1" applyBorder="1"/>
    <xf numFmtId="3" fontId="176" fillId="0" borderId="58" xfId="0" quotePrefix="1" applyNumberFormat="1" applyFont="1" applyBorder="1" applyAlignment="1">
      <alignment horizontal="right"/>
    </xf>
    <xf numFmtId="3" fontId="85" fillId="0" borderId="54" xfId="0" quotePrefix="1" applyNumberFormat="1" applyFont="1" applyBorder="1" applyAlignment="1">
      <alignment horizontal="right"/>
    </xf>
    <xf numFmtId="3" fontId="176" fillId="0" borderId="59" xfId="0" applyNumberFormat="1" applyFont="1" applyBorder="1" applyAlignment="1">
      <alignment horizontal="right"/>
    </xf>
    <xf numFmtId="3" fontId="176" fillId="0" borderId="58" xfId="0" applyNumberFormat="1" applyFont="1" applyBorder="1" applyAlignment="1">
      <alignment horizontal="right"/>
    </xf>
    <xf numFmtId="3" fontId="176" fillId="0" borderId="28" xfId="0" applyNumberFormat="1" applyFont="1" applyBorder="1" applyAlignment="1">
      <alignment horizontal="right"/>
    </xf>
    <xf numFmtId="0" fontId="83" fillId="0" borderId="135" xfId="78" applyFont="1" applyBorder="1" applyAlignment="1">
      <alignment horizontal="center" vertical="center"/>
    </xf>
    <xf numFmtId="0" fontId="83" fillId="0" borderId="135" xfId="78" applyFont="1" applyBorder="1" applyAlignment="1">
      <alignment wrapText="1"/>
    </xf>
    <xf numFmtId="3" fontId="83" fillId="0" borderId="135" xfId="78" applyNumberFormat="1" applyFont="1" applyBorder="1"/>
    <xf numFmtId="0" fontId="83" fillId="0" borderId="69" xfId="78" applyFont="1" applyBorder="1" applyAlignment="1">
      <alignment horizontal="center" vertical="center"/>
    </xf>
    <xf numFmtId="0" fontId="83" fillId="0" borderId="0" xfId="78" applyFont="1" applyAlignment="1">
      <alignment wrapText="1"/>
    </xf>
    <xf numFmtId="3" fontId="83" fillId="0" borderId="69" xfId="78" applyNumberFormat="1" applyFont="1" applyBorder="1"/>
    <xf numFmtId="0" fontId="83" fillId="0" borderId="88" xfId="78" applyFont="1" applyBorder="1" applyAlignment="1">
      <alignment horizontal="center" vertical="center"/>
    </xf>
    <xf numFmtId="0" fontId="83" fillId="0" borderId="101" xfId="78" applyFont="1" applyBorder="1" applyAlignment="1">
      <alignment wrapText="1"/>
    </xf>
    <xf numFmtId="3" fontId="83" fillId="0" borderId="88" xfId="78" applyNumberFormat="1" applyFont="1" applyBorder="1"/>
    <xf numFmtId="0" fontId="83" fillId="0" borderId="0" xfId="78" applyFont="1"/>
    <xf numFmtId="49" fontId="83" fillId="0" borderId="0" xfId="78" applyNumberFormat="1" applyFont="1"/>
    <xf numFmtId="0" fontId="83" fillId="0" borderId="78" xfId="78" applyFont="1" applyBorder="1" applyAlignment="1">
      <alignment horizontal="center" vertical="center"/>
    </xf>
    <xf numFmtId="0" fontId="83" fillId="0" borderId="24" xfId="78" applyFont="1" applyBorder="1" applyAlignment="1">
      <alignment wrapText="1"/>
    </xf>
    <xf numFmtId="3" fontId="83" fillId="0" borderId="78" xfId="78" applyNumberFormat="1" applyFont="1" applyBorder="1"/>
    <xf numFmtId="0" fontId="83" fillId="0" borderId="77" xfId="78" applyFont="1" applyBorder="1"/>
    <xf numFmtId="0" fontId="86" fillId="0" borderId="91" xfId="78" applyFont="1" applyBorder="1"/>
    <xf numFmtId="3" fontId="86" fillId="0" borderId="77" xfId="78" applyNumberFormat="1" applyFont="1" applyBorder="1"/>
    <xf numFmtId="0" fontId="170" fillId="0" borderId="0" xfId="90" applyFont="1"/>
    <xf numFmtId="0" fontId="83" fillId="0" borderId="0" xfId="90" applyFont="1" applyAlignment="1">
      <alignment wrapText="1"/>
    </xf>
    <xf numFmtId="0" fontId="83" fillId="0" borderId="0" xfId="90" applyFont="1"/>
    <xf numFmtId="0" fontId="87" fillId="0" borderId="23" xfId="92" applyFont="1" applyBorder="1" applyAlignment="1">
      <alignment horizontal="center"/>
    </xf>
    <xf numFmtId="0" fontId="87" fillId="0" borderId="82" xfId="92" applyFont="1" applyBorder="1"/>
    <xf numFmtId="49" fontId="87" fillId="0" borderId="82" xfId="92" applyNumberFormat="1" applyFont="1" applyBorder="1" applyAlignment="1">
      <alignment horizontal="center"/>
    </xf>
    <xf numFmtId="0" fontId="87" fillId="0" borderId="18" xfId="92" applyFont="1" applyBorder="1" applyAlignment="1">
      <alignment horizontal="center"/>
    </xf>
    <xf numFmtId="0" fontId="87" fillId="0" borderId="85" xfId="92" applyFont="1" applyBorder="1" applyAlignment="1">
      <alignment horizontal="center"/>
    </xf>
    <xf numFmtId="0" fontId="87" fillId="0" borderId="69" xfId="92" applyFont="1" applyBorder="1"/>
    <xf numFmtId="2" fontId="87" fillId="0" borderId="69" xfId="92" applyNumberFormat="1" applyFont="1" applyBorder="1" applyAlignment="1">
      <alignment horizontal="center"/>
    </xf>
    <xf numFmtId="0" fontId="87" fillId="0" borderId="19" xfId="92" applyFont="1" applyBorder="1" applyAlignment="1">
      <alignment horizontal="center"/>
    </xf>
    <xf numFmtId="0" fontId="87" fillId="0" borderId="83" xfId="92" applyFont="1" applyBorder="1" applyAlignment="1">
      <alignment horizontal="center"/>
    </xf>
    <xf numFmtId="0" fontId="87" fillId="0" borderId="70" xfId="92" applyFont="1" applyBorder="1"/>
    <xf numFmtId="49" fontId="87" fillId="0" borderId="70" xfId="92" applyNumberFormat="1" applyFont="1" applyBorder="1" applyAlignment="1">
      <alignment horizontal="center"/>
    </xf>
    <xf numFmtId="49" fontId="87" fillId="0" borderId="85" xfId="92" applyNumberFormat="1" applyFont="1" applyBorder="1" applyAlignment="1">
      <alignment horizontal="center"/>
    </xf>
    <xf numFmtId="3" fontId="176" fillId="0" borderId="18" xfId="92" applyNumberFormat="1" applyFont="1" applyBorder="1" applyAlignment="1">
      <alignment horizontal="center"/>
    </xf>
    <xf numFmtId="0" fontId="176" fillId="0" borderId="18" xfId="92" applyFont="1" applyBorder="1"/>
    <xf numFmtId="0" fontId="176" fillId="0" borderId="85" xfId="92" applyFont="1" applyBorder="1"/>
    <xf numFmtId="0" fontId="176" fillId="0" borderId="69" xfId="92" applyFont="1" applyBorder="1"/>
    <xf numFmtId="3" fontId="176" fillId="0" borderId="59" xfId="92" applyNumberFormat="1" applyFont="1" applyBorder="1"/>
    <xf numFmtId="3" fontId="87" fillId="0" borderId="26" xfId="92" applyNumberFormat="1" applyFont="1" applyBorder="1" applyAlignment="1">
      <alignment horizontal="center"/>
    </xf>
    <xf numFmtId="0" fontId="87" fillId="0" borderId="26" xfId="92" applyFont="1" applyBorder="1"/>
    <xf numFmtId="0" fontId="87" fillId="0" borderId="87" xfId="92" applyFont="1" applyBorder="1"/>
    <xf numFmtId="0" fontId="87" fillId="0" borderId="78" xfId="92" applyFont="1" applyBorder="1"/>
    <xf numFmtId="3" fontId="87" fillId="0" borderId="58" xfId="92" applyNumberFormat="1" applyFont="1" applyBorder="1"/>
    <xf numFmtId="3" fontId="87" fillId="0" borderId="18" xfId="92" applyNumberFormat="1" applyFont="1" applyBorder="1" applyAlignment="1">
      <alignment horizontal="center"/>
    </xf>
    <xf numFmtId="0" fontId="87" fillId="0" borderId="18" xfId="92" applyFont="1" applyBorder="1"/>
    <xf numFmtId="0" fontId="87" fillId="0" borderId="85" xfId="92" applyFont="1" applyBorder="1"/>
    <xf numFmtId="3" fontId="87" fillId="0" borderId="59" xfId="92" applyNumberFormat="1" applyFont="1" applyBorder="1"/>
    <xf numFmtId="3" fontId="87" fillId="0" borderId="17" xfId="92" applyNumberFormat="1" applyFont="1" applyBorder="1" applyAlignment="1">
      <alignment horizontal="center"/>
    </xf>
    <xf numFmtId="0" fontId="87" fillId="0" borderId="17" xfId="92" applyFont="1" applyBorder="1"/>
    <xf numFmtId="0" fontId="87" fillId="0" borderId="80" xfId="92" applyFont="1" applyBorder="1"/>
    <xf numFmtId="0" fontId="87" fillId="0" borderId="76" xfId="92" applyFont="1" applyBorder="1"/>
    <xf numFmtId="3" fontId="87" fillId="0" borderId="54" xfId="92" applyNumberFormat="1" applyFont="1" applyBorder="1"/>
    <xf numFmtId="3" fontId="87" fillId="0" borderId="82" xfId="92" applyNumberFormat="1" applyFont="1" applyBorder="1"/>
    <xf numFmtId="3" fontId="176" fillId="0" borderId="69" xfId="92" applyNumberFormat="1" applyFont="1" applyBorder="1"/>
    <xf numFmtId="3" fontId="87" fillId="0" borderId="78" xfId="92" applyNumberFormat="1" applyFont="1" applyBorder="1"/>
    <xf numFmtId="3" fontId="87" fillId="0" borderId="69" xfId="92" applyNumberFormat="1" applyFont="1" applyBorder="1"/>
    <xf numFmtId="3" fontId="87" fillId="0" borderId="76" xfId="92" applyNumberFormat="1" applyFont="1" applyBorder="1"/>
    <xf numFmtId="3" fontId="87" fillId="0" borderId="85" xfId="92" applyNumberFormat="1" applyFont="1" applyBorder="1"/>
    <xf numFmtId="3" fontId="87" fillId="0" borderId="57" xfId="92" applyNumberFormat="1" applyFont="1" applyBorder="1" applyAlignment="1">
      <alignment horizontal="center"/>
    </xf>
    <xf numFmtId="0" fontId="87" fillId="0" borderId="88" xfId="92" applyFont="1" applyBorder="1"/>
    <xf numFmtId="3" fontId="87" fillId="0" borderId="56" xfId="92" applyNumberFormat="1" applyFont="1" applyBorder="1"/>
    <xf numFmtId="3" fontId="87" fillId="0" borderId="23" xfId="92" applyNumberFormat="1" applyFont="1" applyBorder="1" applyAlignment="1">
      <alignment horizontal="center"/>
    </xf>
    <xf numFmtId="0" fontId="87" fillId="0" borderId="23" xfId="92" applyFont="1" applyBorder="1"/>
    <xf numFmtId="0" fontId="87" fillId="0" borderId="53" xfId="92" applyFont="1" applyBorder="1"/>
    <xf numFmtId="0" fontId="176" fillId="0" borderId="85" xfId="0" applyFont="1" applyBorder="1" applyAlignment="1">
      <alignment wrapText="1"/>
    </xf>
    <xf numFmtId="3" fontId="176" fillId="0" borderId="19" xfId="92" applyNumberFormat="1" applyFont="1" applyBorder="1" applyAlignment="1">
      <alignment horizontal="center"/>
    </xf>
    <xf numFmtId="0" fontId="176" fillId="0" borderId="19" xfId="92" applyFont="1" applyBorder="1"/>
    <xf numFmtId="0" fontId="176" fillId="0" borderId="83" xfId="92" applyFont="1" applyBorder="1"/>
    <xf numFmtId="0" fontId="176" fillId="0" borderId="70" xfId="92" applyFont="1" applyBorder="1"/>
    <xf numFmtId="3" fontId="176" fillId="0" borderId="70" xfId="92" applyNumberFormat="1" applyFont="1" applyBorder="1"/>
    <xf numFmtId="3" fontId="84" fillId="0" borderId="18" xfId="92" applyNumberFormat="1" applyFont="1" applyBorder="1" applyAlignment="1">
      <alignment horizontal="center"/>
    </xf>
    <xf numFmtId="0" fontId="84" fillId="0" borderId="18" xfId="92" applyFont="1" applyBorder="1" applyAlignment="1">
      <alignment wrapText="1"/>
    </xf>
    <xf numFmtId="0" fontId="84" fillId="0" borderId="69" xfId="92" applyFont="1" applyBorder="1"/>
    <xf numFmtId="3" fontId="84" fillId="0" borderId="59" xfId="92" applyNumberFormat="1" applyFont="1" applyBorder="1"/>
    <xf numFmtId="0" fontId="87" fillId="0" borderId="53" xfId="92" applyFont="1" applyBorder="1" applyAlignment="1">
      <alignment horizontal="center"/>
    </xf>
    <xf numFmtId="3" fontId="176" fillId="0" borderId="112" xfId="92" applyNumberFormat="1" applyFont="1" applyBorder="1" applyAlignment="1">
      <alignment horizontal="center"/>
    </xf>
    <xf numFmtId="3" fontId="87" fillId="0" borderId="19" xfId="92" applyNumberFormat="1" applyFont="1" applyBorder="1" applyAlignment="1">
      <alignment horizontal="center"/>
    </xf>
    <xf numFmtId="3" fontId="84" fillId="0" borderId="20" xfId="92" applyNumberFormat="1" applyFont="1" applyBorder="1" applyAlignment="1">
      <alignment horizontal="center"/>
    </xf>
    <xf numFmtId="0" fontId="84" fillId="0" borderId="77" xfId="92" applyFont="1" applyBorder="1"/>
    <xf numFmtId="3" fontId="84" fillId="0" borderId="60" xfId="92" applyNumberFormat="1" applyFont="1" applyBorder="1"/>
    <xf numFmtId="0" fontId="87" fillId="0" borderId="46" xfId="92" applyFont="1" applyBorder="1"/>
    <xf numFmtId="0" fontId="87" fillId="0" borderId="0" xfId="92" applyFont="1"/>
    <xf numFmtId="0" fontId="87" fillId="0" borderId="16" xfId="92" applyFont="1" applyBorder="1"/>
    <xf numFmtId="0" fontId="176" fillId="0" borderId="0" xfId="92" applyFont="1"/>
    <xf numFmtId="0" fontId="87" fillId="0" borderId="24" xfId="92" applyFont="1" applyBorder="1"/>
    <xf numFmtId="0" fontId="176" fillId="0" borderId="95" xfId="92" applyFont="1" applyBorder="1"/>
    <xf numFmtId="0" fontId="84" fillId="0" borderId="91" xfId="92" applyFont="1" applyBorder="1"/>
    <xf numFmtId="0" fontId="84" fillId="0" borderId="0" xfId="92" applyFont="1"/>
    <xf numFmtId="0" fontId="86" fillId="0" borderId="20" xfId="93" applyFont="1" applyBorder="1" applyAlignment="1">
      <alignment horizontal="centerContinuous"/>
    </xf>
    <xf numFmtId="3" fontId="86" fillId="0" borderId="120" xfId="93" applyNumberFormat="1" applyFont="1" applyBorder="1" applyAlignment="1">
      <alignment horizontal="centerContinuous"/>
    </xf>
    <xf numFmtId="0" fontId="86" fillId="0" borderId="91" xfId="93" applyFont="1" applyBorder="1" applyAlignment="1">
      <alignment horizontal="centerContinuous"/>
    </xf>
    <xf numFmtId="3" fontId="86" fillId="0" borderId="91" xfId="93" applyNumberFormat="1" applyFont="1" applyBorder="1" applyAlignment="1">
      <alignment horizontal="centerContinuous"/>
    </xf>
    <xf numFmtId="3" fontId="86" fillId="0" borderId="81" xfId="93" applyNumberFormat="1" applyFont="1" applyBorder="1" applyAlignment="1">
      <alignment horizontal="justify"/>
    </xf>
    <xf numFmtId="0" fontId="86" fillId="0" borderId="18" xfId="93" applyFont="1" applyBorder="1"/>
    <xf numFmtId="3" fontId="86" fillId="0" borderId="31" xfId="93" applyNumberFormat="1" applyFont="1" applyBorder="1"/>
    <xf numFmtId="0" fontId="86" fillId="0" borderId="0" xfId="93" applyFont="1"/>
    <xf numFmtId="3" fontId="86" fillId="0" borderId="0" xfId="93" applyNumberFormat="1" applyFont="1"/>
    <xf numFmtId="0" fontId="83" fillId="0" borderId="85" xfId="93" applyFont="1" applyBorder="1"/>
    <xf numFmtId="0" fontId="83" fillId="0" borderId="18" xfId="93" applyFont="1" applyBorder="1"/>
    <xf numFmtId="3" fontId="83" fillId="0" borderId="31" xfId="93" applyNumberFormat="1" applyFont="1" applyBorder="1" applyAlignment="1">
      <alignment horizontal="center"/>
    </xf>
    <xf numFmtId="0" fontId="83" fillId="0" borderId="0" xfId="93" applyFont="1"/>
    <xf numFmtId="3" fontId="83" fillId="0" borderId="0" xfId="93" applyNumberFormat="1" applyFont="1"/>
    <xf numFmtId="3" fontId="83" fillId="0" borderId="31" xfId="93" applyNumberFormat="1" applyFont="1" applyBorder="1"/>
    <xf numFmtId="0" fontId="86" fillId="0" borderId="17" xfId="93" applyFont="1" applyBorder="1"/>
    <xf numFmtId="3" fontId="86" fillId="0" borderId="123" xfId="93" applyNumberFormat="1" applyFont="1" applyBorder="1" applyAlignment="1">
      <alignment horizontal="center"/>
    </xf>
    <xf numFmtId="0" fontId="86" fillId="0" borderId="22" xfId="93" applyFont="1" applyBorder="1"/>
    <xf numFmtId="3" fontId="86" fillId="0" borderId="22" xfId="93" applyNumberFormat="1" applyFont="1" applyBorder="1"/>
    <xf numFmtId="3" fontId="86" fillId="0" borderId="80" xfId="93" applyNumberFormat="1" applyFont="1" applyBorder="1"/>
    <xf numFmtId="0" fontId="86" fillId="0" borderId="85" xfId="93" applyFont="1" applyBorder="1"/>
    <xf numFmtId="3" fontId="86" fillId="0" borderId="31" xfId="93" applyNumberFormat="1" applyFont="1" applyBorder="1" applyAlignment="1">
      <alignment horizontal="center"/>
    </xf>
    <xf numFmtId="3" fontId="83" fillId="0" borderId="85" xfId="93" applyNumberFormat="1" applyFont="1" applyBorder="1"/>
    <xf numFmtId="0" fontId="83" fillId="0" borderId="47" xfId="93" applyFont="1" applyBorder="1"/>
    <xf numFmtId="3" fontId="83" fillId="0" borderId="31" xfId="93" applyNumberFormat="1" applyFont="1" applyBorder="1" applyAlignment="1">
      <alignment horizontal="right"/>
    </xf>
    <xf numFmtId="0" fontId="83" fillId="0" borderId="18" xfId="93" applyFont="1" applyBorder="1" applyAlignment="1">
      <alignment horizontal="left"/>
    </xf>
    <xf numFmtId="3" fontId="86" fillId="0" borderId="123" xfId="93" applyNumberFormat="1" applyFont="1" applyBorder="1" applyAlignment="1">
      <alignment horizontal="right"/>
    </xf>
    <xf numFmtId="0" fontId="83" fillId="0" borderId="0" xfId="93" applyFont="1" applyAlignment="1">
      <alignment horizontal="right"/>
    </xf>
    <xf numFmtId="0" fontId="86" fillId="0" borderId="23" xfId="93" applyFont="1" applyBorder="1"/>
    <xf numFmtId="3" fontId="83" fillId="0" borderId="63" xfId="93" applyNumberFormat="1" applyFont="1" applyBorder="1" applyAlignment="1">
      <alignment horizontal="right"/>
    </xf>
    <xf numFmtId="0" fontId="83" fillId="0" borderId="46" xfId="93" applyFont="1" applyBorder="1"/>
    <xf numFmtId="3" fontId="83" fillId="0" borderId="46" xfId="93" applyNumberFormat="1" applyFont="1" applyBorder="1"/>
    <xf numFmtId="0" fontId="83" fillId="0" borderId="53" xfId="93" applyFont="1" applyBorder="1"/>
    <xf numFmtId="0" fontId="170" fillId="0" borderId="18" xfId="93" applyFont="1" applyBorder="1"/>
    <xf numFmtId="0" fontId="83" fillId="0" borderId="29" xfId="93" applyFont="1" applyBorder="1"/>
    <xf numFmtId="0" fontId="83" fillId="0" borderId="0" xfId="93" applyFont="1" applyAlignment="1">
      <alignment wrapText="1"/>
    </xf>
    <xf numFmtId="3" fontId="83" fillId="0" borderId="31" xfId="77" applyNumberFormat="1" applyFont="1" applyBorder="1"/>
    <xf numFmtId="3" fontId="86" fillId="0" borderId="53" xfId="93" applyNumberFormat="1" applyFont="1" applyBorder="1"/>
    <xf numFmtId="3" fontId="86" fillId="0" borderId="85" xfId="93" applyNumberFormat="1" applyFont="1" applyBorder="1"/>
    <xf numFmtId="0" fontId="170" fillId="0" borderId="95" xfId="93" applyFont="1" applyBorder="1"/>
    <xf numFmtId="3" fontId="83" fillId="0" borderId="133" xfId="93" applyNumberFormat="1" applyFont="1" applyBorder="1" applyAlignment="1">
      <alignment horizontal="right"/>
    </xf>
    <xf numFmtId="0" fontId="86" fillId="0" borderId="89" xfId="77" applyFont="1" applyBorder="1"/>
    <xf numFmtId="3" fontId="86" fillId="0" borderId="89" xfId="93" applyNumberFormat="1" applyFont="1" applyBorder="1"/>
    <xf numFmtId="3" fontId="86" fillId="0" borderId="97" xfId="93" applyNumberFormat="1" applyFont="1" applyBorder="1"/>
    <xf numFmtId="0" fontId="86" fillId="0" borderId="19" xfId="93" applyFont="1" applyBorder="1"/>
    <xf numFmtId="3" fontId="86" fillId="0" borderId="96" xfId="93" applyNumberFormat="1" applyFont="1" applyBorder="1" applyAlignment="1">
      <alignment horizontal="right"/>
    </xf>
    <xf numFmtId="0" fontId="86" fillId="0" borderId="16" xfId="93" applyFont="1" applyBorder="1"/>
    <xf numFmtId="3" fontId="86" fillId="0" borderId="16" xfId="93" applyNumberFormat="1" applyFont="1" applyBorder="1"/>
    <xf numFmtId="3" fontId="86" fillId="0" borderId="83" xfId="93" applyNumberFormat="1" applyFont="1" applyBorder="1"/>
    <xf numFmtId="3" fontId="187" fillId="0" borderId="31" xfId="77" applyNumberFormat="1" applyFont="1" applyBorder="1"/>
    <xf numFmtId="3" fontId="187" fillId="0" borderId="0" xfId="93" applyNumberFormat="1" applyFont="1"/>
    <xf numFmtId="3" fontId="83" fillId="30" borderId="0" xfId="93" applyNumberFormat="1" applyFont="1" applyFill="1"/>
    <xf numFmtId="3" fontId="83" fillId="30" borderId="31" xfId="93" applyNumberFormat="1" applyFont="1" applyFill="1" applyBorder="1" applyAlignment="1">
      <alignment horizontal="right"/>
    </xf>
    <xf numFmtId="0" fontId="83" fillId="0" borderId="32" xfId="95" applyFont="1" applyBorder="1" applyAlignment="1">
      <alignment horizontal="center"/>
    </xf>
    <xf numFmtId="0" fontId="83" fillId="0" borderId="58" xfId="95" applyFont="1" applyBorder="1" applyAlignment="1">
      <alignment horizontal="center"/>
    </xf>
    <xf numFmtId="0" fontId="86" fillId="0" borderId="43" xfId="95" applyFont="1" applyBorder="1" applyAlignment="1">
      <alignment horizontal="center"/>
    </xf>
    <xf numFmtId="0" fontId="86" fillId="0" borderId="54" xfId="95" applyFont="1" applyBorder="1" applyAlignment="1">
      <alignment horizontal="center"/>
    </xf>
    <xf numFmtId="3" fontId="83" fillId="0" borderId="89" xfId="95" applyNumberFormat="1" applyFont="1" applyBorder="1"/>
    <xf numFmtId="3" fontId="83" fillId="0" borderId="98" xfId="95" applyNumberFormat="1" applyFont="1" applyBorder="1"/>
    <xf numFmtId="3" fontId="83" fillId="0" borderId="97" xfId="95" applyNumberFormat="1" applyFont="1" applyBorder="1"/>
    <xf numFmtId="3" fontId="83" fillId="0" borderId="24" xfId="95" applyNumberFormat="1" applyFont="1" applyBorder="1"/>
    <xf numFmtId="3" fontId="83" fillId="0" borderId="32" xfId="95" applyNumberFormat="1" applyFont="1" applyBorder="1"/>
    <xf numFmtId="3" fontId="83" fillId="0" borderId="87" xfId="95" applyNumberFormat="1" applyFont="1" applyBorder="1"/>
    <xf numFmtId="3" fontId="83" fillId="0" borderId="43" xfId="95" applyNumberFormat="1" applyFont="1" applyBorder="1"/>
    <xf numFmtId="3" fontId="83" fillId="0" borderId="54" xfId="95" applyNumberFormat="1" applyFont="1" applyBorder="1"/>
    <xf numFmtId="0" fontId="83" fillId="0" borderId="128" xfId="95" applyFont="1" applyBorder="1" applyAlignment="1">
      <alignment horizontal="left"/>
    </xf>
    <xf numFmtId="0" fontId="83" fillId="0" borderId="117" xfId="95" applyFont="1" applyBorder="1" applyAlignment="1">
      <alignment horizontal="left"/>
    </xf>
    <xf numFmtId="3" fontId="83" fillId="0" borderId="128" xfId="95" applyNumberFormat="1" applyFont="1" applyBorder="1"/>
    <xf numFmtId="3" fontId="83" fillId="0" borderId="124" xfId="95" applyNumberFormat="1" applyFont="1" applyBorder="1"/>
    <xf numFmtId="3" fontId="83" fillId="0" borderId="136" xfId="95" applyNumberFormat="1" applyFont="1" applyBorder="1"/>
    <xf numFmtId="0" fontId="83" fillId="0" borderId="0" xfId="95" applyFont="1"/>
    <xf numFmtId="0" fontId="83" fillId="0" borderId="32" xfId="95" applyFont="1" applyBorder="1"/>
    <xf numFmtId="0" fontId="83" fillId="0" borderId="133" xfId="95" applyFont="1" applyBorder="1"/>
    <xf numFmtId="0" fontId="83" fillId="0" borderId="0" xfId="95" applyFont="1" applyAlignment="1">
      <alignment vertical="center"/>
    </xf>
    <xf numFmtId="0" fontId="83" fillId="0" borderId="55" xfId="95" applyFont="1" applyBorder="1"/>
    <xf numFmtId="3" fontId="83" fillId="0" borderId="0" xfId="95" applyNumberFormat="1" applyFont="1"/>
    <xf numFmtId="3" fontId="83" fillId="0" borderId="15" xfId="95" applyNumberFormat="1" applyFont="1" applyBorder="1"/>
    <xf numFmtId="3" fontId="83" fillId="0" borderId="85" xfId="95" applyNumberFormat="1" applyFont="1" applyBorder="1"/>
    <xf numFmtId="0" fontId="83" fillId="0" borderId="0" xfId="95" applyFont="1" applyAlignment="1">
      <alignment horizontal="left" vertical="center"/>
    </xf>
    <xf numFmtId="3" fontId="83" fillId="0" borderId="49" xfId="95" applyNumberFormat="1" applyFont="1" applyBorder="1"/>
    <xf numFmtId="0" fontId="83" fillId="0" borderId="89" xfId="95" applyFont="1" applyBorder="1" applyAlignment="1">
      <alignment horizontal="left" vertical="center"/>
    </xf>
    <xf numFmtId="0" fontId="83" fillId="0" borderId="98" xfId="95" applyFont="1" applyBorder="1"/>
    <xf numFmtId="0" fontId="83" fillId="0" borderId="15" xfId="95" applyFont="1" applyBorder="1"/>
    <xf numFmtId="0" fontId="83" fillId="0" borderId="134" xfId="95" applyFont="1" applyBorder="1"/>
    <xf numFmtId="0" fontId="83" fillId="0" borderId="61" xfId="95" applyFont="1" applyBorder="1"/>
    <xf numFmtId="0" fontId="83" fillId="0" borderId="96" xfId="95" applyFont="1" applyBorder="1"/>
    <xf numFmtId="3" fontId="83" fillId="0" borderId="16" xfId="95" applyNumberFormat="1" applyFont="1" applyBorder="1"/>
    <xf numFmtId="3" fontId="83" fillId="0" borderId="61" xfId="95" applyNumberFormat="1" applyFont="1" applyBorder="1"/>
    <xf numFmtId="3" fontId="83" fillId="0" borderId="83" xfId="95" applyNumberFormat="1" applyFont="1" applyBorder="1"/>
    <xf numFmtId="0" fontId="83" fillId="0" borderId="26" xfId="98" applyFont="1" applyBorder="1"/>
    <xf numFmtId="0" fontId="83" fillId="0" borderId="24" xfId="98" applyFont="1" applyBorder="1"/>
    <xf numFmtId="0" fontId="83" fillId="0" borderId="130" xfId="98" applyFont="1" applyBorder="1"/>
    <xf numFmtId="3" fontId="83" fillId="0" borderId="32" xfId="98" applyNumberFormat="1" applyFont="1" applyBorder="1"/>
    <xf numFmtId="2" fontId="83" fillId="0" borderId="49" xfId="98" applyNumberFormat="1" applyFont="1" applyBorder="1"/>
    <xf numFmtId="3" fontId="83" fillId="0" borderId="58" xfId="98" applyNumberFormat="1" applyFont="1" applyBorder="1"/>
    <xf numFmtId="3" fontId="83" fillId="0" borderId="26" xfId="98" applyNumberFormat="1" applyFont="1" applyBorder="1"/>
    <xf numFmtId="3" fontId="83" fillId="0" borderId="135" xfId="98" applyNumberFormat="1" applyFont="1" applyBorder="1"/>
    <xf numFmtId="3" fontId="83" fillId="0" borderId="78" xfId="98" applyNumberFormat="1" applyFont="1" applyBorder="1"/>
    <xf numFmtId="0" fontId="83" fillId="0" borderId="40" xfId="98" applyFont="1" applyBorder="1"/>
    <xf numFmtId="0" fontId="83" fillId="0" borderId="57" xfId="98" applyFont="1" applyBorder="1"/>
    <xf numFmtId="0" fontId="83" fillId="0" borderId="101" xfId="98" applyFont="1" applyBorder="1"/>
    <xf numFmtId="0" fontId="83" fillId="0" borderId="141" xfId="98" applyFont="1" applyBorder="1"/>
    <xf numFmtId="3" fontId="83" fillId="0" borderId="55" xfId="98" applyNumberFormat="1" applyFont="1" applyBorder="1"/>
    <xf numFmtId="2" fontId="83" fillId="0" borderId="134" xfId="98" applyNumberFormat="1" applyFont="1" applyBorder="1"/>
    <xf numFmtId="3" fontId="83" fillId="0" borderId="56" xfId="98" applyNumberFormat="1" applyFont="1" applyBorder="1"/>
    <xf numFmtId="3" fontId="83" fillId="0" borderId="57" xfId="98" applyNumberFormat="1" applyFont="1" applyBorder="1"/>
    <xf numFmtId="3" fontId="83" fillId="0" borderId="88" xfId="98" applyNumberFormat="1" applyFont="1" applyBorder="1"/>
    <xf numFmtId="3" fontId="83" fillId="0" borderId="24" xfId="98" applyNumberFormat="1" applyFont="1" applyBorder="1"/>
    <xf numFmtId="0" fontId="86" fillId="0" borderId="26" xfId="98" applyFont="1" applyBorder="1" applyAlignment="1">
      <alignment horizontal="left"/>
    </xf>
    <xf numFmtId="3" fontId="86" fillId="0" borderId="58" xfId="98" applyNumberFormat="1" applyFont="1" applyBorder="1"/>
    <xf numFmtId="3" fontId="86" fillId="0" borderId="24" xfId="98" applyNumberFormat="1" applyFont="1" applyBorder="1"/>
    <xf numFmtId="3" fontId="86" fillId="0" borderId="78" xfId="98" applyNumberFormat="1" applyFont="1" applyBorder="1"/>
    <xf numFmtId="3" fontId="86" fillId="0" borderId="87" xfId="98" applyNumberFormat="1" applyFont="1" applyBorder="1"/>
    <xf numFmtId="0" fontId="83" fillId="0" borderId="95" xfId="98" applyFont="1" applyBorder="1"/>
    <xf numFmtId="0" fontId="83" fillId="0" borderId="89" xfId="98" applyFont="1" applyBorder="1"/>
    <xf numFmtId="0" fontId="83" fillId="0" borderId="133" xfId="98" applyFont="1" applyBorder="1"/>
    <xf numFmtId="3" fontId="83" fillId="0" borderId="98" xfId="98" applyNumberFormat="1" applyFont="1" applyBorder="1"/>
    <xf numFmtId="2" fontId="83" fillId="0" borderId="139" xfId="98" applyNumberFormat="1" applyFont="1" applyBorder="1"/>
    <xf numFmtId="3" fontId="83" fillId="0" borderId="140" xfId="98" applyNumberFormat="1" applyFont="1" applyBorder="1"/>
    <xf numFmtId="3" fontId="83" fillId="0" borderId="95" xfId="98" applyNumberFormat="1" applyFont="1" applyBorder="1"/>
    <xf numFmtId="3" fontId="83" fillId="0" borderId="112" xfId="98" applyNumberFormat="1" applyFont="1" applyBorder="1"/>
    <xf numFmtId="0" fontId="86" fillId="0" borderId="26" xfId="98" applyFont="1" applyBorder="1"/>
    <xf numFmtId="0" fontId="83" fillId="0" borderId="49" xfId="98" applyFont="1" applyBorder="1"/>
    <xf numFmtId="164" fontId="83" fillId="0" borderId="134" xfId="98" applyNumberFormat="1" applyFont="1" applyBorder="1"/>
    <xf numFmtId="0" fontId="86" fillId="0" borderId="17" xfId="98" applyFont="1" applyBorder="1"/>
    <xf numFmtId="0" fontId="86" fillId="0" borderId="22" xfId="98" applyFont="1" applyBorder="1"/>
    <xf numFmtId="3" fontId="86" fillId="0" borderId="22" xfId="98" applyNumberFormat="1" applyFont="1" applyBorder="1"/>
    <xf numFmtId="165" fontId="86" fillId="0" borderId="44" xfId="98" applyNumberFormat="1" applyFont="1" applyBorder="1"/>
    <xf numFmtId="3" fontId="86" fillId="0" borderId="54" xfId="98" applyNumberFormat="1" applyFont="1" applyBorder="1"/>
    <xf numFmtId="3" fontId="86" fillId="0" borderId="44" xfId="98" applyNumberFormat="1" applyFont="1" applyBorder="1"/>
    <xf numFmtId="3" fontId="86" fillId="0" borderId="76" xfId="98" applyNumberFormat="1" applyFont="1" applyBorder="1"/>
    <xf numFmtId="3" fontId="86" fillId="0" borderId="80" xfId="98" applyNumberFormat="1" applyFont="1" applyBorder="1"/>
    <xf numFmtId="0" fontId="86" fillId="0" borderId="20" xfId="98" applyFont="1" applyBorder="1"/>
    <xf numFmtId="0" fontId="83" fillId="0" borderId="91" xfId="98" applyFont="1" applyBorder="1"/>
    <xf numFmtId="3" fontId="83" fillId="0" borderId="91" xfId="98" applyNumberFormat="1" applyFont="1" applyBorder="1"/>
    <xf numFmtId="2" fontId="83" fillId="0" borderId="91" xfId="98" applyNumberFormat="1" applyFont="1" applyBorder="1"/>
    <xf numFmtId="3" fontId="86" fillId="0" borderId="60" xfId="98" applyNumberFormat="1" applyFont="1" applyBorder="1"/>
    <xf numFmtId="3" fontId="86" fillId="0" borderId="91" xfId="98" applyNumberFormat="1" applyFont="1" applyBorder="1"/>
    <xf numFmtId="3" fontId="86" fillId="0" borderId="77" xfId="98" applyNumberFormat="1" applyFont="1" applyBorder="1"/>
    <xf numFmtId="3" fontId="86" fillId="0" borderId="81" xfId="98" applyNumberFormat="1" applyFont="1" applyBorder="1"/>
    <xf numFmtId="0" fontId="86" fillId="0" borderId="82" xfId="98" applyFont="1" applyBorder="1" applyAlignment="1">
      <alignment horizontal="center" vertical="center"/>
    </xf>
    <xf numFmtId="3" fontId="86" fillId="0" borderId="23" xfId="98" applyNumberFormat="1" applyFont="1" applyBorder="1" applyAlignment="1">
      <alignment horizontal="center" vertical="center"/>
    </xf>
    <xf numFmtId="0" fontId="86" fillId="0" borderId="18" xfId="98" applyFont="1" applyBorder="1" applyAlignment="1">
      <alignment horizontal="center" vertical="center"/>
    </xf>
    <xf numFmtId="3" fontId="86" fillId="0" borderId="18" xfId="98" applyNumberFormat="1" applyFont="1" applyBorder="1" applyAlignment="1">
      <alignment horizontal="center" vertical="center"/>
    </xf>
    <xf numFmtId="0" fontId="86" fillId="0" borderId="44" xfId="98" applyFont="1" applyBorder="1" applyAlignment="1">
      <alignment horizontal="center" vertical="center" wrapText="1"/>
    </xf>
    <xf numFmtId="0" fontId="86" fillId="0" borderId="54" xfId="98" applyFont="1" applyBorder="1" applyAlignment="1">
      <alignment horizontal="center" vertical="center" wrapText="1"/>
    </xf>
    <xf numFmtId="3" fontId="86" fillId="0" borderId="19" xfId="98" applyNumberFormat="1" applyFont="1" applyBorder="1" applyAlignment="1">
      <alignment horizontal="center" vertical="center"/>
    </xf>
    <xf numFmtId="0" fontId="86" fillId="0" borderId="70" xfId="98" applyFont="1" applyBorder="1" applyAlignment="1">
      <alignment horizontal="center" vertical="center"/>
    </xf>
    <xf numFmtId="0" fontId="83" fillId="0" borderId="0" xfId="98" applyFont="1" applyAlignment="1">
      <alignment horizontal="right"/>
    </xf>
    <xf numFmtId="3" fontId="77" fillId="0" borderId="91" xfId="0" applyNumberFormat="1" applyFont="1" applyBorder="1"/>
    <xf numFmtId="3" fontId="176" fillId="0" borderId="71" xfId="96" applyNumberFormat="1" applyFont="1" applyBorder="1"/>
    <xf numFmtId="0" fontId="188" fillId="0" borderId="0" xfId="101" applyFont="1" applyAlignment="1">
      <alignment horizontal="center"/>
    </xf>
    <xf numFmtId="0" fontId="15" fillId="0" borderId="0" xfId="101" applyFont="1"/>
    <xf numFmtId="0" fontId="15" fillId="0" borderId="0" xfId="101" applyFont="1" applyAlignment="1">
      <alignment horizontal="right"/>
    </xf>
    <xf numFmtId="0" fontId="188" fillId="0" borderId="28" xfId="101" applyFont="1" applyBorder="1" applyAlignment="1">
      <alignment horizontal="center" vertical="center"/>
    </xf>
    <xf numFmtId="0" fontId="188" fillId="0" borderId="78" xfId="101" applyFont="1" applyBorder="1"/>
    <xf numFmtId="3" fontId="189" fillId="0" borderId="122" xfId="101" applyNumberFormat="1" applyFont="1" applyBorder="1"/>
    <xf numFmtId="3" fontId="189" fillId="0" borderId="32" xfId="101" applyNumberFormat="1" applyFont="1" applyBorder="1"/>
    <xf numFmtId="3" fontId="189" fillId="0" borderId="58" xfId="101" applyNumberFormat="1" applyFont="1" applyBorder="1"/>
    <xf numFmtId="0" fontId="188" fillId="0" borderId="88" xfId="101" applyFont="1" applyBorder="1"/>
    <xf numFmtId="3" fontId="189" fillId="0" borderId="138" xfId="101" applyNumberFormat="1" applyFont="1" applyBorder="1"/>
    <xf numFmtId="3" fontId="189" fillId="0" borderId="55" xfId="101" applyNumberFormat="1" applyFont="1" applyBorder="1"/>
    <xf numFmtId="3" fontId="189" fillId="0" borderId="56" xfId="101" applyNumberFormat="1" applyFont="1" applyBorder="1"/>
    <xf numFmtId="0" fontId="100" fillId="0" borderId="77" xfId="101" applyFont="1" applyBorder="1" applyAlignment="1">
      <alignment horizontal="left" vertical="center" wrapText="1"/>
    </xf>
    <xf numFmtId="3" fontId="188" fillId="0" borderId="100" xfId="101" applyNumberFormat="1" applyFont="1" applyBorder="1" applyAlignment="1">
      <alignment horizontal="right" vertical="center"/>
    </xf>
    <xf numFmtId="3" fontId="188" fillId="0" borderId="21" xfId="101" applyNumberFormat="1" applyFont="1" applyBorder="1" applyAlignment="1">
      <alignment horizontal="right" vertical="center"/>
    </xf>
    <xf numFmtId="3" fontId="188" fillId="0" borderId="60" xfId="101" applyNumberFormat="1" applyFont="1" applyBorder="1" applyAlignment="1">
      <alignment horizontal="right" vertical="center"/>
    </xf>
    <xf numFmtId="3" fontId="134" fillId="0" borderId="0" xfId="76" applyNumberFormat="1" applyFont="1" applyAlignment="1">
      <alignment horizontal="center"/>
    </xf>
    <xf numFmtId="3" fontId="190" fillId="0" borderId="82" xfId="76" applyNumberFormat="1" applyFont="1" applyBorder="1" applyAlignment="1">
      <alignment horizontal="right"/>
    </xf>
    <xf numFmtId="3" fontId="190" fillId="0" borderId="82" xfId="76" applyNumberFormat="1" applyFont="1" applyBorder="1" applyAlignment="1">
      <alignment horizontal="center" vertical="center"/>
    </xf>
    <xf numFmtId="3" fontId="191" fillId="0" borderId="23" xfId="76" applyNumberFormat="1" applyFont="1" applyBorder="1" applyAlignment="1">
      <alignment horizontal="center"/>
    </xf>
    <xf numFmtId="3" fontId="192" fillId="0" borderId="23" xfId="76" applyNumberFormat="1" applyFont="1" applyBorder="1" applyAlignment="1">
      <alignment horizontal="left"/>
    </xf>
    <xf numFmtId="3" fontId="191" fillId="0" borderId="18" xfId="76" applyNumberFormat="1" applyFont="1" applyBorder="1" applyAlignment="1">
      <alignment horizontal="center"/>
    </xf>
    <xf numFmtId="3" fontId="191" fillId="0" borderId="18" xfId="76" applyNumberFormat="1" applyFont="1" applyBorder="1" applyAlignment="1">
      <alignment horizontal="center" vertical="center"/>
    </xf>
    <xf numFmtId="3" fontId="192" fillId="0" borderId="18" xfId="76" applyNumberFormat="1" applyFont="1" applyBorder="1" applyAlignment="1">
      <alignment horizontal="left"/>
    </xf>
    <xf numFmtId="3" fontId="191" fillId="0" borderId="19" xfId="76" applyNumberFormat="1" applyFont="1" applyBorder="1" applyAlignment="1">
      <alignment horizontal="center" vertical="center"/>
    </xf>
    <xf numFmtId="3" fontId="191" fillId="0" borderId="70" xfId="76" applyNumberFormat="1" applyFont="1" applyBorder="1" applyAlignment="1">
      <alignment horizontal="center" vertical="center" wrapText="1"/>
    </xf>
    <xf numFmtId="3" fontId="193" fillId="0" borderId="112" xfId="76" applyNumberFormat="1" applyFont="1" applyBorder="1" applyAlignment="1">
      <alignment horizontal="left"/>
    </xf>
    <xf numFmtId="3" fontId="193" fillId="0" borderId="112" xfId="76" applyNumberFormat="1" applyFont="1" applyBorder="1" applyAlignment="1">
      <alignment horizontal="right"/>
    </xf>
    <xf numFmtId="10" fontId="193" fillId="0" borderId="112" xfId="76" applyNumberFormat="1" applyFont="1" applyBorder="1" applyAlignment="1">
      <alignment horizontal="right"/>
    </xf>
    <xf numFmtId="3" fontId="194" fillId="0" borderId="112" xfId="76" applyNumberFormat="1" applyFont="1" applyBorder="1" applyAlignment="1">
      <alignment horizontal="right"/>
    </xf>
    <xf numFmtId="10" fontId="194" fillId="0" borderId="112" xfId="76" applyNumberFormat="1" applyFont="1" applyBorder="1" applyAlignment="1">
      <alignment horizontal="right"/>
    </xf>
    <xf numFmtId="3" fontId="194" fillId="0" borderId="0" xfId="76" applyNumberFormat="1" applyFont="1"/>
    <xf numFmtId="3" fontId="195" fillId="0" borderId="0" xfId="76" applyNumberFormat="1" applyFont="1"/>
    <xf numFmtId="3" fontId="196" fillId="0" borderId="112" xfId="76" applyNumberFormat="1" applyFont="1" applyBorder="1" applyAlignment="1">
      <alignment horizontal="right"/>
    </xf>
    <xf numFmtId="3" fontId="193" fillId="0" borderId="70" xfId="76" applyNumberFormat="1" applyFont="1" applyBorder="1" applyAlignment="1">
      <alignment horizontal="left"/>
    </xf>
    <xf numFmtId="3" fontId="193" fillId="0" borderId="69" xfId="76" applyNumberFormat="1" applyFont="1" applyBorder="1" applyAlignment="1">
      <alignment horizontal="right"/>
    </xf>
    <xf numFmtId="10" fontId="193" fillId="0" borderId="69" xfId="76" applyNumberFormat="1" applyFont="1" applyBorder="1" applyAlignment="1">
      <alignment horizontal="right"/>
    </xf>
    <xf numFmtId="10" fontId="194" fillId="0" borderId="69" xfId="76" applyNumberFormat="1" applyFont="1" applyBorder="1" applyAlignment="1">
      <alignment horizontal="right"/>
    </xf>
    <xf numFmtId="10" fontId="193" fillId="0" borderId="76" xfId="76" applyNumberFormat="1" applyFont="1" applyBorder="1" applyAlignment="1">
      <alignment horizontal="right"/>
    </xf>
    <xf numFmtId="3" fontId="194" fillId="0" borderId="17" xfId="76" applyNumberFormat="1" applyFont="1" applyBorder="1" applyAlignment="1">
      <alignment horizontal="left"/>
    </xf>
    <xf numFmtId="3" fontId="194" fillId="0" borderId="77" xfId="76" applyNumberFormat="1" applyFont="1" applyBorder="1" applyAlignment="1">
      <alignment horizontal="right"/>
    </xf>
    <xf numFmtId="10" fontId="194" fillId="0" borderId="77" xfId="76" applyNumberFormat="1" applyFont="1" applyBorder="1" applyAlignment="1">
      <alignment horizontal="right"/>
    </xf>
    <xf numFmtId="3" fontId="193" fillId="0" borderId="17" xfId="76" applyNumberFormat="1" applyFont="1" applyBorder="1" applyAlignment="1">
      <alignment horizontal="left"/>
    </xf>
    <xf numFmtId="3" fontId="193" fillId="0" borderId="77" xfId="76" applyNumberFormat="1" applyFont="1" applyBorder="1" applyAlignment="1">
      <alignment horizontal="right"/>
    </xf>
    <xf numFmtId="10" fontId="193" fillId="0" borderId="77" xfId="76" applyNumberFormat="1" applyFont="1" applyBorder="1" applyAlignment="1">
      <alignment horizontal="right"/>
    </xf>
    <xf numFmtId="10" fontId="194" fillId="0" borderId="70" xfId="76" applyNumberFormat="1" applyFont="1" applyBorder="1" applyAlignment="1">
      <alignment horizontal="right"/>
    </xf>
    <xf numFmtId="3" fontId="194" fillId="0" borderId="69" xfId="76" applyNumberFormat="1" applyFont="1" applyBorder="1" applyAlignment="1">
      <alignment horizontal="center" vertical="center"/>
    </xf>
    <xf numFmtId="3" fontId="194" fillId="0" borderId="69" xfId="76" applyNumberFormat="1" applyFont="1" applyBorder="1" applyAlignment="1">
      <alignment horizontal="right"/>
    </xf>
    <xf numFmtId="3" fontId="197" fillId="0" borderId="69" xfId="76" applyNumberFormat="1" applyFont="1" applyBorder="1" applyAlignment="1">
      <alignment horizontal="center"/>
    </xf>
    <xf numFmtId="3" fontId="193" fillId="0" borderId="69" xfId="76" applyNumberFormat="1" applyFont="1" applyBorder="1" applyAlignment="1">
      <alignment horizontal="justify"/>
    </xf>
    <xf numFmtId="3" fontId="193" fillId="0" borderId="78" xfId="76" applyNumberFormat="1" applyFont="1" applyBorder="1" applyAlignment="1">
      <alignment horizontal="left"/>
    </xf>
    <xf numFmtId="3" fontId="193" fillId="0" borderId="78" xfId="76" applyNumberFormat="1" applyFont="1" applyBorder="1" applyAlignment="1">
      <alignment horizontal="right"/>
    </xf>
    <xf numFmtId="3" fontId="193" fillId="0" borderId="88" xfId="76" applyNumberFormat="1" applyFont="1" applyBorder="1" applyAlignment="1">
      <alignment horizontal="left"/>
    </xf>
    <xf numFmtId="3" fontId="194" fillId="0" borderId="77" xfId="76" applyNumberFormat="1" applyFont="1" applyBorder="1" applyAlignment="1">
      <alignment horizontal="left"/>
    </xf>
    <xf numFmtId="3" fontId="197" fillId="0" borderId="82" xfId="76" applyNumberFormat="1" applyFont="1" applyBorder="1" applyAlignment="1">
      <alignment horizontal="center"/>
    </xf>
    <xf numFmtId="3" fontId="194" fillId="0" borderId="82" xfId="76" applyNumberFormat="1" applyFont="1" applyBorder="1" applyAlignment="1">
      <alignment horizontal="right"/>
    </xf>
    <xf numFmtId="10" fontId="193" fillId="0" borderId="70" xfId="76" applyNumberFormat="1" applyFont="1" applyBorder="1" applyAlignment="1">
      <alignment horizontal="right"/>
    </xf>
    <xf numFmtId="3" fontId="194" fillId="0" borderId="0" xfId="76" applyNumberFormat="1" applyFont="1" applyAlignment="1">
      <alignment horizontal="justify"/>
    </xf>
    <xf numFmtId="3" fontId="195" fillId="0" borderId="0" xfId="76" applyNumberFormat="1" applyFont="1" applyAlignment="1">
      <alignment horizontal="justify"/>
    </xf>
    <xf numFmtId="3" fontId="193" fillId="0" borderId="75" xfId="76" applyNumberFormat="1" applyFont="1" applyBorder="1" applyAlignment="1">
      <alignment horizontal="right"/>
    </xf>
    <xf numFmtId="3" fontId="193" fillId="0" borderId="75" xfId="76" applyNumberFormat="1" applyFont="1" applyBorder="1"/>
    <xf numFmtId="3" fontId="193" fillId="0" borderId="112" xfId="76" applyNumberFormat="1" applyFont="1" applyBorder="1" applyAlignment="1">
      <alignment horizontal="justify"/>
    </xf>
    <xf numFmtId="3" fontId="193" fillId="0" borderId="112" xfId="76" applyNumberFormat="1" applyFont="1" applyBorder="1"/>
    <xf numFmtId="3" fontId="193" fillId="0" borderId="76" xfId="76" applyNumberFormat="1" applyFont="1" applyBorder="1" applyAlignment="1">
      <alignment horizontal="justify"/>
    </xf>
    <xf numFmtId="3" fontId="193" fillId="0" borderId="76" xfId="76" applyNumberFormat="1" applyFont="1" applyBorder="1" applyAlignment="1">
      <alignment horizontal="right"/>
    </xf>
    <xf numFmtId="3" fontId="194" fillId="0" borderId="76" xfId="76" applyNumberFormat="1" applyFont="1" applyBorder="1" applyAlignment="1">
      <alignment horizontal="right"/>
    </xf>
    <xf numFmtId="10" fontId="194" fillId="0" borderId="76" xfId="76" applyNumberFormat="1" applyFont="1" applyBorder="1" applyAlignment="1">
      <alignment horizontal="right"/>
    </xf>
    <xf numFmtId="3" fontId="194" fillId="0" borderId="70" xfId="76" applyNumberFormat="1" applyFont="1" applyBorder="1" applyAlignment="1">
      <alignment horizontal="left"/>
    </xf>
    <xf numFmtId="3" fontId="194" fillId="0" borderId="70" xfId="76" applyNumberFormat="1" applyFont="1" applyBorder="1" applyAlignment="1">
      <alignment horizontal="right"/>
    </xf>
    <xf numFmtId="3" fontId="194" fillId="0" borderId="77" xfId="76" applyNumberFormat="1" applyFont="1" applyBorder="1" applyAlignment="1">
      <alignment horizontal="left" vertical="center"/>
    </xf>
    <xf numFmtId="3" fontId="140" fillId="0" borderId="112" xfId="76" applyNumberFormat="1" applyFont="1" applyBorder="1" applyAlignment="1">
      <alignment horizontal="left"/>
    </xf>
    <xf numFmtId="3" fontId="140" fillId="0" borderId="112" xfId="76" applyNumberFormat="1" applyFont="1" applyBorder="1" applyAlignment="1">
      <alignment horizontal="right"/>
    </xf>
    <xf numFmtId="10" fontId="140" fillId="0" borderId="112" xfId="76" applyNumberFormat="1" applyFont="1" applyBorder="1" applyAlignment="1">
      <alignment horizontal="right"/>
    </xf>
    <xf numFmtId="3" fontId="134" fillId="0" borderId="112" xfId="76" applyNumberFormat="1" applyFont="1" applyBorder="1" applyAlignment="1">
      <alignment horizontal="right"/>
    </xf>
    <xf numFmtId="10" fontId="134" fillId="0" borderId="112" xfId="76" applyNumberFormat="1" applyFont="1" applyBorder="1" applyAlignment="1">
      <alignment horizontal="right"/>
    </xf>
    <xf numFmtId="3" fontId="134" fillId="0" borderId="0" xfId="76" applyNumberFormat="1" applyFont="1"/>
    <xf numFmtId="3" fontId="198" fillId="0" borderId="112" xfId="76" applyNumberFormat="1" applyFont="1" applyBorder="1" applyAlignment="1">
      <alignment horizontal="right"/>
    </xf>
    <xf numFmtId="3" fontId="140" fillId="0" borderId="70" xfId="76" applyNumberFormat="1" applyFont="1" applyBorder="1" applyAlignment="1">
      <alignment horizontal="left"/>
    </xf>
    <xf numFmtId="3" fontId="140" fillId="0" borderId="69" xfId="76" applyNumberFormat="1" applyFont="1" applyBorder="1" applyAlignment="1">
      <alignment horizontal="right"/>
    </xf>
    <xf numFmtId="10" fontId="140" fillId="0" borderId="69" xfId="76" applyNumberFormat="1" applyFont="1" applyBorder="1" applyAlignment="1">
      <alignment horizontal="right"/>
    </xf>
    <xf numFmtId="10" fontId="134" fillId="0" borderId="69" xfId="76" applyNumberFormat="1" applyFont="1" applyBorder="1" applyAlignment="1">
      <alignment horizontal="right"/>
    </xf>
    <xf numFmtId="10" fontId="140" fillId="0" borderId="76" xfId="76" applyNumberFormat="1" applyFont="1" applyBorder="1" applyAlignment="1">
      <alignment horizontal="right"/>
    </xf>
    <xf numFmtId="3" fontId="134" fillId="0" borderId="17" xfId="76" applyNumberFormat="1" applyFont="1" applyBorder="1" applyAlignment="1">
      <alignment horizontal="left"/>
    </xf>
    <xf numFmtId="3" fontId="134" fillId="0" borderId="77" xfId="76" applyNumberFormat="1" applyFont="1" applyBorder="1" applyAlignment="1">
      <alignment horizontal="right"/>
    </xf>
    <xf numFmtId="10" fontId="134" fillId="0" borderId="77" xfId="76" applyNumberFormat="1" applyFont="1" applyBorder="1" applyAlignment="1">
      <alignment horizontal="right"/>
    </xf>
    <xf numFmtId="3" fontId="140" fillId="0" borderId="17" xfId="76" applyNumberFormat="1" applyFont="1" applyBorder="1" applyAlignment="1">
      <alignment horizontal="left"/>
    </xf>
    <xf numFmtId="3" fontId="140" fillId="0" borderId="77" xfId="76" applyNumberFormat="1" applyFont="1" applyBorder="1" applyAlignment="1">
      <alignment horizontal="right"/>
    </xf>
    <xf numFmtId="10" fontId="140" fillId="0" borderId="77" xfId="76" applyNumberFormat="1" applyFont="1" applyBorder="1" applyAlignment="1">
      <alignment horizontal="right"/>
    </xf>
    <xf numFmtId="10" fontId="134" fillId="0" borderId="70" xfId="76" applyNumberFormat="1" applyFont="1" applyBorder="1" applyAlignment="1">
      <alignment horizontal="right"/>
    </xf>
    <xf numFmtId="3" fontId="134" fillId="0" borderId="69" xfId="76" applyNumberFormat="1" applyFont="1" applyBorder="1" applyAlignment="1">
      <alignment horizontal="center" vertical="center"/>
    </xf>
    <xf numFmtId="3" fontId="134" fillId="0" borderId="69" xfId="76" applyNumberFormat="1" applyFont="1" applyBorder="1" applyAlignment="1">
      <alignment horizontal="right"/>
    </xf>
    <xf numFmtId="3" fontId="199" fillId="0" borderId="69" xfId="76" applyNumberFormat="1" applyFont="1" applyBorder="1" applyAlignment="1">
      <alignment horizontal="center"/>
    </xf>
    <xf numFmtId="3" fontId="140" fillId="0" borderId="69" xfId="76" applyNumberFormat="1" applyFont="1" applyBorder="1" applyAlignment="1">
      <alignment horizontal="justify"/>
    </xf>
    <xf numFmtId="10" fontId="140" fillId="30" borderId="112" xfId="76" applyNumberFormat="1" applyFont="1" applyFill="1" applyBorder="1" applyAlignment="1">
      <alignment horizontal="right"/>
    </xf>
    <xf numFmtId="3" fontId="140" fillId="0" borderId="78" xfId="76" applyNumberFormat="1" applyFont="1" applyBorder="1" applyAlignment="1">
      <alignment horizontal="left"/>
    </xf>
    <xf numFmtId="3" fontId="140" fillId="0" borderId="78" xfId="76" applyNumberFormat="1" applyFont="1" applyBorder="1" applyAlignment="1">
      <alignment horizontal="right"/>
    </xf>
    <xf numFmtId="10" fontId="140" fillId="0" borderId="78" xfId="76" applyNumberFormat="1" applyFont="1" applyBorder="1" applyAlignment="1">
      <alignment horizontal="right"/>
    </xf>
    <xf numFmtId="3" fontId="140" fillId="0" borderId="88" xfId="76" applyNumberFormat="1" applyFont="1" applyBorder="1" applyAlignment="1">
      <alignment horizontal="left"/>
    </xf>
    <xf numFmtId="3" fontId="140" fillId="30" borderId="78" xfId="76" applyNumberFormat="1" applyFont="1" applyFill="1" applyBorder="1" applyAlignment="1">
      <alignment horizontal="right"/>
    </xf>
    <xf numFmtId="3" fontId="140" fillId="0" borderId="88" xfId="76" applyNumberFormat="1" applyFont="1" applyBorder="1" applyAlignment="1">
      <alignment horizontal="right"/>
    </xf>
    <xf numFmtId="3" fontId="134" fillId="0" borderId="77" xfId="76" applyNumberFormat="1" applyFont="1" applyBorder="1" applyAlignment="1">
      <alignment horizontal="left"/>
    </xf>
    <xf numFmtId="3" fontId="199" fillId="0" borderId="82" xfId="76" applyNumberFormat="1" applyFont="1" applyBorder="1" applyAlignment="1">
      <alignment horizontal="center"/>
    </xf>
    <xf numFmtId="3" fontId="134" fillId="0" borderId="82" xfId="76" applyNumberFormat="1" applyFont="1" applyBorder="1" applyAlignment="1">
      <alignment horizontal="right"/>
    </xf>
    <xf numFmtId="10" fontId="140" fillId="0" borderId="70" xfId="76" applyNumberFormat="1" applyFont="1" applyBorder="1" applyAlignment="1">
      <alignment horizontal="right"/>
    </xf>
    <xf numFmtId="10" fontId="140" fillId="0" borderId="70" xfId="76" applyNumberFormat="1" applyFont="1" applyBorder="1"/>
    <xf numFmtId="3" fontId="134" fillId="0" borderId="0" xfId="76" applyNumberFormat="1" applyFont="1" applyAlignment="1">
      <alignment horizontal="justify"/>
    </xf>
    <xf numFmtId="3" fontId="135" fillId="0" borderId="0" xfId="76" applyNumberFormat="1" applyFont="1" applyAlignment="1">
      <alignment horizontal="justify"/>
    </xf>
    <xf numFmtId="3" fontId="140" fillId="0" borderId="82" xfId="76" applyNumberFormat="1" applyFont="1" applyBorder="1" applyAlignment="1">
      <alignment horizontal="right"/>
    </xf>
    <xf numFmtId="3" fontId="140" fillId="0" borderId="75" xfId="76" applyNumberFormat="1" applyFont="1" applyBorder="1" applyAlignment="1">
      <alignment wrapText="1"/>
    </xf>
    <xf numFmtId="3" fontId="140" fillId="0" borderId="75" xfId="76" applyNumberFormat="1" applyFont="1" applyBorder="1" applyAlignment="1">
      <alignment horizontal="right"/>
    </xf>
    <xf numFmtId="3" fontId="140" fillId="0" borderId="75" xfId="76" applyNumberFormat="1" applyFont="1" applyBorder="1"/>
    <xf numFmtId="3" fontId="140" fillId="0" borderId="112" xfId="76" applyNumberFormat="1" applyFont="1" applyBorder="1" applyAlignment="1">
      <alignment horizontal="justify"/>
    </xf>
    <xf numFmtId="3" fontId="140" fillId="0" borderId="140" xfId="76" applyNumberFormat="1" applyFont="1" applyBorder="1" applyAlignment="1">
      <alignment horizontal="right"/>
    </xf>
    <xf numFmtId="3" fontId="140" fillId="0" borderId="112" xfId="76" applyNumberFormat="1" applyFont="1" applyBorder="1"/>
    <xf numFmtId="3" fontId="140" fillId="0" borderId="76" xfId="76" applyNumberFormat="1" applyFont="1" applyBorder="1" applyAlignment="1">
      <alignment horizontal="justify"/>
    </xf>
    <xf numFmtId="3" fontId="140" fillId="0" borderId="76" xfId="76" applyNumberFormat="1" applyFont="1" applyBorder="1" applyAlignment="1">
      <alignment horizontal="right"/>
    </xf>
    <xf numFmtId="3" fontId="134" fillId="0" borderId="76" xfId="76" applyNumberFormat="1" applyFont="1" applyBorder="1" applyAlignment="1">
      <alignment horizontal="right"/>
    </xf>
    <xf numFmtId="10" fontId="134" fillId="0" borderId="76" xfId="76" applyNumberFormat="1" applyFont="1" applyBorder="1" applyAlignment="1">
      <alignment horizontal="right"/>
    </xf>
    <xf numFmtId="10" fontId="140" fillId="0" borderId="76" xfId="76" applyNumberFormat="1" applyFont="1" applyBorder="1"/>
    <xf numFmtId="3" fontId="134" fillId="0" borderId="70" xfId="76" applyNumberFormat="1" applyFont="1" applyBorder="1" applyAlignment="1">
      <alignment horizontal="left"/>
    </xf>
    <xf numFmtId="3" fontId="134" fillId="0" borderId="70" xfId="76" applyNumberFormat="1" applyFont="1" applyBorder="1" applyAlignment="1">
      <alignment horizontal="right"/>
    </xf>
    <xf numFmtId="3" fontId="134" fillId="0" borderId="77" xfId="76" applyNumberFormat="1" applyFont="1" applyBorder="1" applyAlignment="1">
      <alignment horizontal="left" vertical="center"/>
    </xf>
    <xf numFmtId="3" fontId="134" fillId="0" borderId="23" xfId="76" applyNumberFormat="1" applyFont="1" applyBorder="1" applyAlignment="1">
      <alignment horizontal="center"/>
    </xf>
    <xf numFmtId="3" fontId="135" fillId="0" borderId="0" xfId="76" applyNumberFormat="1" applyFont="1" applyAlignment="1">
      <alignment horizontal="center"/>
    </xf>
    <xf numFmtId="3" fontId="134" fillId="0" borderId="18" xfId="76" applyNumberFormat="1" applyFont="1" applyBorder="1" applyAlignment="1">
      <alignment horizontal="center" vertical="center"/>
    </xf>
    <xf numFmtId="3" fontId="134" fillId="30" borderId="70" xfId="76" applyNumberFormat="1" applyFont="1" applyFill="1" applyBorder="1" applyAlignment="1">
      <alignment horizontal="center" vertical="center"/>
    </xf>
    <xf numFmtId="3" fontId="134" fillId="0" borderId="70" xfId="76" applyNumberFormat="1" applyFont="1" applyBorder="1" applyAlignment="1">
      <alignment horizontal="center" vertical="center" wrapText="1"/>
    </xf>
    <xf numFmtId="3" fontId="134" fillId="0" borderId="70" xfId="76" applyNumberFormat="1" applyFont="1" applyBorder="1" applyAlignment="1">
      <alignment horizontal="center" vertical="center"/>
    </xf>
    <xf numFmtId="0" fontId="188" fillId="0" borderId="19" xfId="101" applyFont="1" applyBorder="1" applyAlignment="1">
      <alignment horizontal="center" vertical="center"/>
    </xf>
    <xf numFmtId="0" fontId="188" fillId="0" borderId="43" xfId="101" applyFont="1" applyBorder="1" applyAlignment="1">
      <alignment horizontal="center" vertical="center"/>
    </xf>
    <xf numFmtId="0" fontId="89" fillId="0" borderId="0" xfId="0" applyFont="1" applyAlignment="1">
      <alignment horizontal="center"/>
    </xf>
    <xf numFmtId="0" fontId="64" fillId="0" borderId="0" xfId="88" applyFont="1" applyAlignment="1">
      <alignment horizontal="left" vertical="top" wrapText="1"/>
    </xf>
    <xf numFmtId="0" fontId="63" fillId="0" borderId="0" xfId="88" applyFont="1" applyAlignment="1">
      <alignment horizontal="left" vertical="top" wrapText="1"/>
    </xf>
    <xf numFmtId="3" fontId="68" fillId="0" borderId="0" xfId="0" applyNumberFormat="1" applyFont="1" applyAlignment="1">
      <alignment horizontal="center"/>
    </xf>
    <xf numFmtId="0" fontId="78" fillId="28" borderId="45" xfId="0" applyFont="1" applyFill="1" applyBorder="1" applyAlignment="1">
      <alignment horizontal="center"/>
    </xf>
    <xf numFmtId="3" fontId="68" fillId="0" borderId="17" xfId="0" applyNumberFormat="1" applyFont="1" applyBorder="1" applyAlignment="1">
      <alignment horizontal="left"/>
    </xf>
    <xf numFmtId="3" fontId="68" fillId="0" borderId="22" xfId="0" applyNumberFormat="1" applyFont="1" applyBorder="1" applyAlignment="1">
      <alignment horizontal="left"/>
    </xf>
    <xf numFmtId="3" fontId="68" fillId="0" borderId="123" xfId="0" applyNumberFormat="1" applyFont="1" applyBorder="1" applyAlignment="1">
      <alignment horizontal="left"/>
    </xf>
    <xf numFmtId="3" fontId="86" fillId="0" borderId="20" xfId="0" applyNumberFormat="1" applyFont="1" applyBorder="1" applyAlignment="1">
      <alignment horizontal="left"/>
    </xf>
    <xf numFmtId="3" fontId="86" fillId="0" borderId="120" xfId="0" applyNumberFormat="1" applyFont="1" applyBorder="1" applyAlignment="1">
      <alignment horizontal="left"/>
    </xf>
    <xf numFmtId="3" fontId="86" fillId="0" borderId="91" xfId="0" applyNumberFormat="1" applyFont="1" applyBorder="1" applyAlignment="1">
      <alignment horizontal="left"/>
    </xf>
    <xf numFmtId="3" fontId="170" fillId="0" borderId="20" xfId="0" applyNumberFormat="1" applyFont="1" applyBorder="1" applyAlignment="1">
      <alignment horizontal="left"/>
    </xf>
    <xf numFmtId="3" fontId="170" fillId="0" borderId="120" xfId="0" applyNumberFormat="1" applyFont="1" applyBorder="1" applyAlignment="1">
      <alignment horizontal="left"/>
    </xf>
    <xf numFmtId="0" fontId="170" fillId="0" borderId="20" xfId="0" applyFont="1" applyBorder="1" applyAlignment="1">
      <alignment horizontal="left"/>
    </xf>
    <xf numFmtId="0" fontId="170" fillId="0" borderId="91" xfId="0" applyFont="1" applyBorder="1" applyAlignment="1">
      <alignment horizontal="left"/>
    </xf>
    <xf numFmtId="0" fontId="170" fillId="0" borderId="120" xfId="0" applyFont="1" applyBorder="1" applyAlignment="1">
      <alignment horizontal="left"/>
    </xf>
    <xf numFmtId="0" fontId="83" fillId="0" borderId="40" xfId="77" applyFont="1" applyBorder="1" applyAlignment="1">
      <alignment horizontal="justify"/>
    </xf>
    <xf numFmtId="0" fontId="108" fillId="0" borderId="39" xfId="0" applyFont="1" applyBorder="1"/>
    <xf numFmtId="0" fontId="170" fillId="0" borderId="0" xfId="0" applyFont="1" applyAlignment="1">
      <alignment horizontal="left" wrapText="1"/>
    </xf>
    <xf numFmtId="0" fontId="170" fillId="0" borderId="85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70" fillId="0" borderId="101" xfId="0" applyFont="1" applyBorder="1" applyAlignment="1">
      <alignment wrapText="1"/>
    </xf>
    <xf numFmtId="0" fontId="170" fillId="0" borderId="126" xfId="0" applyFont="1" applyBorder="1" applyAlignment="1">
      <alignment wrapText="1"/>
    </xf>
    <xf numFmtId="0" fontId="78" fillId="28" borderId="77" xfId="0" applyFont="1" applyFill="1" applyBorder="1" applyAlignment="1">
      <alignment horizontal="center"/>
    </xf>
    <xf numFmtId="0" fontId="86" fillId="0" borderId="0" xfId="0" applyFont="1" applyAlignment="1">
      <alignment horizontal="center"/>
    </xf>
    <xf numFmtId="0" fontId="83" fillId="0" borderId="37" xfId="0" applyFont="1" applyBorder="1" applyAlignment="1">
      <alignment horizontal="left" wrapText="1"/>
    </xf>
    <xf numFmtId="0" fontId="83" fillId="0" borderId="79" xfId="0" applyFont="1" applyBorder="1" applyAlignment="1">
      <alignment horizontal="left" wrapText="1"/>
    </xf>
    <xf numFmtId="0" fontId="83" fillId="0" borderId="66" xfId="0" applyFont="1" applyBorder="1" applyAlignment="1">
      <alignment horizontal="left" wrapText="1"/>
    </xf>
    <xf numFmtId="0" fontId="83" fillId="0" borderId="74" xfId="0" applyFont="1" applyBorder="1" applyAlignment="1">
      <alignment horizontal="left" wrapText="1"/>
    </xf>
    <xf numFmtId="0" fontId="83" fillId="0" borderId="37" xfId="0" applyFont="1" applyBorder="1" applyAlignment="1">
      <alignment wrapText="1"/>
    </xf>
    <xf numFmtId="0" fontId="83" fillId="0" borderId="79" xfId="0" applyFont="1" applyBorder="1" applyAlignment="1">
      <alignment wrapText="1"/>
    </xf>
    <xf numFmtId="0" fontId="83" fillId="0" borderId="37" xfId="0" applyFont="1" applyBorder="1"/>
    <xf numFmtId="0" fontId="83" fillId="0" borderId="79" xfId="0" applyFont="1" applyBorder="1"/>
    <xf numFmtId="0" fontId="83" fillId="0" borderId="37" xfId="77" applyFont="1" applyBorder="1" applyAlignment="1">
      <alignment horizontal="left"/>
    </xf>
    <xf numFmtId="0" fontId="86" fillId="0" borderId="0" xfId="77" applyFont="1" applyAlignment="1">
      <alignment horizontal="center" wrapText="1"/>
    </xf>
    <xf numFmtId="0" fontId="86" fillId="0" borderId="85" xfId="77" applyFont="1" applyBorder="1" applyAlignment="1">
      <alignment horizontal="center" wrapText="1"/>
    </xf>
    <xf numFmtId="0" fontId="83" fillId="0" borderId="37" xfId="77" applyFont="1" applyBorder="1" applyAlignment="1">
      <alignment horizontal="left" wrapText="1"/>
    </xf>
    <xf numFmtId="0" fontId="83" fillId="0" borderId="79" xfId="77" applyFont="1" applyBorder="1" applyAlignment="1">
      <alignment horizontal="left" wrapText="1"/>
    </xf>
    <xf numFmtId="3" fontId="134" fillId="0" borderId="23" xfId="76" applyNumberFormat="1" applyFont="1" applyBorder="1" applyAlignment="1">
      <alignment horizontal="center" vertical="center"/>
    </xf>
    <xf numFmtId="3" fontId="134" fillId="0" borderId="46" xfId="76" applyNumberFormat="1" applyFont="1" applyBorder="1" applyAlignment="1">
      <alignment horizontal="center" vertical="center"/>
    </xf>
    <xf numFmtId="3" fontId="134" fillId="0" borderId="53" xfId="76" applyNumberFormat="1" applyFont="1" applyBorder="1" applyAlignment="1">
      <alignment horizontal="center" vertical="center"/>
    </xf>
    <xf numFmtId="3" fontId="134" fillId="0" borderId="19" xfId="76" applyNumberFormat="1" applyFont="1" applyBorder="1" applyAlignment="1">
      <alignment horizontal="center" vertical="center"/>
    </xf>
    <xf numFmtId="3" fontId="134" fillId="0" borderId="16" xfId="76" applyNumberFormat="1" applyFont="1" applyBorder="1" applyAlignment="1">
      <alignment horizontal="center" vertical="center"/>
    </xf>
    <xf numFmtId="3" fontId="134" fillId="0" borderId="83" xfId="76" applyNumberFormat="1" applyFont="1" applyBorder="1" applyAlignment="1">
      <alignment horizontal="center" vertical="center"/>
    </xf>
    <xf numFmtId="0" fontId="190" fillId="0" borderId="0" xfId="76" applyFont="1" applyAlignment="1">
      <alignment horizontal="center"/>
    </xf>
    <xf numFmtId="3" fontId="134" fillId="0" borderId="0" xfId="76" applyNumberFormat="1" applyFont="1" applyAlignment="1">
      <alignment horizontal="center"/>
    </xf>
    <xf numFmtId="0" fontId="190" fillId="30" borderId="0" xfId="76" applyFont="1" applyFill="1" applyAlignment="1">
      <alignment horizontal="center"/>
    </xf>
    <xf numFmtId="3" fontId="134" fillId="0" borderId="23" xfId="76" applyNumberFormat="1" applyFont="1" applyBorder="1" applyAlignment="1">
      <alignment horizontal="center" vertical="center" wrapText="1"/>
    </xf>
    <xf numFmtId="3" fontId="134" fillId="0" borderId="46" xfId="76" applyNumberFormat="1" applyFont="1" applyBorder="1" applyAlignment="1">
      <alignment horizontal="center" vertical="center" wrapText="1"/>
    </xf>
    <xf numFmtId="3" fontId="134" fillId="0" borderId="53" xfId="76" applyNumberFormat="1" applyFont="1" applyBorder="1" applyAlignment="1">
      <alignment horizontal="center" vertical="center" wrapText="1"/>
    </xf>
    <xf numFmtId="3" fontId="134" fillId="0" borderId="19" xfId="76" applyNumberFormat="1" applyFont="1" applyBorder="1" applyAlignment="1">
      <alignment horizontal="center" vertical="center" wrapText="1"/>
    </xf>
    <xf numFmtId="3" fontId="134" fillId="0" borderId="16" xfId="76" applyNumberFormat="1" applyFont="1" applyBorder="1" applyAlignment="1">
      <alignment horizontal="center" vertical="center" wrapText="1"/>
    </xf>
    <xf numFmtId="3" fontId="134" fillId="0" borderId="83" xfId="76" applyNumberFormat="1" applyFont="1" applyBorder="1" applyAlignment="1">
      <alignment horizontal="center" vertical="center" wrapText="1"/>
    </xf>
    <xf numFmtId="3" fontId="134" fillId="0" borderId="20" xfId="76" applyNumberFormat="1" applyFont="1" applyBorder="1" applyAlignment="1">
      <alignment horizontal="center" vertical="center"/>
    </xf>
    <xf numFmtId="3" fontId="134" fillId="0" borderId="91" xfId="76" applyNumberFormat="1" applyFont="1" applyBorder="1" applyAlignment="1">
      <alignment horizontal="center" vertical="center"/>
    </xf>
    <xf numFmtId="3" fontId="134" fillId="0" borderId="81" xfId="76" applyNumberFormat="1" applyFont="1" applyBorder="1" applyAlignment="1">
      <alignment horizontal="center" vertical="center"/>
    </xf>
    <xf numFmtId="3" fontId="134" fillId="0" borderId="23" xfId="76" applyNumberFormat="1" applyFont="1" applyBorder="1" applyAlignment="1">
      <alignment horizontal="center" wrapText="1"/>
    </xf>
    <xf numFmtId="3" fontId="134" fillId="0" borderId="46" xfId="76" applyNumberFormat="1" applyFont="1" applyBorder="1" applyAlignment="1">
      <alignment horizontal="center" wrapText="1"/>
    </xf>
    <xf numFmtId="3" fontId="134" fillId="0" borderId="53" xfId="76" applyNumberFormat="1" applyFont="1" applyBorder="1" applyAlignment="1">
      <alignment horizontal="center" wrapText="1"/>
    </xf>
    <xf numFmtId="3" fontId="134" fillId="0" borderId="19" xfId="76" applyNumberFormat="1" applyFont="1" applyBorder="1" applyAlignment="1">
      <alignment horizontal="center" wrapText="1"/>
    </xf>
    <xf numFmtId="3" fontId="134" fillId="0" borderId="16" xfId="76" applyNumberFormat="1" applyFont="1" applyBorder="1" applyAlignment="1">
      <alignment horizontal="center" wrapText="1"/>
    </xf>
    <xf numFmtId="3" fontId="134" fillId="0" borderId="83" xfId="76" applyNumberFormat="1" applyFont="1" applyBorder="1" applyAlignment="1">
      <alignment horizontal="center" wrapText="1"/>
    </xf>
    <xf numFmtId="0" fontId="78" fillId="0" borderId="0" xfId="105" applyFont="1" applyAlignment="1">
      <alignment horizontal="center"/>
    </xf>
    <xf numFmtId="0" fontId="164" fillId="0" borderId="0" xfId="106" applyFont="1" applyAlignment="1">
      <alignment horizontal="center" wrapText="1"/>
    </xf>
    <xf numFmtId="3" fontId="191" fillId="0" borderId="23" xfId="76" applyNumberFormat="1" applyFont="1" applyBorder="1" applyAlignment="1">
      <alignment horizontal="center" vertical="center"/>
    </xf>
    <xf numFmtId="3" fontId="191" fillId="0" borderId="46" xfId="76" applyNumberFormat="1" applyFont="1" applyBorder="1" applyAlignment="1">
      <alignment horizontal="center" vertical="center"/>
    </xf>
    <xf numFmtId="3" fontId="191" fillId="0" borderId="53" xfId="76" applyNumberFormat="1" applyFont="1" applyBorder="1" applyAlignment="1">
      <alignment horizontal="center" vertical="center"/>
    </xf>
    <xf numFmtId="3" fontId="191" fillId="0" borderId="18" xfId="76" applyNumberFormat="1" applyFont="1" applyBorder="1" applyAlignment="1">
      <alignment horizontal="center" vertical="center"/>
    </xf>
    <xf numFmtId="3" fontId="191" fillId="0" borderId="0" xfId="76" applyNumberFormat="1" applyFont="1" applyAlignment="1">
      <alignment horizontal="center" vertical="center"/>
    </xf>
    <xf numFmtId="3" fontId="191" fillId="0" borderId="85" xfId="76" applyNumberFormat="1" applyFont="1" applyBorder="1" applyAlignment="1">
      <alignment horizontal="center" vertical="center"/>
    </xf>
    <xf numFmtId="3" fontId="191" fillId="0" borderId="19" xfId="76" applyNumberFormat="1" applyFont="1" applyBorder="1" applyAlignment="1">
      <alignment horizontal="center" vertical="center"/>
    </xf>
    <xf numFmtId="3" fontId="191" fillId="0" borderId="16" xfId="76" applyNumberFormat="1" applyFont="1" applyBorder="1" applyAlignment="1">
      <alignment horizontal="center" vertical="center"/>
    </xf>
    <xf numFmtId="3" fontId="191" fillId="0" borderId="83" xfId="76" applyNumberFormat="1" applyFont="1" applyBorder="1" applyAlignment="1">
      <alignment horizontal="center" vertical="center"/>
    </xf>
    <xf numFmtId="3" fontId="190" fillId="0" borderId="0" xfId="76" applyNumberFormat="1" applyFont="1" applyAlignment="1">
      <alignment horizontal="center"/>
    </xf>
    <xf numFmtId="3" fontId="191" fillId="0" borderId="23" xfId="76" applyNumberFormat="1" applyFont="1" applyBorder="1" applyAlignment="1">
      <alignment horizontal="center" vertical="center" wrapText="1"/>
    </xf>
    <xf numFmtId="3" fontId="191" fillId="0" borderId="46" xfId="76" applyNumberFormat="1" applyFont="1" applyBorder="1" applyAlignment="1">
      <alignment horizontal="center" vertical="center" wrapText="1"/>
    </xf>
    <xf numFmtId="3" fontId="191" fillId="0" borderId="53" xfId="76" applyNumberFormat="1" applyFont="1" applyBorder="1" applyAlignment="1">
      <alignment horizontal="center" vertical="center" wrapText="1"/>
    </xf>
    <xf numFmtId="3" fontId="191" fillId="0" borderId="18" xfId="76" applyNumberFormat="1" applyFont="1" applyBorder="1" applyAlignment="1">
      <alignment horizontal="center" vertical="center" wrapText="1"/>
    </xf>
    <xf numFmtId="3" fontId="191" fillId="0" borderId="0" xfId="76" applyNumberFormat="1" applyFont="1" applyAlignment="1">
      <alignment horizontal="center" vertical="center" wrapText="1"/>
    </xf>
    <xf numFmtId="3" fontId="191" fillId="0" borderId="85" xfId="76" applyNumberFormat="1" applyFont="1" applyBorder="1" applyAlignment="1">
      <alignment horizontal="center" vertical="center" wrapText="1"/>
    </xf>
    <xf numFmtId="3" fontId="191" fillId="0" borderId="19" xfId="76" applyNumberFormat="1" applyFont="1" applyBorder="1" applyAlignment="1">
      <alignment horizontal="center" vertical="center" wrapText="1"/>
    </xf>
    <xf numFmtId="3" fontId="191" fillId="0" borderId="16" xfId="76" applyNumberFormat="1" applyFont="1" applyBorder="1" applyAlignment="1">
      <alignment horizontal="center" vertical="center" wrapText="1"/>
    </xf>
    <xf numFmtId="3" fontId="191" fillId="0" borderId="83" xfId="76" applyNumberFormat="1" applyFont="1" applyBorder="1" applyAlignment="1">
      <alignment horizontal="center" vertical="center" wrapText="1"/>
    </xf>
    <xf numFmtId="4" fontId="146" fillId="0" borderId="20" xfId="102" applyNumberFormat="1" applyFont="1" applyBorder="1" applyAlignment="1">
      <alignment horizontal="center"/>
    </xf>
    <xf numFmtId="4" fontId="146" fillId="0" borderId="81" xfId="102" applyNumberFormat="1" applyFont="1" applyBorder="1" applyAlignment="1">
      <alignment horizontal="center"/>
    </xf>
    <xf numFmtId="0" fontId="146" fillId="0" borderId="0" xfId="102" applyFont="1" applyAlignment="1">
      <alignment horizontal="center"/>
    </xf>
    <xf numFmtId="0" fontId="149" fillId="0" borderId="16" xfId="102" applyFont="1" applyBorder="1" applyAlignment="1">
      <alignment horizontal="center"/>
    </xf>
    <xf numFmtId="0" fontId="150" fillId="28" borderId="20" xfId="102" applyFont="1" applyFill="1" applyBorder="1" applyAlignment="1">
      <alignment horizontal="center" vertical="center"/>
    </xf>
    <xf numFmtId="0" fontId="150" fillId="28" borderId="91" xfId="102" applyFont="1" applyFill="1" applyBorder="1" applyAlignment="1">
      <alignment horizontal="center" vertical="center"/>
    </xf>
    <xf numFmtId="0" fontId="150" fillId="28" borderId="81" xfId="102" applyFont="1" applyFill="1" applyBorder="1" applyAlignment="1">
      <alignment horizontal="center" vertical="center"/>
    </xf>
    <xf numFmtId="0" fontId="146" fillId="0" borderId="23" xfId="102" applyFont="1" applyBorder="1" applyAlignment="1">
      <alignment horizontal="center" vertical="center" wrapText="1"/>
    </xf>
    <xf numFmtId="0" fontId="146" fillId="0" borderId="53" xfId="102" applyFont="1" applyBorder="1" applyAlignment="1">
      <alignment horizontal="center" vertical="center" wrapText="1"/>
    </xf>
    <xf numFmtId="0" fontId="146" fillId="0" borderId="19" xfId="102" applyFont="1" applyBorder="1" applyAlignment="1">
      <alignment horizontal="center" vertical="center" wrapText="1"/>
    </xf>
    <xf numFmtId="0" fontId="146" fillId="0" borderId="83" xfId="102" applyFont="1" applyBorder="1" applyAlignment="1">
      <alignment horizontal="center" vertical="center" wrapText="1"/>
    </xf>
    <xf numFmtId="4" fontId="146" fillId="0" borderId="19" xfId="102" applyNumberFormat="1" applyFont="1" applyBorder="1" applyAlignment="1">
      <alignment horizontal="center"/>
    </xf>
    <xf numFmtId="4" fontId="146" fillId="0" borderId="16" xfId="102" applyNumberFormat="1" applyFont="1" applyBorder="1" applyAlignment="1">
      <alignment horizontal="center"/>
    </xf>
    <xf numFmtId="4" fontId="146" fillId="0" borderId="91" xfId="102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171" fillId="0" borderId="0" xfId="0" applyFont="1" applyAlignment="1">
      <alignment horizontal="center"/>
    </xf>
    <xf numFmtId="3" fontId="8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6" fillId="0" borderId="20" xfId="0" applyFont="1" applyBorder="1" applyAlignment="1">
      <alignment horizontal="left" wrapText="1"/>
    </xf>
    <xf numFmtId="0" fontId="86" fillId="0" borderId="91" xfId="0" applyFont="1" applyBorder="1" applyAlignment="1">
      <alignment horizontal="left" wrapText="1"/>
    </xf>
    <xf numFmtId="0" fontId="86" fillId="0" borderId="120" xfId="0" applyFont="1" applyBorder="1" applyAlignment="1">
      <alignment horizontal="left" wrapText="1"/>
    </xf>
    <xf numFmtId="0" fontId="86" fillId="0" borderId="20" xfId="0" applyFont="1" applyBorder="1" applyAlignment="1">
      <alignment horizontal="left"/>
    </xf>
    <xf numFmtId="0" fontId="86" fillId="0" borderId="91" xfId="0" applyFont="1" applyBorder="1" applyAlignment="1">
      <alignment horizontal="left"/>
    </xf>
    <xf numFmtId="0" fontId="86" fillId="0" borderId="120" xfId="0" applyFont="1" applyBorder="1" applyAlignment="1">
      <alignment horizontal="left"/>
    </xf>
    <xf numFmtId="0" fontId="86" fillId="0" borderId="23" xfId="0" applyFont="1" applyBorder="1" applyAlignment="1">
      <alignment horizontal="center"/>
    </xf>
    <xf numFmtId="0" fontId="86" fillId="0" borderId="46" xfId="0" applyFont="1" applyBorder="1" applyAlignment="1">
      <alignment horizontal="center"/>
    </xf>
    <xf numFmtId="0" fontId="171" fillId="0" borderId="0" xfId="77" applyFont="1" applyAlignment="1">
      <alignment horizontal="center"/>
    </xf>
    <xf numFmtId="0" fontId="68" fillId="0" borderId="26" xfId="77" applyFont="1" applyBorder="1" applyAlignment="1">
      <alignment horizontal="left"/>
    </xf>
    <xf numFmtId="0" fontId="68" fillId="0" borderId="87" xfId="77" applyFont="1" applyBorder="1" applyAlignment="1">
      <alignment horizontal="left"/>
    </xf>
    <xf numFmtId="0" fontId="78" fillId="28" borderId="100" xfId="0" applyFont="1" applyFill="1" applyBorder="1" applyAlignment="1">
      <alignment horizontal="center"/>
    </xf>
    <xf numFmtId="0" fontId="78" fillId="28" borderId="60" xfId="0" applyFont="1" applyFill="1" applyBorder="1" applyAlignment="1">
      <alignment horizontal="center"/>
    </xf>
    <xf numFmtId="0" fontId="6" fillId="0" borderId="0" xfId="77" applyFont="1" applyAlignment="1">
      <alignment horizontal="center"/>
    </xf>
    <xf numFmtId="0" fontId="6" fillId="28" borderId="0" xfId="0" applyFont="1" applyFill="1" applyAlignment="1">
      <alignment horizontal="center"/>
    </xf>
    <xf numFmtId="0" fontId="68" fillId="0" borderId="17" xfId="77" applyFont="1" applyBorder="1" applyAlignment="1">
      <alignment horizontal="left"/>
    </xf>
    <xf numFmtId="0" fontId="68" fillId="0" borderId="80" xfId="77" applyFont="1" applyBorder="1" applyAlignment="1">
      <alignment horizontal="left"/>
    </xf>
    <xf numFmtId="0" fontId="68" fillId="0" borderId="0" xfId="77" applyFont="1" applyAlignment="1">
      <alignment horizontal="center"/>
    </xf>
    <xf numFmtId="0" fontId="68" fillId="0" borderId="23" xfId="77" applyFont="1" applyBorder="1" applyAlignment="1">
      <alignment horizontal="center"/>
    </xf>
    <xf numFmtId="0" fontId="68" fillId="0" borderId="46" xfId="77" applyFont="1" applyBorder="1" applyAlignment="1">
      <alignment horizontal="center"/>
    </xf>
    <xf numFmtId="0" fontId="86" fillId="0" borderId="0" xfId="77" applyFont="1" applyAlignment="1">
      <alignment horizontal="center"/>
    </xf>
    <xf numFmtId="0" fontId="78" fillId="0" borderId="0" xfId="78" applyFont="1" applyAlignment="1">
      <alignment horizontal="center"/>
    </xf>
    <xf numFmtId="0" fontId="78" fillId="0" borderId="0" xfId="77" applyFont="1" applyAlignment="1">
      <alignment horizontal="center"/>
    </xf>
    <xf numFmtId="0" fontId="89" fillId="0" borderId="0" xfId="91" applyFont="1" applyAlignment="1">
      <alignment horizontal="center"/>
    </xf>
    <xf numFmtId="0" fontId="87" fillId="0" borderId="23" xfId="77" applyFont="1" applyBorder="1" applyAlignment="1">
      <alignment horizontal="center"/>
    </xf>
    <xf numFmtId="0" fontId="87" fillId="0" borderId="46" xfId="77" applyFont="1" applyBorder="1" applyAlignment="1">
      <alignment horizontal="center"/>
    </xf>
    <xf numFmtId="0" fontId="176" fillId="0" borderId="18" xfId="92" applyFont="1" applyBorder="1" applyAlignment="1">
      <alignment wrapText="1"/>
    </xf>
    <xf numFmtId="0" fontId="176" fillId="0" borderId="85" xfId="0" applyFont="1" applyBorder="1" applyAlignment="1">
      <alignment wrapText="1"/>
    </xf>
    <xf numFmtId="0" fontId="87" fillId="0" borderId="26" xfId="92" applyFont="1" applyBorder="1" applyAlignment="1">
      <alignment wrapText="1"/>
    </xf>
    <xf numFmtId="0" fontId="176" fillId="0" borderId="87" xfId="0" applyFont="1" applyBorder="1"/>
    <xf numFmtId="0" fontId="176" fillId="0" borderId="87" xfId="0" applyFont="1" applyBorder="1" applyAlignment="1">
      <alignment wrapText="1"/>
    </xf>
    <xf numFmtId="0" fontId="84" fillId="0" borderId="20" xfId="92" applyFont="1" applyBorder="1" applyAlignment="1">
      <alignment wrapText="1"/>
    </xf>
    <xf numFmtId="0" fontId="176" fillId="0" borderId="81" xfId="0" applyFont="1" applyBorder="1" applyAlignment="1">
      <alignment wrapText="1"/>
    </xf>
    <xf numFmtId="0" fontId="89" fillId="0" borderId="0" xfId="92" applyFont="1" applyAlignment="1">
      <alignment horizontal="center"/>
    </xf>
    <xf numFmtId="0" fontId="90" fillId="0" borderId="0" xfId="0" applyFont="1"/>
    <xf numFmtId="0" fontId="87" fillId="0" borderId="23" xfId="92" applyFont="1" applyBorder="1" applyAlignment="1">
      <alignment horizontal="center"/>
    </xf>
    <xf numFmtId="0" fontId="176" fillId="0" borderId="53" xfId="0" applyFont="1" applyBorder="1" applyAlignment="1">
      <alignment horizontal="center"/>
    </xf>
    <xf numFmtId="0" fontId="87" fillId="0" borderId="17" xfId="92" applyFont="1" applyBorder="1" applyAlignment="1">
      <alignment wrapText="1"/>
    </xf>
    <xf numFmtId="0" fontId="176" fillId="0" borderId="80" xfId="0" applyFont="1" applyBorder="1"/>
    <xf numFmtId="0" fontId="84" fillId="0" borderId="18" xfId="92" applyFont="1" applyBorder="1" applyAlignment="1">
      <alignment wrapText="1"/>
    </xf>
    <xf numFmtId="0" fontId="80" fillId="0" borderId="16" xfId="93" applyFont="1" applyBorder="1" applyAlignment="1">
      <alignment horizontal="center"/>
    </xf>
    <xf numFmtId="0" fontId="78" fillId="0" borderId="0" xfId="93" applyFont="1" applyAlignment="1">
      <alignment horizontal="center"/>
    </xf>
    <xf numFmtId="0" fontId="77" fillId="0" borderId="0" xfId="93" applyFont="1" applyAlignment="1">
      <alignment horizontal="center"/>
    </xf>
    <xf numFmtId="0" fontId="80" fillId="0" borderId="0" xfId="93" applyFont="1" applyAlignment="1">
      <alignment horizontal="center"/>
    </xf>
    <xf numFmtId="0" fontId="90" fillId="0" borderId="24" xfId="94" applyFont="1" applyBorder="1" applyAlignment="1">
      <alignment wrapText="1"/>
    </xf>
    <xf numFmtId="0" fontId="90" fillId="0" borderId="24" xfId="0" applyFont="1" applyBorder="1"/>
    <xf numFmtId="0" fontId="90" fillId="0" borderId="130" xfId="0" applyFont="1" applyBorder="1"/>
    <xf numFmtId="0" fontId="89" fillId="0" borderId="0" xfId="94" applyFont="1" applyAlignment="1">
      <alignment horizontal="center"/>
    </xf>
    <xf numFmtId="0" fontId="89" fillId="0" borderId="18" xfId="94" applyFont="1" applyBorder="1" applyAlignment="1">
      <alignment horizontal="center"/>
    </xf>
    <xf numFmtId="0" fontId="89" fillId="0" borderId="139" xfId="0" applyFont="1" applyBorder="1" applyAlignment="1">
      <alignment horizontal="center"/>
    </xf>
    <xf numFmtId="0" fontId="89" fillId="0" borderId="97" xfId="0" applyFont="1" applyBorder="1" applyAlignment="1">
      <alignment horizontal="center"/>
    </xf>
    <xf numFmtId="49" fontId="83" fillId="0" borderId="57" xfId="95" applyNumberFormat="1" applyFont="1" applyBorder="1" applyAlignment="1">
      <alignment horizontal="center"/>
    </xf>
    <xf numFmtId="49" fontId="83" fillId="0" borderId="101" xfId="95" applyNumberFormat="1" applyFont="1" applyBorder="1" applyAlignment="1">
      <alignment horizontal="center"/>
    </xf>
    <xf numFmtId="49" fontId="83" fillId="0" borderId="26" xfId="95" applyNumberFormat="1" applyFont="1" applyBorder="1" applyAlignment="1">
      <alignment horizontal="center"/>
    </xf>
    <xf numFmtId="49" fontId="83" fillId="0" borderId="130" xfId="95" applyNumberFormat="1" applyFont="1" applyBorder="1" applyAlignment="1">
      <alignment horizontal="center"/>
    </xf>
    <xf numFmtId="0" fontId="83" fillId="0" borderId="19" xfId="95" applyFont="1" applyBorder="1" applyAlignment="1">
      <alignment horizontal="center"/>
    </xf>
    <xf numFmtId="0" fontId="83" fillId="0" borderId="16" xfId="95" applyFont="1" applyBorder="1" applyAlignment="1">
      <alignment horizontal="center"/>
    </xf>
    <xf numFmtId="0" fontId="83" fillId="0" borderId="24" xfId="95" applyFont="1" applyBorder="1" applyAlignment="1">
      <alignment horizontal="left"/>
    </xf>
    <xf numFmtId="0" fontId="83" fillId="0" borderId="130" xfId="95" applyFont="1" applyBorder="1" applyAlignment="1">
      <alignment horizontal="left"/>
    </xf>
    <xf numFmtId="49" fontId="83" fillId="0" borderId="95" xfId="95" applyNumberFormat="1" applyFont="1" applyBorder="1" applyAlignment="1">
      <alignment horizontal="center"/>
    </xf>
    <xf numFmtId="49" fontId="83" fillId="0" borderId="89" xfId="95" applyNumberFormat="1" applyFont="1" applyBorder="1" applyAlignment="1">
      <alignment horizontal="center"/>
    </xf>
    <xf numFmtId="49" fontId="83" fillId="0" borderId="17" xfId="95" applyNumberFormat="1" applyFont="1" applyBorder="1" applyAlignment="1">
      <alignment horizontal="center"/>
    </xf>
    <xf numFmtId="49" fontId="83" fillId="0" borderId="123" xfId="95" applyNumberFormat="1" applyFont="1" applyBorder="1" applyAlignment="1">
      <alignment horizontal="center"/>
    </xf>
    <xf numFmtId="0" fontId="83" fillId="0" borderId="22" xfId="95" applyFont="1" applyBorder="1" applyAlignment="1">
      <alignment horizontal="left"/>
    </xf>
    <xf numFmtId="0" fontId="83" fillId="0" borderId="123" xfId="95" applyFont="1" applyBorder="1" applyAlignment="1">
      <alignment horizontal="left"/>
    </xf>
    <xf numFmtId="49" fontId="83" fillId="0" borderId="116" xfId="95" applyNumberFormat="1" applyFont="1" applyBorder="1" applyAlignment="1">
      <alignment horizontal="center"/>
    </xf>
    <xf numFmtId="49" fontId="83" fillId="0" borderId="117" xfId="95" applyNumberFormat="1" applyFont="1" applyBorder="1" applyAlignment="1">
      <alignment horizontal="center"/>
    </xf>
    <xf numFmtId="49" fontId="83" fillId="0" borderId="133" xfId="95" applyNumberFormat="1" applyFont="1" applyBorder="1" applyAlignment="1">
      <alignment horizontal="center"/>
    </xf>
    <xf numFmtId="0" fontId="83" fillId="0" borderId="89" xfId="95" applyFont="1" applyBorder="1" applyAlignment="1">
      <alignment horizontal="left"/>
    </xf>
    <xf numFmtId="0" fontId="83" fillId="0" borderId="133" xfId="95" applyFont="1" applyBorder="1" applyAlignment="1">
      <alignment horizontal="left"/>
    </xf>
    <xf numFmtId="49" fontId="83" fillId="0" borderId="141" xfId="95" applyNumberFormat="1" applyFont="1" applyBorder="1" applyAlignment="1">
      <alignment horizontal="center"/>
    </xf>
    <xf numFmtId="0" fontId="68" fillId="0" borderId="0" xfId="95" applyFont="1" applyAlignment="1">
      <alignment horizontal="center"/>
    </xf>
    <xf numFmtId="0" fontId="115" fillId="0" borderId="0" xfId="95" applyFont="1" applyAlignment="1">
      <alignment horizontal="left"/>
    </xf>
    <xf numFmtId="0" fontId="83" fillId="0" borderId="23" xfId="95" applyFont="1" applyBorder="1" applyAlignment="1">
      <alignment horizontal="center" vertical="center"/>
    </xf>
    <xf numFmtId="0" fontId="83" fillId="0" borderId="63" xfId="95" applyFont="1" applyBorder="1" applyAlignment="1">
      <alignment horizontal="center" vertical="center"/>
    </xf>
    <xf numFmtId="0" fontId="83" fillId="0" borderId="18" xfId="95" applyFont="1" applyBorder="1" applyAlignment="1">
      <alignment horizontal="center" vertical="center"/>
    </xf>
    <xf numFmtId="0" fontId="83" fillId="0" borderId="31" xfId="95" applyFont="1" applyBorder="1" applyAlignment="1">
      <alignment horizontal="center" vertical="center"/>
    </xf>
    <xf numFmtId="0" fontId="83" fillId="0" borderId="19" xfId="95" applyFont="1" applyBorder="1" applyAlignment="1">
      <alignment horizontal="center" vertical="center"/>
    </xf>
    <xf numFmtId="0" fontId="83" fillId="0" borderId="96" xfId="95" applyFont="1" applyBorder="1" applyAlignment="1">
      <alignment horizontal="center" vertical="center"/>
    </xf>
    <xf numFmtId="0" fontId="83" fillId="0" borderId="47" xfId="95" applyFont="1" applyBorder="1" applyAlignment="1">
      <alignment horizontal="center" vertical="center"/>
    </xf>
    <xf numFmtId="0" fontId="83" fillId="0" borderId="29" xfId="95" applyFont="1" applyBorder="1" applyAlignment="1">
      <alignment horizontal="center" vertical="center"/>
    </xf>
    <xf numFmtId="0" fontId="83" fillId="0" borderId="33" xfId="95" applyFont="1" applyBorder="1" applyAlignment="1">
      <alignment horizontal="center" vertical="center"/>
    </xf>
    <xf numFmtId="0" fontId="83" fillId="0" borderId="132" xfId="95" applyFont="1" applyBorder="1" applyAlignment="1">
      <alignment horizontal="center"/>
    </xf>
    <xf numFmtId="0" fontId="83" fillId="0" borderId="128" xfId="95" applyFont="1" applyBorder="1" applyAlignment="1">
      <alignment horizontal="center"/>
    </xf>
    <xf numFmtId="0" fontId="83" fillId="0" borderId="136" xfId="95" applyFont="1" applyBorder="1" applyAlignment="1">
      <alignment horizontal="center"/>
    </xf>
    <xf numFmtId="0" fontId="83" fillId="0" borderId="49" xfId="95" applyFont="1" applyBorder="1" applyAlignment="1">
      <alignment horizontal="center"/>
    </xf>
    <xf numFmtId="0" fontId="83" fillId="0" borderId="24" xfId="95" applyFont="1" applyBorder="1" applyAlignment="1">
      <alignment horizontal="center"/>
    </xf>
    <xf numFmtId="0" fontId="83" fillId="0" borderId="130" xfId="95" applyFont="1" applyBorder="1" applyAlignment="1">
      <alignment horizontal="center"/>
    </xf>
    <xf numFmtId="0" fontId="83" fillId="0" borderId="87" xfId="95" applyFont="1" applyBorder="1" applyAlignment="1">
      <alignment horizontal="center"/>
    </xf>
    <xf numFmtId="0" fontId="83" fillId="0" borderId="55" xfId="95" applyFont="1" applyBorder="1" applyAlignment="1">
      <alignment horizontal="center" vertical="center"/>
    </xf>
    <xf numFmtId="0" fontId="83" fillId="0" borderId="98" xfId="95" applyFont="1" applyBorder="1" applyAlignment="1">
      <alignment horizontal="center" vertical="center"/>
    </xf>
    <xf numFmtId="0" fontId="83" fillId="0" borderId="134" xfId="95" applyFont="1" applyBorder="1" applyAlignment="1">
      <alignment horizontal="center" vertical="center"/>
    </xf>
    <xf numFmtId="0" fontId="83" fillId="0" borderId="141" xfId="95" applyFont="1" applyBorder="1" applyAlignment="1">
      <alignment horizontal="center" vertical="center"/>
    </xf>
    <xf numFmtId="0" fontId="83" fillId="0" borderId="139" xfId="95" applyFont="1" applyBorder="1" applyAlignment="1">
      <alignment horizontal="center" vertical="center"/>
    </xf>
    <xf numFmtId="0" fontId="83" fillId="0" borderId="133" xfId="95" applyFont="1" applyBorder="1" applyAlignment="1">
      <alignment horizontal="center" vertical="center"/>
    </xf>
    <xf numFmtId="0" fontId="83" fillId="0" borderId="134" xfId="95" applyFont="1" applyBorder="1" applyAlignment="1">
      <alignment horizontal="center"/>
    </xf>
    <xf numFmtId="0" fontId="83" fillId="0" borderId="141" xfId="95" applyFont="1" applyBorder="1" applyAlignment="1">
      <alignment horizontal="center"/>
    </xf>
    <xf numFmtId="0" fontId="83" fillId="0" borderId="126" xfId="95" applyFont="1" applyBorder="1" applyAlignment="1">
      <alignment horizontal="center" vertical="center"/>
    </xf>
    <xf numFmtId="0" fontId="83" fillId="0" borderId="97" xfId="95" applyFont="1" applyBorder="1" applyAlignment="1">
      <alignment horizontal="center" vertical="center"/>
    </xf>
    <xf numFmtId="0" fontId="83" fillId="0" borderId="139" xfId="95" applyFont="1" applyBorder="1" applyAlignment="1">
      <alignment horizontal="center"/>
    </xf>
    <xf numFmtId="0" fontId="83" fillId="0" borderId="133" xfId="95" applyFont="1" applyBorder="1" applyAlignment="1">
      <alignment horizontal="center"/>
    </xf>
    <xf numFmtId="3" fontId="176" fillId="0" borderId="37" xfId="96" applyNumberFormat="1" applyFont="1" applyBorder="1" applyAlignment="1">
      <alignment horizontal="left" wrapText="1"/>
    </xf>
    <xf numFmtId="3" fontId="176" fillId="0" borderId="39" xfId="96" applyNumberFormat="1" applyFont="1" applyBorder="1" applyAlignment="1">
      <alignment horizontal="left" wrapText="1"/>
    </xf>
    <xf numFmtId="3" fontId="89" fillId="0" borderId="0" xfId="96" applyNumberFormat="1" applyFont="1" applyAlignment="1">
      <alignment horizontal="center"/>
    </xf>
    <xf numFmtId="3" fontId="87" fillId="0" borderId="20" xfId="96" applyNumberFormat="1" applyFont="1" applyBorder="1" applyAlignment="1">
      <alignment horizontal="center"/>
    </xf>
    <xf numFmtId="3" fontId="87" fillId="0" borderId="91" xfId="96" applyNumberFormat="1" applyFont="1" applyBorder="1" applyAlignment="1">
      <alignment horizontal="center"/>
    </xf>
    <xf numFmtId="3" fontId="87" fillId="0" borderId="81" xfId="96" applyNumberFormat="1" applyFont="1" applyBorder="1" applyAlignment="1">
      <alignment horizontal="center"/>
    </xf>
    <xf numFmtId="3" fontId="176" fillId="30" borderId="0" xfId="96" applyNumberFormat="1" applyFont="1" applyFill="1" applyAlignment="1">
      <alignment wrapText="1"/>
    </xf>
    <xf numFmtId="0" fontId="176" fillId="30" borderId="31" xfId="0" applyFont="1" applyFill="1" applyBorder="1"/>
    <xf numFmtId="0" fontId="176" fillId="30" borderId="37" xfId="0" applyFont="1" applyFill="1" applyBorder="1" applyAlignment="1">
      <alignment wrapText="1"/>
    </xf>
    <xf numFmtId="0" fontId="176" fillId="30" borderId="39" xfId="0" applyFont="1" applyFill="1" applyBorder="1"/>
    <xf numFmtId="3" fontId="176" fillId="0" borderId="66" xfId="96" applyNumberFormat="1" applyFont="1" applyBorder="1" applyAlignment="1">
      <alignment horizontal="left" wrapText="1"/>
    </xf>
    <xf numFmtId="3" fontId="176" fillId="0" borderId="90" xfId="96" applyNumberFormat="1" applyFont="1" applyBorder="1" applyAlignment="1">
      <alignment horizontal="left" wrapText="1"/>
    </xf>
    <xf numFmtId="0" fontId="86" fillId="0" borderId="0" xfId="99" applyFont="1" applyAlignment="1">
      <alignment horizontal="center"/>
    </xf>
    <xf numFmtId="0" fontId="86" fillId="0" borderId="23" xfId="98" applyFont="1" applyBorder="1" applyAlignment="1">
      <alignment horizontal="center" vertical="center"/>
    </xf>
    <xf numFmtId="0" fontId="83" fillId="0" borderId="46" xfId="98" applyFont="1" applyBorder="1" applyAlignment="1">
      <alignment horizontal="center" vertical="center"/>
    </xf>
    <xf numFmtId="0" fontId="83" fillId="0" borderId="63" xfId="98" applyFont="1" applyBorder="1" applyAlignment="1">
      <alignment horizontal="center" vertical="center"/>
    </xf>
    <xf numFmtId="0" fontId="86" fillId="0" borderId="18" xfId="98" applyFont="1" applyBorder="1" applyAlignment="1">
      <alignment horizontal="center" vertical="center"/>
    </xf>
    <xf numFmtId="0" fontId="83" fillId="0" borderId="0" xfId="98" applyFont="1" applyAlignment="1">
      <alignment horizontal="center" vertical="center"/>
    </xf>
    <xf numFmtId="0" fontId="83" fillId="0" borderId="31" xfId="98" applyFont="1" applyBorder="1" applyAlignment="1">
      <alignment horizontal="center" vertical="center"/>
    </xf>
    <xf numFmtId="0" fontId="83" fillId="0" borderId="19" xfId="98" applyFont="1" applyBorder="1"/>
    <xf numFmtId="0" fontId="83" fillId="0" borderId="16" xfId="98" applyFont="1" applyBorder="1"/>
    <xf numFmtId="0" fontId="83" fillId="0" borderId="96" xfId="98" applyFont="1" applyBorder="1"/>
    <xf numFmtId="0" fontId="86" fillId="0" borderId="45" xfId="98" applyFont="1" applyBorder="1" applyAlignment="1">
      <alignment horizontal="center" vertical="center"/>
    </xf>
    <xf numFmtId="0" fontId="86" fillId="0" borderId="15" xfId="98" applyFont="1" applyBorder="1" applyAlignment="1">
      <alignment horizontal="center" vertical="center"/>
    </xf>
    <xf numFmtId="0" fontId="86" fillId="0" borderId="61" xfId="98" applyFont="1" applyBorder="1" applyAlignment="1">
      <alignment horizontal="center" vertical="center"/>
    </xf>
    <xf numFmtId="0" fontId="86" fillId="0" borderId="47" xfId="98" applyFont="1" applyBorder="1" applyAlignment="1">
      <alignment horizontal="center" vertical="center"/>
    </xf>
    <xf numFmtId="0" fontId="83" fillId="0" borderId="53" xfId="98" applyFont="1" applyBorder="1" applyAlignment="1">
      <alignment horizontal="center" vertical="center"/>
    </xf>
    <xf numFmtId="0" fontId="83" fillId="0" borderId="139" xfId="98" applyFont="1" applyBorder="1" applyAlignment="1">
      <alignment horizontal="center" vertical="center"/>
    </xf>
    <xf numFmtId="0" fontId="83" fillId="0" borderId="97" xfId="98" applyFont="1" applyBorder="1" applyAlignment="1">
      <alignment horizontal="center" vertical="center"/>
    </xf>
    <xf numFmtId="0" fontId="86" fillId="0" borderId="82" xfId="98" applyFont="1" applyBorder="1" applyAlignment="1">
      <alignment horizontal="center" vertical="center"/>
    </xf>
    <xf numFmtId="0" fontId="83" fillId="0" borderId="69" xfId="98" applyFont="1" applyBorder="1" applyAlignment="1">
      <alignment horizontal="center" vertical="center"/>
    </xf>
    <xf numFmtId="0" fontId="86" fillId="0" borderId="0" xfId="100" applyFont="1" applyAlignment="1">
      <alignment horizontal="center"/>
    </xf>
    <xf numFmtId="0" fontId="83" fillId="0" borderId="0" xfId="0" applyFont="1"/>
    <xf numFmtId="0" fontId="188" fillId="0" borderId="0" xfId="101" applyFont="1" applyAlignment="1">
      <alignment horizontal="center" wrapText="1"/>
    </xf>
    <xf numFmtId="0" fontId="188" fillId="0" borderId="0" xfId="101" applyFont="1" applyAlignment="1">
      <alignment horizontal="center"/>
    </xf>
    <xf numFmtId="0" fontId="188" fillId="0" borderId="82" xfId="101" applyFont="1" applyBorder="1" applyAlignment="1">
      <alignment horizontal="center" vertical="center" wrapText="1"/>
    </xf>
    <xf numFmtId="0" fontId="188" fillId="0" borderId="70" xfId="101" applyFont="1" applyBorder="1" applyAlignment="1">
      <alignment horizontal="center" vertical="center" wrapText="1"/>
    </xf>
    <xf numFmtId="0" fontId="188" fillId="0" borderId="116" xfId="101" applyFont="1" applyBorder="1" applyAlignment="1">
      <alignment horizontal="center" vertical="center"/>
    </xf>
    <xf numFmtId="0" fontId="188" fillId="0" borderId="128" xfId="101" applyFont="1" applyBorder="1" applyAlignment="1">
      <alignment horizontal="center" vertical="center"/>
    </xf>
    <xf numFmtId="0" fontId="188" fillId="0" borderId="136" xfId="101" applyFont="1" applyBorder="1" applyAlignment="1">
      <alignment horizontal="center" vertical="center"/>
    </xf>
  </cellXfs>
  <cellStyles count="10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al 2" xfId="74" xr:uid="{00000000-0005-0000-0000-00004A000000}"/>
    <cellStyle name="Normál 2" xfId="75" xr:uid="{00000000-0005-0000-0000-00004B000000}"/>
    <cellStyle name="Normál 3" xfId="76" xr:uid="{00000000-0005-0000-0000-00004C000000}"/>
    <cellStyle name="Normál 4" xfId="98" xr:uid="{2B59368F-40CC-4D2D-95B6-BA2FF94EECB8}"/>
    <cellStyle name="Normál 5" xfId="101" xr:uid="{B2C18F21-F5AC-49C1-9A19-280C64BCF39C}"/>
    <cellStyle name="Normál 6" xfId="106" xr:uid="{EC6EFA6F-BCF2-4CE3-9E81-8555F4CCFAA3}"/>
    <cellStyle name="Normál_99LETSZ_LETSZ02" xfId="102" xr:uid="{C99A2501-9318-49FB-93DD-A59BD2CB0465}"/>
    <cellStyle name="Normál_ESZKFOR" xfId="92" xr:uid="{0F44EE8E-944C-43D8-915C-973751C6D5C5}"/>
    <cellStyle name="Normál_GAZDTÁRS11" xfId="100" xr:uid="{416B9FF7-B764-445C-8421-098AF991D3AE}"/>
    <cellStyle name="Normál_GAZDTÁRS13" xfId="99" xr:uid="{D3CD7742-0236-45FA-BF8E-34FA7C25984C}"/>
    <cellStyle name="Normál_GUCIFEJL" xfId="77" xr:uid="{00000000-0005-0000-0000-00004D000000}"/>
    <cellStyle name="Normál_IKÖZI" xfId="105" xr:uid="{D278D464-7358-45D8-88B0-93B1B0216923}"/>
    <cellStyle name="Normál_kiemelt eik 2013" xfId="89" xr:uid="{B55F8315-4EC1-472F-A03F-E695C60B51E7}"/>
    <cellStyle name="Normál_kozvetetttam" xfId="90" xr:uid="{2683E4D9-35FB-4B06-B3A5-9876185D3BBE}"/>
    <cellStyle name="Normál_LAKAS" xfId="93" xr:uid="{15A85D39-2C4E-4E5E-BABD-8C907A719D0C}"/>
    <cellStyle name="Normál_LETSZ06" xfId="104" xr:uid="{CC14AC22-D5CF-481D-BCCA-7F2D60812989}"/>
    <cellStyle name="Normál_letsz2011" xfId="103" xr:uid="{A43CA2FB-9A3A-44BD-ABF7-EF1D525CDEC8}"/>
    <cellStyle name="Normál_módIV12önk" xfId="88" xr:uid="{80240796-1F99-4557-B8E9-84C103D0FA66}"/>
    <cellStyle name="Normál_Munkafüzet1" xfId="95" xr:uid="{B5C4866A-D858-4C16-8755-599549ABFFDC}"/>
    <cellStyle name="Normál_Munkafüzet2" xfId="78" xr:uid="{00000000-0005-0000-0000-00004E000000}"/>
    <cellStyle name="Normál_SEGÉLY98" xfId="94" xr:uid="{C241CE3F-9B4C-42FF-BAE1-DF8F5C725EA9}"/>
    <cellStyle name="Normál_TÖBBEV" xfId="91" xr:uid="{F3925DDF-5B31-4FBD-B699-E8FA6C26DC9A}"/>
    <cellStyle name="Normál_VAGYONRE" xfId="96" xr:uid="{3FE8C416-3A76-45E1-B9BC-3BCA2A0267F6}"/>
    <cellStyle name="Normál_VAGYONZ" xfId="97" xr:uid="{A39117E3-727B-41FB-B4D4-67733A32B61C}"/>
    <cellStyle name="Note" xfId="79" xr:uid="{00000000-0005-0000-0000-00004F000000}"/>
    <cellStyle name="Output" xfId="80" xr:uid="{00000000-0005-0000-0000-000050000000}"/>
    <cellStyle name="Összesen" xfId="81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 xr:uid="{00000000-0005-0000-0000-000055000000}"/>
    <cellStyle name="Total" xfId="86" xr:uid="{00000000-0005-0000-0000-000056000000}"/>
    <cellStyle name="Warning Text" xfId="87" xr:uid="{00000000-0005-0000-0000-00005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iliana/Local%20Settings/Temporary%20Internet%20Files/OLK4D/norma_2008/0_eredeti/igeny_kieg_tablak/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ozgazd/2023/Rendelet%20m&#243;dos&#237;t&#225;s/INTrend.m&#243;d.2023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3\statisztika\rendeletm&#243;dos&#237;t&#225;s.xlsx" TargetMode="External"/><Relationship Id="rId1" Type="http://schemas.openxmlformats.org/officeDocument/2006/relationships/externalLinkPath" Target="/kozgazd/2023/statisztika/rendeletm&#243;dos&#237;t&#225;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ozgazd/2023/Rendelet%20m&#243;dos&#237;t&#225;s/Int.l&#233;tsz&#225;m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 RM I maradvány"/>
      <sheetName val="int.kiadások RM 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</sheetNames>
    <sheetDataSet>
      <sheetData sheetId="0"/>
      <sheetData sheetId="1"/>
      <sheetData sheetId="2">
        <row r="10">
          <cell r="B10">
            <v>1240</v>
          </cell>
          <cell r="E10">
            <v>0</v>
          </cell>
          <cell r="H10">
            <v>0</v>
          </cell>
          <cell r="K10">
            <v>0</v>
          </cell>
          <cell r="R10">
            <v>0</v>
          </cell>
          <cell r="U10">
            <v>0</v>
          </cell>
          <cell r="X10">
            <v>0</v>
          </cell>
          <cell r="AK10">
            <v>199383</v>
          </cell>
          <cell r="AN10">
            <v>0</v>
          </cell>
        </row>
        <row r="11">
          <cell r="B11">
            <v>1936</v>
          </cell>
          <cell r="E11">
            <v>0</v>
          </cell>
          <cell r="K11">
            <v>0</v>
          </cell>
          <cell r="R11">
            <v>0</v>
          </cell>
          <cell r="U11">
            <v>0</v>
          </cell>
          <cell r="X11">
            <v>0</v>
          </cell>
          <cell r="AK11">
            <v>138781</v>
          </cell>
          <cell r="AN11">
            <v>0</v>
          </cell>
        </row>
        <row r="12">
          <cell r="B12">
            <v>2376</v>
          </cell>
          <cell r="E12">
            <v>0</v>
          </cell>
          <cell r="K12">
            <v>0</v>
          </cell>
          <cell r="R12">
            <v>0</v>
          </cell>
          <cell r="U12">
            <v>0</v>
          </cell>
          <cell r="X12">
            <v>0</v>
          </cell>
          <cell r="AK12">
            <v>135580</v>
          </cell>
          <cell r="AN12">
            <v>0</v>
          </cell>
        </row>
        <row r="13">
          <cell r="B13">
            <v>1120</v>
          </cell>
          <cell r="E13">
            <v>0</v>
          </cell>
          <cell r="K13">
            <v>0</v>
          </cell>
          <cell r="R13">
            <v>0</v>
          </cell>
          <cell r="U13">
            <v>0</v>
          </cell>
          <cell r="X13">
            <v>0</v>
          </cell>
          <cell r="AK13">
            <v>166616</v>
          </cell>
          <cell r="AN13">
            <v>0</v>
          </cell>
        </row>
        <row r="14">
          <cell r="B14">
            <v>1352</v>
          </cell>
          <cell r="E14">
            <v>0</v>
          </cell>
          <cell r="K14">
            <v>0</v>
          </cell>
          <cell r="R14">
            <v>0</v>
          </cell>
          <cell r="U14">
            <v>0</v>
          </cell>
          <cell r="X14">
            <v>0</v>
          </cell>
          <cell r="AK14">
            <v>160496</v>
          </cell>
          <cell r="AN14">
            <v>0</v>
          </cell>
        </row>
        <row r="15">
          <cell r="B15">
            <v>1048</v>
          </cell>
          <cell r="E15">
            <v>0</v>
          </cell>
          <cell r="K15">
            <v>0</v>
          </cell>
          <cell r="R15">
            <v>0</v>
          </cell>
          <cell r="U15">
            <v>0</v>
          </cell>
          <cell r="X15">
            <v>0</v>
          </cell>
          <cell r="AK15">
            <v>134973</v>
          </cell>
          <cell r="AN15">
            <v>0</v>
          </cell>
        </row>
        <row r="16">
          <cell r="B16">
            <v>2040</v>
          </cell>
          <cell r="E16">
            <v>0</v>
          </cell>
          <cell r="K16">
            <v>0</v>
          </cell>
          <cell r="R16">
            <v>0</v>
          </cell>
          <cell r="U16">
            <v>0</v>
          </cell>
          <cell r="X16">
            <v>0</v>
          </cell>
          <cell r="AK16">
            <v>103112</v>
          </cell>
          <cell r="AN16">
            <v>0</v>
          </cell>
        </row>
        <row r="17">
          <cell r="B17">
            <v>1696</v>
          </cell>
          <cell r="E17">
            <v>0</v>
          </cell>
          <cell r="K17">
            <v>0</v>
          </cell>
          <cell r="R17">
            <v>0</v>
          </cell>
          <cell r="U17">
            <v>0</v>
          </cell>
          <cell r="X17">
            <v>0</v>
          </cell>
          <cell r="AK17">
            <v>109178</v>
          </cell>
          <cell r="AN17">
            <v>0</v>
          </cell>
        </row>
        <row r="18">
          <cell r="B18">
            <v>1576</v>
          </cell>
          <cell r="E18">
            <v>0</v>
          </cell>
          <cell r="K18">
            <v>0</v>
          </cell>
          <cell r="R18">
            <v>0</v>
          </cell>
          <cell r="U18">
            <v>0</v>
          </cell>
          <cell r="X18">
            <v>0</v>
          </cell>
          <cell r="AK18">
            <v>154321</v>
          </cell>
          <cell r="AN18">
            <v>0</v>
          </cell>
        </row>
        <row r="19">
          <cell r="B19">
            <v>880</v>
          </cell>
          <cell r="E19">
            <v>0</v>
          </cell>
          <cell r="K19">
            <v>0</v>
          </cell>
          <cell r="R19">
            <v>0</v>
          </cell>
          <cell r="U19">
            <v>0</v>
          </cell>
          <cell r="X19">
            <v>0</v>
          </cell>
          <cell r="AK19">
            <v>174472</v>
          </cell>
          <cell r="AN19">
            <v>0</v>
          </cell>
        </row>
        <row r="20">
          <cell r="B20">
            <v>600</v>
          </cell>
          <cell r="E20">
            <v>0</v>
          </cell>
          <cell r="K20">
            <v>0</v>
          </cell>
          <cell r="R20">
            <v>0</v>
          </cell>
          <cell r="U20">
            <v>0</v>
          </cell>
          <cell r="X20">
            <v>0</v>
          </cell>
          <cell r="AK20">
            <v>94615</v>
          </cell>
          <cell r="AN20">
            <v>0</v>
          </cell>
        </row>
        <row r="21">
          <cell r="B21">
            <v>960</v>
          </cell>
          <cell r="E21">
            <v>0</v>
          </cell>
          <cell r="K21">
            <v>0</v>
          </cell>
          <cell r="R21">
            <v>0</v>
          </cell>
          <cell r="U21">
            <v>0</v>
          </cell>
          <cell r="X21">
            <v>0</v>
          </cell>
          <cell r="AK21">
            <v>83005</v>
          </cell>
          <cell r="AN21">
            <v>0</v>
          </cell>
        </row>
        <row r="22">
          <cell r="B22">
            <v>1688</v>
          </cell>
          <cell r="E22">
            <v>0</v>
          </cell>
          <cell r="K22">
            <v>0</v>
          </cell>
          <cell r="R22">
            <v>0</v>
          </cell>
          <cell r="U22">
            <v>0</v>
          </cell>
          <cell r="X22">
            <v>0</v>
          </cell>
          <cell r="AK22">
            <v>110370</v>
          </cell>
          <cell r="AN22">
            <v>0</v>
          </cell>
        </row>
        <row r="23">
          <cell r="B23">
            <v>1240</v>
          </cell>
          <cell r="E23">
            <v>0</v>
          </cell>
          <cell r="K23">
            <v>0</v>
          </cell>
          <cell r="R23">
            <v>0</v>
          </cell>
          <cell r="U23">
            <v>0</v>
          </cell>
          <cell r="X23">
            <v>0</v>
          </cell>
          <cell r="AK23">
            <v>121884</v>
          </cell>
          <cell r="AN23">
            <v>0</v>
          </cell>
        </row>
        <row r="24">
          <cell r="B24">
            <v>2088</v>
          </cell>
          <cell r="E24">
            <v>0</v>
          </cell>
          <cell r="K24">
            <v>0</v>
          </cell>
          <cell r="R24">
            <v>0</v>
          </cell>
          <cell r="U24">
            <v>0</v>
          </cell>
          <cell r="X24">
            <v>0</v>
          </cell>
          <cell r="AK24">
            <v>180838</v>
          </cell>
          <cell r="AN24">
            <v>0</v>
          </cell>
        </row>
        <row r="25">
          <cell r="B25">
            <v>1040</v>
          </cell>
          <cell r="E25">
            <v>0</v>
          </cell>
          <cell r="K25">
            <v>0</v>
          </cell>
          <cell r="R25">
            <v>0</v>
          </cell>
          <cell r="U25">
            <v>0</v>
          </cell>
          <cell r="X25">
            <v>0</v>
          </cell>
          <cell r="AK25">
            <v>148431</v>
          </cell>
          <cell r="AN25">
            <v>0</v>
          </cell>
        </row>
        <row r="26">
          <cell r="B26">
            <v>360</v>
          </cell>
          <cell r="E26">
            <v>0</v>
          </cell>
          <cell r="K26">
            <v>0</v>
          </cell>
          <cell r="R26">
            <v>0</v>
          </cell>
          <cell r="U26">
            <v>0</v>
          </cell>
          <cell r="X26">
            <v>0</v>
          </cell>
          <cell r="AK26">
            <v>98228</v>
          </cell>
          <cell r="AN26">
            <v>0</v>
          </cell>
        </row>
        <row r="27">
          <cell r="B27">
            <v>680</v>
          </cell>
          <cell r="E27">
            <v>0</v>
          </cell>
          <cell r="K27">
            <v>0</v>
          </cell>
          <cell r="R27">
            <v>0</v>
          </cell>
          <cell r="U27">
            <v>0</v>
          </cell>
          <cell r="X27">
            <v>0</v>
          </cell>
          <cell r="AK27">
            <v>75472</v>
          </cell>
          <cell r="AN27">
            <v>0</v>
          </cell>
        </row>
        <row r="29">
          <cell r="B29">
            <v>545990</v>
          </cell>
          <cell r="E29">
            <v>0</v>
          </cell>
          <cell r="K29">
            <v>0</v>
          </cell>
          <cell r="R29">
            <v>0</v>
          </cell>
          <cell r="U29">
            <v>0</v>
          </cell>
          <cell r="X29">
            <v>0</v>
          </cell>
          <cell r="AK29">
            <v>1691012</v>
          </cell>
          <cell r="AN29">
            <v>0</v>
          </cell>
        </row>
        <row r="33">
          <cell r="B33">
            <v>28471</v>
          </cell>
          <cell r="E33">
            <v>0</v>
          </cell>
          <cell r="K33">
            <v>0</v>
          </cell>
          <cell r="R33">
            <v>0</v>
          </cell>
          <cell r="U33">
            <v>0</v>
          </cell>
          <cell r="X33">
            <v>0</v>
          </cell>
          <cell r="AK33">
            <v>112900</v>
          </cell>
          <cell r="AN33">
            <v>0</v>
          </cell>
        </row>
        <row r="34">
          <cell r="B34">
            <v>94166</v>
          </cell>
          <cell r="E34">
            <v>0</v>
          </cell>
          <cell r="K34">
            <v>0</v>
          </cell>
          <cell r="R34">
            <v>0</v>
          </cell>
          <cell r="U34">
            <v>0</v>
          </cell>
          <cell r="X34">
            <v>0</v>
          </cell>
          <cell r="AK34">
            <v>454029</v>
          </cell>
          <cell r="AN34">
            <v>0</v>
          </cell>
        </row>
        <row r="35">
          <cell r="B35">
            <v>26100</v>
          </cell>
          <cell r="E35">
            <v>0</v>
          </cell>
          <cell r="K35">
            <v>0</v>
          </cell>
          <cell r="R35">
            <v>0</v>
          </cell>
          <cell r="U35">
            <v>0</v>
          </cell>
          <cell r="X35">
            <v>0</v>
          </cell>
          <cell r="AK35">
            <v>297901</v>
          </cell>
          <cell r="AN35">
            <v>0</v>
          </cell>
        </row>
        <row r="36">
          <cell r="B36">
            <v>175509</v>
          </cell>
          <cell r="E36">
            <v>14324</v>
          </cell>
          <cell r="K36">
            <v>0</v>
          </cell>
          <cell r="R36">
            <v>0</v>
          </cell>
          <cell r="U36">
            <v>0</v>
          </cell>
          <cell r="X36">
            <v>0</v>
          </cell>
          <cell r="AK36">
            <v>594418</v>
          </cell>
          <cell r="AN36">
            <v>0</v>
          </cell>
        </row>
        <row r="39">
          <cell r="B39">
            <v>112207</v>
          </cell>
          <cell r="E39">
            <v>0</v>
          </cell>
          <cell r="K39">
            <v>0</v>
          </cell>
          <cell r="R39">
            <v>0</v>
          </cell>
          <cell r="U39">
            <v>0</v>
          </cell>
          <cell r="X39">
            <v>0</v>
          </cell>
          <cell r="AK39">
            <v>1174457</v>
          </cell>
          <cell r="AN39">
            <v>0</v>
          </cell>
        </row>
        <row r="41">
          <cell r="B41">
            <v>71492</v>
          </cell>
          <cell r="E41">
            <v>631076</v>
          </cell>
          <cell r="K41">
            <v>0</v>
          </cell>
          <cell r="R41">
            <v>0</v>
          </cell>
          <cell r="U41">
            <v>2995</v>
          </cell>
          <cell r="X41">
            <v>0</v>
          </cell>
          <cell r="AK41">
            <v>436845</v>
          </cell>
          <cell r="AN41">
            <v>1778</v>
          </cell>
        </row>
        <row r="43">
          <cell r="B43">
            <v>71465</v>
          </cell>
          <cell r="E43">
            <v>0</v>
          </cell>
          <cell r="K43">
            <v>0</v>
          </cell>
          <cell r="R43">
            <v>0</v>
          </cell>
          <cell r="U43">
            <v>0</v>
          </cell>
          <cell r="X43">
            <v>0</v>
          </cell>
          <cell r="AK43">
            <v>1372196</v>
          </cell>
          <cell r="AN43">
            <v>0</v>
          </cell>
        </row>
        <row r="45">
          <cell r="B45">
            <v>233971</v>
          </cell>
          <cell r="E45">
            <v>0</v>
          </cell>
          <cell r="K45">
            <v>0</v>
          </cell>
          <cell r="R45">
            <v>0</v>
          </cell>
          <cell r="U45">
            <v>0</v>
          </cell>
          <cell r="X45">
            <v>0</v>
          </cell>
          <cell r="AK45">
            <v>23503</v>
          </cell>
          <cell r="AN45">
            <v>0</v>
          </cell>
        </row>
        <row r="46">
          <cell r="B46">
            <v>14150</v>
          </cell>
          <cell r="E46">
            <v>0</v>
          </cell>
          <cell r="K46">
            <v>1850</v>
          </cell>
          <cell r="R46">
            <v>0</v>
          </cell>
          <cell r="U46">
            <v>0</v>
          </cell>
          <cell r="X46">
            <v>0</v>
          </cell>
          <cell r="AK46">
            <v>2482128</v>
          </cell>
          <cell r="AN46">
            <v>18000</v>
          </cell>
        </row>
      </sheetData>
      <sheetData sheetId="3">
        <row r="10">
          <cell r="B10">
            <v>170659</v>
          </cell>
          <cell r="E10">
            <v>25634</v>
          </cell>
          <cell r="H10">
            <v>4330</v>
          </cell>
          <cell r="L10">
            <v>0</v>
          </cell>
          <cell r="O10">
            <v>0</v>
          </cell>
          <cell r="V10">
            <v>0</v>
          </cell>
          <cell r="Y10">
            <v>0</v>
          </cell>
          <cell r="AB10">
            <v>0</v>
          </cell>
        </row>
        <row r="11">
          <cell r="B11">
            <v>122409</v>
          </cell>
          <cell r="E11">
            <v>15874</v>
          </cell>
          <cell r="H11">
            <v>2434</v>
          </cell>
          <cell r="L11">
            <v>0</v>
          </cell>
          <cell r="O11">
            <v>0</v>
          </cell>
          <cell r="V11">
            <v>0</v>
          </cell>
          <cell r="Y11">
            <v>0</v>
          </cell>
          <cell r="AB11">
            <v>0</v>
          </cell>
        </row>
        <row r="12">
          <cell r="B12">
            <v>119453</v>
          </cell>
          <cell r="E12">
            <v>15559</v>
          </cell>
          <cell r="H12">
            <v>2944</v>
          </cell>
          <cell r="L12">
            <v>0</v>
          </cell>
          <cell r="O12">
            <v>0</v>
          </cell>
          <cell r="V12">
            <v>0</v>
          </cell>
          <cell r="Y12">
            <v>0</v>
          </cell>
          <cell r="AB12">
            <v>0</v>
          </cell>
        </row>
        <row r="13">
          <cell r="B13">
            <v>142746</v>
          </cell>
          <cell r="E13">
            <v>21770</v>
          </cell>
          <cell r="H13">
            <v>3220</v>
          </cell>
          <cell r="L13">
            <v>0</v>
          </cell>
          <cell r="O13">
            <v>0</v>
          </cell>
          <cell r="V13">
            <v>0</v>
          </cell>
          <cell r="Y13">
            <v>0</v>
          </cell>
          <cell r="AB13">
            <v>0</v>
          </cell>
        </row>
        <row r="14">
          <cell r="B14">
            <v>138151</v>
          </cell>
          <cell r="E14">
            <v>20844</v>
          </cell>
          <cell r="H14">
            <v>2853</v>
          </cell>
          <cell r="L14">
            <v>0</v>
          </cell>
          <cell r="O14">
            <v>0</v>
          </cell>
          <cell r="V14">
            <v>0</v>
          </cell>
          <cell r="Y14">
            <v>0</v>
          </cell>
          <cell r="AB14">
            <v>0</v>
          </cell>
        </row>
        <row r="15">
          <cell r="B15">
            <v>117974</v>
          </cell>
          <cell r="E15">
            <v>15483</v>
          </cell>
          <cell r="H15">
            <v>2564</v>
          </cell>
          <cell r="L15">
            <v>0</v>
          </cell>
          <cell r="O15">
            <v>0</v>
          </cell>
          <cell r="V15">
            <v>0</v>
          </cell>
          <cell r="Y15">
            <v>0</v>
          </cell>
          <cell r="AB15">
            <v>0</v>
          </cell>
        </row>
        <row r="16">
          <cell r="B16">
            <v>90936</v>
          </cell>
          <cell r="E16">
            <v>11892</v>
          </cell>
          <cell r="H16">
            <v>2324</v>
          </cell>
          <cell r="L16">
            <v>0</v>
          </cell>
          <cell r="O16">
            <v>0</v>
          </cell>
          <cell r="V16">
            <v>0</v>
          </cell>
          <cell r="Y16">
            <v>0</v>
          </cell>
          <cell r="AB16">
            <v>0</v>
          </cell>
        </row>
        <row r="17">
          <cell r="B17">
            <v>96042</v>
          </cell>
          <cell r="E17">
            <v>12459</v>
          </cell>
          <cell r="H17">
            <v>2373</v>
          </cell>
          <cell r="L17">
            <v>0</v>
          </cell>
          <cell r="O17">
            <v>0</v>
          </cell>
          <cell r="V17">
            <v>0</v>
          </cell>
          <cell r="Y17">
            <v>0</v>
          </cell>
          <cell r="AB17">
            <v>0</v>
          </cell>
        </row>
        <row r="18">
          <cell r="B18">
            <v>132836</v>
          </cell>
          <cell r="E18">
            <v>20098</v>
          </cell>
          <cell r="H18">
            <v>2963</v>
          </cell>
          <cell r="L18">
            <v>0</v>
          </cell>
          <cell r="O18">
            <v>0</v>
          </cell>
          <cell r="V18">
            <v>0</v>
          </cell>
          <cell r="Y18">
            <v>0</v>
          </cell>
          <cell r="AB18">
            <v>0</v>
          </cell>
        </row>
        <row r="19">
          <cell r="B19">
            <v>149563</v>
          </cell>
          <cell r="E19">
            <v>22374</v>
          </cell>
          <cell r="H19">
            <v>3415</v>
          </cell>
          <cell r="L19">
            <v>0</v>
          </cell>
          <cell r="O19">
            <v>0</v>
          </cell>
          <cell r="V19">
            <v>0</v>
          </cell>
          <cell r="Y19">
            <v>0</v>
          </cell>
          <cell r="AB19">
            <v>0</v>
          </cell>
        </row>
        <row r="20">
          <cell r="B20">
            <v>82398</v>
          </cell>
          <cell r="E20">
            <v>10693</v>
          </cell>
          <cell r="H20">
            <v>2124</v>
          </cell>
          <cell r="L20">
            <v>0</v>
          </cell>
          <cell r="O20">
            <v>0</v>
          </cell>
          <cell r="V20">
            <v>0</v>
          </cell>
          <cell r="Y20">
            <v>0</v>
          </cell>
          <cell r="AB20">
            <v>0</v>
          </cell>
        </row>
        <row r="21">
          <cell r="B21">
            <v>72558</v>
          </cell>
          <cell r="E21">
            <v>9504</v>
          </cell>
          <cell r="H21">
            <v>1903</v>
          </cell>
          <cell r="L21">
            <v>0</v>
          </cell>
          <cell r="O21">
            <v>0</v>
          </cell>
          <cell r="V21">
            <v>0</v>
          </cell>
          <cell r="Y21">
            <v>0</v>
          </cell>
          <cell r="AB21">
            <v>0</v>
          </cell>
        </row>
        <row r="22">
          <cell r="B22">
            <v>96940</v>
          </cell>
          <cell r="E22">
            <v>12542</v>
          </cell>
          <cell r="H22">
            <v>2576</v>
          </cell>
          <cell r="L22">
            <v>0</v>
          </cell>
          <cell r="O22">
            <v>0</v>
          </cell>
          <cell r="V22">
            <v>0</v>
          </cell>
          <cell r="Y22">
            <v>0</v>
          </cell>
          <cell r="AB22">
            <v>0</v>
          </cell>
        </row>
        <row r="23">
          <cell r="B23">
            <v>106593</v>
          </cell>
          <cell r="E23">
            <v>13971</v>
          </cell>
          <cell r="H23">
            <v>2560</v>
          </cell>
          <cell r="L23">
            <v>0</v>
          </cell>
          <cell r="O23">
            <v>0</v>
          </cell>
          <cell r="V23">
            <v>0</v>
          </cell>
          <cell r="Y23">
            <v>0</v>
          </cell>
          <cell r="AB23">
            <v>0</v>
          </cell>
        </row>
        <row r="24">
          <cell r="B24">
            <v>156271</v>
          </cell>
          <cell r="E24">
            <v>23503</v>
          </cell>
          <cell r="H24">
            <v>3152</v>
          </cell>
          <cell r="L24">
            <v>0</v>
          </cell>
          <cell r="O24">
            <v>0</v>
          </cell>
          <cell r="V24">
            <v>0</v>
          </cell>
          <cell r="Y24">
            <v>0</v>
          </cell>
          <cell r="AB24">
            <v>0</v>
          </cell>
        </row>
        <row r="25">
          <cell r="B25">
            <v>129995</v>
          </cell>
          <cell r="E25">
            <v>17073</v>
          </cell>
          <cell r="H25">
            <v>2403</v>
          </cell>
          <cell r="L25">
            <v>0</v>
          </cell>
          <cell r="O25">
            <v>0</v>
          </cell>
          <cell r="V25">
            <v>0</v>
          </cell>
          <cell r="Y25">
            <v>0</v>
          </cell>
          <cell r="AB25">
            <v>0</v>
          </cell>
        </row>
        <row r="26">
          <cell r="B26">
            <v>85056</v>
          </cell>
          <cell r="E26">
            <v>11014</v>
          </cell>
          <cell r="H26">
            <v>2518</v>
          </cell>
          <cell r="L26">
            <v>0</v>
          </cell>
          <cell r="O26">
            <v>0</v>
          </cell>
          <cell r="V26">
            <v>0</v>
          </cell>
          <cell r="Y26">
            <v>0</v>
          </cell>
          <cell r="AB26">
            <v>0</v>
          </cell>
        </row>
        <row r="27">
          <cell r="B27">
            <v>65116</v>
          </cell>
          <cell r="E27">
            <v>8472</v>
          </cell>
          <cell r="H27">
            <v>2564</v>
          </cell>
          <cell r="L27">
            <v>0</v>
          </cell>
          <cell r="O27">
            <v>0</v>
          </cell>
          <cell r="V27">
            <v>0</v>
          </cell>
          <cell r="Y27">
            <v>0</v>
          </cell>
          <cell r="AB27">
            <v>0</v>
          </cell>
        </row>
        <row r="29">
          <cell r="B29">
            <v>271258</v>
          </cell>
          <cell r="E29">
            <v>40235</v>
          </cell>
          <cell r="H29">
            <v>1925509</v>
          </cell>
          <cell r="L29">
            <v>0</v>
          </cell>
          <cell r="O29">
            <v>0</v>
          </cell>
          <cell r="V29">
            <v>0</v>
          </cell>
          <cell r="Y29">
            <v>0</v>
          </cell>
          <cell r="AB29">
            <v>0</v>
          </cell>
        </row>
        <row r="33">
          <cell r="B33">
            <v>104191</v>
          </cell>
          <cell r="E33">
            <v>13178</v>
          </cell>
          <cell r="H33">
            <v>24002</v>
          </cell>
          <cell r="L33">
            <v>0</v>
          </cell>
          <cell r="O33">
            <v>0</v>
          </cell>
          <cell r="V33">
            <v>0</v>
          </cell>
          <cell r="Y33">
            <v>0</v>
          </cell>
          <cell r="AB33">
            <v>0</v>
          </cell>
        </row>
        <row r="34">
          <cell r="B34">
            <v>402163</v>
          </cell>
          <cell r="E34">
            <v>51659</v>
          </cell>
          <cell r="H34">
            <v>94373</v>
          </cell>
          <cell r="L34">
            <v>0</v>
          </cell>
          <cell r="O34">
            <v>0</v>
          </cell>
          <cell r="V34">
            <v>0</v>
          </cell>
          <cell r="Y34">
            <v>0</v>
          </cell>
          <cell r="AB34">
            <v>0</v>
          </cell>
        </row>
        <row r="35">
          <cell r="B35">
            <v>208494</v>
          </cell>
          <cell r="E35">
            <v>26840</v>
          </cell>
          <cell r="H35">
            <v>88667</v>
          </cell>
          <cell r="L35">
            <v>0</v>
          </cell>
          <cell r="O35">
            <v>0</v>
          </cell>
          <cell r="V35">
            <v>0</v>
          </cell>
          <cell r="Y35">
            <v>0</v>
          </cell>
          <cell r="AB35">
            <v>0</v>
          </cell>
        </row>
        <row r="36">
          <cell r="B36">
            <v>439629</v>
          </cell>
          <cell r="E36">
            <v>56471</v>
          </cell>
          <cell r="H36">
            <v>288151</v>
          </cell>
          <cell r="L36">
            <v>0</v>
          </cell>
          <cell r="O36">
            <v>0</v>
          </cell>
          <cell r="V36">
            <v>0</v>
          </cell>
          <cell r="Y36">
            <v>0</v>
          </cell>
          <cell r="AB36">
            <v>0</v>
          </cell>
        </row>
        <row r="39">
          <cell r="B39">
            <v>687923</v>
          </cell>
          <cell r="E39">
            <v>111189</v>
          </cell>
          <cell r="H39">
            <v>487552</v>
          </cell>
          <cell r="L39">
            <v>0</v>
          </cell>
          <cell r="O39">
            <v>0</v>
          </cell>
          <cell r="V39">
            <v>0</v>
          </cell>
          <cell r="Y39">
            <v>0</v>
          </cell>
          <cell r="AB39">
            <v>0</v>
          </cell>
        </row>
        <row r="41">
          <cell r="B41">
            <v>748409</v>
          </cell>
          <cell r="E41">
            <v>105095</v>
          </cell>
          <cell r="H41">
            <v>285909</v>
          </cell>
          <cell r="L41">
            <v>0</v>
          </cell>
          <cell r="O41">
            <v>0</v>
          </cell>
          <cell r="V41">
            <v>4773</v>
          </cell>
          <cell r="Y41">
            <v>0</v>
          </cell>
          <cell r="AB41">
            <v>0</v>
          </cell>
        </row>
        <row r="43">
          <cell r="B43">
            <v>1016902</v>
          </cell>
          <cell r="E43">
            <v>151327</v>
          </cell>
          <cell r="H43">
            <v>275432</v>
          </cell>
          <cell r="L43">
            <v>0</v>
          </cell>
          <cell r="O43">
            <v>0</v>
          </cell>
          <cell r="V43">
            <v>0</v>
          </cell>
          <cell r="Y43">
            <v>0</v>
          </cell>
          <cell r="AB43">
            <v>0</v>
          </cell>
        </row>
        <row r="45">
          <cell r="B45">
            <v>69496</v>
          </cell>
          <cell r="E45">
            <v>9120</v>
          </cell>
          <cell r="H45">
            <v>178858</v>
          </cell>
          <cell r="L45">
            <v>0</v>
          </cell>
          <cell r="O45">
            <v>0</v>
          </cell>
          <cell r="V45">
            <v>0</v>
          </cell>
          <cell r="Y45">
            <v>0</v>
          </cell>
          <cell r="AB45">
            <v>0</v>
          </cell>
        </row>
        <row r="46">
          <cell r="B46">
            <v>1738555</v>
          </cell>
          <cell r="E46">
            <v>262476</v>
          </cell>
          <cell r="H46">
            <v>495097</v>
          </cell>
          <cell r="L46">
            <v>0</v>
          </cell>
          <cell r="O46">
            <v>2000</v>
          </cell>
          <cell r="V46">
            <v>18000</v>
          </cell>
          <cell r="Y46">
            <v>0</v>
          </cell>
          <cell r="AB46">
            <v>0</v>
          </cell>
        </row>
      </sheetData>
      <sheetData sheetId="4"/>
      <sheetData sheetId="5"/>
      <sheetData sheetId="6">
        <row r="10">
          <cell r="D10">
            <v>2896</v>
          </cell>
          <cell r="G10">
            <v>0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4288</v>
          </cell>
          <cell r="AM10">
            <v>203331</v>
          </cell>
          <cell r="AP10">
            <v>2948</v>
          </cell>
        </row>
        <row r="11">
          <cell r="D11">
            <v>1245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2007</v>
          </cell>
          <cell r="AM11">
            <v>148542</v>
          </cell>
          <cell r="AP11">
            <v>3622</v>
          </cell>
        </row>
        <row r="12">
          <cell r="D12">
            <v>1990</v>
          </cell>
          <cell r="G12">
            <v>200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2046</v>
          </cell>
          <cell r="AM12">
            <v>140042</v>
          </cell>
          <cell r="AP12">
            <v>6509</v>
          </cell>
        </row>
        <row r="13">
          <cell r="D13">
            <v>1430</v>
          </cell>
          <cell r="G13">
            <v>0</v>
          </cell>
          <cell r="J13">
            <v>0</v>
          </cell>
          <cell r="M13">
            <v>0</v>
          </cell>
          <cell r="T13">
            <v>0</v>
          </cell>
          <cell r="W13">
            <v>0</v>
          </cell>
          <cell r="Z13">
            <v>0</v>
          </cell>
          <cell r="AJ13">
            <v>1084</v>
          </cell>
          <cell r="AM13">
            <v>168030</v>
          </cell>
          <cell r="AP13">
            <v>1102</v>
          </cell>
        </row>
        <row r="14">
          <cell r="D14">
            <v>1430</v>
          </cell>
          <cell r="G14">
            <v>0</v>
          </cell>
          <cell r="J14">
            <v>3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2666</v>
          </cell>
          <cell r="AM14">
            <v>163260</v>
          </cell>
          <cell r="AP14">
            <v>8782</v>
          </cell>
        </row>
        <row r="15">
          <cell r="D15">
            <v>1817</v>
          </cell>
          <cell r="G15">
            <v>0</v>
          </cell>
          <cell r="J15">
            <v>728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1916</v>
          </cell>
          <cell r="AM15">
            <v>137838</v>
          </cell>
          <cell r="AP15">
            <v>4022</v>
          </cell>
        </row>
        <row r="16">
          <cell r="D16">
            <v>1963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1531</v>
          </cell>
          <cell r="AM16">
            <v>104517</v>
          </cell>
          <cell r="AP16">
            <v>2385</v>
          </cell>
        </row>
        <row r="17">
          <cell r="D17">
            <v>1397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2713</v>
          </cell>
          <cell r="AM17">
            <v>111822</v>
          </cell>
          <cell r="AP17">
            <v>7367</v>
          </cell>
        </row>
        <row r="18">
          <cell r="D18">
            <v>1306</v>
          </cell>
          <cell r="G18">
            <v>0</v>
          </cell>
          <cell r="J18">
            <v>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2890</v>
          </cell>
          <cell r="AM18">
            <v>159811</v>
          </cell>
          <cell r="AP18">
            <v>3163</v>
          </cell>
        </row>
        <row r="19">
          <cell r="D19">
            <v>4248</v>
          </cell>
          <cell r="G19">
            <v>0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3273</v>
          </cell>
          <cell r="AM19">
            <v>181769</v>
          </cell>
          <cell r="AP19">
            <v>4383</v>
          </cell>
        </row>
        <row r="20">
          <cell r="D20">
            <v>775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1578</v>
          </cell>
          <cell r="AM20">
            <v>98521</v>
          </cell>
          <cell r="AP20">
            <v>1607</v>
          </cell>
        </row>
        <row r="21">
          <cell r="D21">
            <v>1722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1560</v>
          </cell>
          <cell r="AM21">
            <v>85731</v>
          </cell>
          <cell r="AP21">
            <v>2374</v>
          </cell>
        </row>
        <row r="22">
          <cell r="D22">
            <v>1860</v>
          </cell>
          <cell r="G22">
            <v>0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2869</v>
          </cell>
          <cell r="AM22">
            <v>117901</v>
          </cell>
          <cell r="AP22">
            <v>4434</v>
          </cell>
        </row>
        <row r="23">
          <cell r="D23">
            <v>1214</v>
          </cell>
          <cell r="G23">
            <v>200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3242</v>
          </cell>
          <cell r="AM23">
            <v>129164</v>
          </cell>
          <cell r="AP23">
            <v>2891</v>
          </cell>
        </row>
        <row r="24">
          <cell r="D24">
            <v>2426</v>
          </cell>
          <cell r="G24">
            <v>0</v>
          </cell>
          <cell r="J24">
            <v>0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3082</v>
          </cell>
          <cell r="AM24">
            <v>185625</v>
          </cell>
          <cell r="AP24">
            <v>3234</v>
          </cell>
        </row>
        <row r="25">
          <cell r="D25">
            <v>914</v>
          </cell>
          <cell r="G25">
            <v>0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2523</v>
          </cell>
          <cell r="AM25">
            <v>153037</v>
          </cell>
          <cell r="AP25">
            <v>3345</v>
          </cell>
        </row>
        <row r="26">
          <cell r="D26">
            <v>1383</v>
          </cell>
          <cell r="G26">
            <v>0</v>
          </cell>
          <cell r="J26">
            <v>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2066</v>
          </cell>
          <cell r="AM26">
            <v>100220</v>
          </cell>
          <cell r="AP26">
            <v>2780</v>
          </cell>
        </row>
        <row r="27">
          <cell r="D27">
            <v>1544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1446</v>
          </cell>
          <cell r="AM27">
            <v>78170</v>
          </cell>
          <cell r="AP27">
            <v>524</v>
          </cell>
        </row>
        <row r="29">
          <cell r="D29">
            <v>566536</v>
          </cell>
          <cell r="G29">
            <v>5519</v>
          </cell>
          <cell r="J29">
            <v>0</v>
          </cell>
          <cell r="M29">
            <v>0</v>
          </cell>
          <cell r="T29">
            <v>205</v>
          </cell>
          <cell r="W29">
            <v>0</v>
          </cell>
          <cell r="Z29">
            <v>0</v>
          </cell>
          <cell r="AJ29">
            <v>7935</v>
          </cell>
          <cell r="AM29">
            <v>1881440</v>
          </cell>
          <cell r="AP29">
            <v>123312</v>
          </cell>
        </row>
        <row r="33">
          <cell r="D33">
            <v>179782</v>
          </cell>
          <cell r="G33">
            <v>19000</v>
          </cell>
          <cell r="J33">
            <v>30</v>
          </cell>
          <cell r="M33">
            <v>0</v>
          </cell>
          <cell r="T33">
            <v>0</v>
          </cell>
          <cell r="W33">
            <v>0</v>
          </cell>
          <cell r="Z33">
            <v>0</v>
          </cell>
          <cell r="AJ33">
            <v>6128</v>
          </cell>
          <cell r="AM33">
            <v>145373</v>
          </cell>
          <cell r="AP33">
            <v>2575</v>
          </cell>
        </row>
        <row r="34">
          <cell r="D34">
            <v>114785</v>
          </cell>
          <cell r="G34">
            <v>117800</v>
          </cell>
          <cell r="J34">
            <v>2000</v>
          </cell>
          <cell r="M34">
            <v>0</v>
          </cell>
          <cell r="T34">
            <v>3100</v>
          </cell>
          <cell r="W34">
            <v>19380</v>
          </cell>
          <cell r="Z34">
            <v>0</v>
          </cell>
          <cell r="AJ34">
            <v>211033</v>
          </cell>
          <cell r="AM34">
            <v>513728</v>
          </cell>
          <cell r="AP34">
            <v>40593</v>
          </cell>
        </row>
        <row r="35">
          <cell r="D35">
            <v>35262</v>
          </cell>
          <cell r="G35">
            <v>10892</v>
          </cell>
          <cell r="J35">
            <v>10000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29761</v>
          </cell>
          <cell r="AM35">
            <v>498015</v>
          </cell>
          <cell r="AP35">
            <v>23369</v>
          </cell>
        </row>
        <row r="36">
          <cell r="D36">
            <v>175509</v>
          </cell>
          <cell r="G36">
            <v>52657</v>
          </cell>
          <cell r="J36">
            <v>4094</v>
          </cell>
          <cell r="M36">
            <v>0</v>
          </cell>
          <cell r="T36">
            <v>157</v>
          </cell>
          <cell r="W36">
            <v>12100</v>
          </cell>
          <cell r="Z36">
            <v>0</v>
          </cell>
          <cell r="AJ36">
            <v>97177</v>
          </cell>
          <cell r="AM36">
            <v>672836</v>
          </cell>
          <cell r="AP36">
            <v>6992</v>
          </cell>
        </row>
        <row r="39">
          <cell r="D39">
            <v>199033</v>
          </cell>
          <cell r="G39">
            <v>4439</v>
          </cell>
          <cell r="J39">
            <v>50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2300</v>
          </cell>
          <cell r="AM39">
            <v>1383152</v>
          </cell>
          <cell r="AP39">
            <v>85640</v>
          </cell>
        </row>
        <row r="41">
          <cell r="D41">
            <v>63469</v>
          </cell>
          <cell r="G41">
            <v>607320</v>
          </cell>
          <cell r="J41">
            <v>0</v>
          </cell>
          <cell r="M41">
            <v>0</v>
          </cell>
          <cell r="T41">
            <v>5</v>
          </cell>
          <cell r="W41">
            <v>2995</v>
          </cell>
          <cell r="AJ41">
            <v>70179</v>
          </cell>
          <cell r="AM41">
            <v>579982</v>
          </cell>
          <cell r="AP41">
            <v>33797</v>
          </cell>
        </row>
        <row r="43">
          <cell r="D43">
            <v>90865</v>
          </cell>
          <cell r="G43">
            <v>19926</v>
          </cell>
          <cell r="J43">
            <v>0</v>
          </cell>
          <cell r="M43">
            <v>0</v>
          </cell>
          <cell r="T43">
            <v>0</v>
          </cell>
          <cell r="W43">
            <v>0</v>
          </cell>
          <cell r="Z43">
            <v>0</v>
          </cell>
          <cell r="AJ43">
            <v>914</v>
          </cell>
          <cell r="AM43">
            <v>1445276</v>
          </cell>
          <cell r="AP43">
            <v>54090</v>
          </cell>
        </row>
        <row r="45">
          <cell r="D45">
            <v>227877</v>
          </cell>
          <cell r="G45">
            <v>0</v>
          </cell>
          <cell r="J45">
            <v>0</v>
          </cell>
          <cell r="M45">
            <v>0</v>
          </cell>
          <cell r="T45">
            <v>0</v>
          </cell>
          <cell r="W45">
            <v>0</v>
          </cell>
          <cell r="Z45">
            <v>0</v>
          </cell>
          <cell r="AJ45">
            <v>8929</v>
          </cell>
          <cell r="AM45">
            <v>28332</v>
          </cell>
          <cell r="AP45">
            <v>12032</v>
          </cell>
        </row>
        <row r="46">
          <cell r="D46">
            <v>25465</v>
          </cell>
          <cell r="G46">
            <v>5544</v>
          </cell>
          <cell r="J46">
            <v>1000</v>
          </cell>
          <cell r="M46">
            <v>2412</v>
          </cell>
          <cell r="T46">
            <v>890</v>
          </cell>
          <cell r="W46">
            <v>0</v>
          </cell>
          <cell r="Z46">
            <v>0</v>
          </cell>
          <cell r="AJ46">
            <v>6008</v>
          </cell>
          <cell r="AM46">
            <v>2708907</v>
          </cell>
          <cell r="AP46">
            <v>46112</v>
          </cell>
        </row>
      </sheetData>
      <sheetData sheetId="7">
        <row r="10">
          <cell r="D10">
            <v>177899</v>
          </cell>
          <cell r="G10">
            <v>26584</v>
          </cell>
          <cell r="J10">
            <v>6032</v>
          </cell>
          <cell r="N10">
            <v>0</v>
          </cell>
          <cell r="Q10">
            <v>0</v>
          </cell>
          <cell r="X10">
            <v>2948</v>
          </cell>
          <cell r="AA10">
            <v>0</v>
          </cell>
          <cell r="AD10">
            <v>0</v>
          </cell>
        </row>
        <row r="11">
          <cell r="D11">
            <v>128318</v>
          </cell>
          <cell r="G11">
            <v>16658</v>
          </cell>
          <cell r="J11">
            <v>6818</v>
          </cell>
          <cell r="N11">
            <v>0</v>
          </cell>
          <cell r="Q11">
            <v>0</v>
          </cell>
          <cell r="X11">
            <v>3622</v>
          </cell>
          <cell r="AA11">
            <v>0</v>
          </cell>
          <cell r="AD11">
            <v>0</v>
          </cell>
        </row>
        <row r="12">
          <cell r="D12">
            <v>122509</v>
          </cell>
          <cell r="G12">
            <v>16129</v>
          </cell>
          <cell r="J12">
            <v>5640</v>
          </cell>
          <cell r="N12">
            <v>0</v>
          </cell>
          <cell r="Q12">
            <v>0</v>
          </cell>
          <cell r="X12">
            <v>6509</v>
          </cell>
          <cell r="AA12">
            <v>0</v>
          </cell>
          <cell r="AD12">
            <v>0</v>
          </cell>
        </row>
        <row r="13">
          <cell r="D13">
            <v>142153</v>
          </cell>
          <cell r="G13">
            <v>21738</v>
          </cell>
          <cell r="J13">
            <v>6653</v>
          </cell>
          <cell r="N13">
            <v>0</v>
          </cell>
          <cell r="Q13">
            <v>0</v>
          </cell>
          <cell r="X13">
            <v>1102</v>
          </cell>
          <cell r="AA13">
            <v>0</v>
          </cell>
          <cell r="AD13">
            <v>0</v>
          </cell>
        </row>
        <row r="14">
          <cell r="D14">
            <v>139264</v>
          </cell>
          <cell r="G14">
            <v>20998</v>
          </cell>
          <cell r="J14">
            <v>7097</v>
          </cell>
          <cell r="N14">
            <v>0</v>
          </cell>
          <cell r="Q14">
            <v>0</v>
          </cell>
          <cell r="X14">
            <v>8782</v>
          </cell>
          <cell r="AA14">
            <v>0</v>
          </cell>
          <cell r="AD14">
            <v>0</v>
          </cell>
        </row>
        <row r="15">
          <cell r="D15">
            <v>120441</v>
          </cell>
          <cell r="G15">
            <v>15921</v>
          </cell>
          <cell r="J15">
            <v>5937</v>
          </cell>
          <cell r="N15">
            <v>0</v>
          </cell>
          <cell r="Q15">
            <v>0</v>
          </cell>
          <cell r="X15">
            <v>2527</v>
          </cell>
          <cell r="AA15">
            <v>1495</v>
          </cell>
          <cell r="AD15">
            <v>0</v>
          </cell>
        </row>
        <row r="16">
          <cell r="D16">
            <v>92336</v>
          </cell>
          <cell r="G16">
            <v>12120</v>
          </cell>
          <cell r="J16">
            <v>3555</v>
          </cell>
          <cell r="N16">
            <v>0</v>
          </cell>
          <cell r="Q16">
            <v>0</v>
          </cell>
          <cell r="X16">
            <v>2385</v>
          </cell>
          <cell r="AA16">
            <v>0</v>
          </cell>
          <cell r="AD16">
            <v>0</v>
          </cell>
        </row>
        <row r="17">
          <cell r="D17">
            <v>99086</v>
          </cell>
          <cell r="G17">
            <v>12928</v>
          </cell>
          <cell r="J17">
            <v>3918</v>
          </cell>
          <cell r="N17">
            <v>0</v>
          </cell>
          <cell r="Q17">
            <v>0</v>
          </cell>
          <cell r="X17">
            <v>3128</v>
          </cell>
          <cell r="AA17">
            <v>4239</v>
          </cell>
          <cell r="AD17">
            <v>0</v>
          </cell>
        </row>
        <row r="18">
          <cell r="D18">
            <v>138416</v>
          </cell>
          <cell r="G18">
            <v>20841</v>
          </cell>
          <cell r="J18">
            <v>4750</v>
          </cell>
          <cell r="N18">
            <v>0</v>
          </cell>
          <cell r="Q18">
            <v>0</v>
          </cell>
          <cell r="X18">
            <v>3163</v>
          </cell>
          <cell r="AA18">
            <v>0</v>
          </cell>
          <cell r="AD18">
            <v>0</v>
          </cell>
        </row>
        <row r="19">
          <cell r="D19">
            <v>157972</v>
          </cell>
          <cell r="G19">
            <v>23461</v>
          </cell>
          <cell r="J19">
            <v>7857</v>
          </cell>
          <cell r="N19">
            <v>0</v>
          </cell>
          <cell r="Q19">
            <v>0</v>
          </cell>
          <cell r="X19">
            <v>1916</v>
          </cell>
          <cell r="AA19">
            <v>2467</v>
          </cell>
          <cell r="AD19">
            <v>0</v>
          </cell>
        </row>
        <row r="20">
          <cell r="D20">
            <v>86378</v>
          </cell>
          <cell r="G20">
            <v>11226</v>
          </cell>
          <cell r="J20">
            <v>3270</v>
          </cell>
          <cell r="N20">
            <v>0</v>
          </cell>
          <cell r="Q20">
            <v>0</v>
          </cell>
          <cell r="X20">
            <v>1607</v>
          </cell>
          <cell r="AA20">
            <v>0</v>
          </cell>
          <cell r="AD20">
            <v>0</v>
          </cell>
        </row>
        <row r="21">
          <cell r="D21">
            <v>75304</v>
          </cell>
          <cell r="G21">
            <v>9929</v>
          </cell>
          <cell r="J21">
            <v>3780</v>
          </cell>
          <cell r="N21">
            <v>0</v>
          </cell>
          <cell r="Q21">
            <v>0</v>
          </cell>
          <cell r="X21">
            <v>2374</v>
          </cell>
          <cell r="AA21">
            <v>0</v>
          </cell>
          <cell r="AD21">
            <v>0</v>
          </cell>
        </row>
        <row r="22">
          <cell r="D22">
            <v>104837</v>
          </cell>
          <cell r="G22">
            <v>13578</v>
          </cell>
          <cell r="J22">
            <v>4215</v>
          </cell>
          <cell r="N22">
            <v>0</v>
          </cell>
          <cell r="Q22">
            <v>0</v>
          </cell>
          <cell r="X22">
            <v>4434</v>
          </cell>
          <cell r="AA22">
            <v>0</v>
          </cell>
          <cell r="AD22">
            <v>0</v>
          </cell>
        </row>
        <row r="23">
          <cell r="D23">
            <v>114080</v>
          </cell>
          <cell r="G23">
            <v>15111</v>
          </cell>
          <cell r="J23">
            <v>4629</v>
          </cell>
          <cell r="N23">
            <v>0</v>
          </cell>
          <cell r="Q23">
            <v>0</v>
          </cell>
          <cell r="X23">
            <v>742</v>
          </cell>
          <cell r="AA23">
            <v>2149</v>
          </cell>
          <cell r="AD23">
            <v>0</v>
          </cell>
        </row>
        <row r="24">
          <cell r="D24">
            <v>161835</v>
          </cell>
          <cell r="G24">
            <v>24230</v>
          </cell>
          <cell r="J24">
            <v>5068</v>
          </cell>
          <cell r="N24">
            <v>0</v>
          </cell>
          <cell r="Q24">
            <v>0</v>
          </cell>
          <cell r="X24">
            <v>3234</v>
          </cell>
          <cell r="AA24">
            <v>0</v>
          </cell>
          <cell r="AD24">
            <v>0</v>
          </cell>
        </row>
        <row r="25">
          <cell r="D25">
            <v>133447</v>
          </cell>
          <cell r="G25">
            <v>17641</v>
          </cell>
          <cell r="J25">
            <v>5386</v>
          </cell>
          <cell r="N25">
            <v>0</v>
          </cell>
          <cell r="Q25">
            <v>0</v>
          </cell>
          <cell r="X25">
            <v>3345</v>
          </cell>
          <cell r="AA25">
            <v>0</v>
          </cell>
          <cell r="AD25">
            <v>0</v>
          </cell>
        </row>
        <row r="26">
          <cell r="D26">
            <v>87855</v>
          </cell>
          <cell r="G26">
            <v>11449</v>
          </cell>
          <cell r="J26">
            <v>4365</v>
          </cell>
          <cell r="N26">
            <v>0</v>
          </cell>
          <cell r="Q26">
            <v>0</v>
          </cell>
          <cell r="X26">
            <v>2780</v>
          </cell>
          <cell r="AA26">
            <v>0</v>
          </cell>
          <cell r="AD26">
            <v>0</v>
          </cell>
        </row>
        <row r="27">
          <cell r="D27">
            <v>66802</v>
          </cell>
          <cell r="G27">
            <v>8736</v>
          </cell>
          <cell r="J27">
            <v>5622</v>
          </cell>
          <cell r="N27">
            <v>0</v>
          </cell>
          <cell r="Q27">
            <v>0</v>
          </cell>
          <cell r="X27">
            <v>524</v>
          </cell>
          <cell r="AA27">
            <v>0</v>
          </cell>
          <cell r="AD27">
            <v>0</v>
          </cell>
        </row>
        <row r="29">
          <cell r="D29">
            <v>276529</v>
          </cell>
          <cell r="G29">
            <v>40669</v>
          </cell>
          <cell r="J29">
            <v>2144232</v>
          </cell>
          <cell r="N29">
            <v>0</v>
          </cell>
          <cell r="Q29">
            <v>0</v>
          </cell>
          <cell r="X29">
            <v>99592</v>
          </cell>
          <cell r="AA29">
            <v>23925</v>
          </cell>
          <cell r="AD29">
            <v>0</v>
          </cell>
        </row>
        <row r="33">
          <cell r="D33">
            <v>143560</v>
          </cell>
          <cell r="G33">
            <v>15196</v>
          </cell>
          <cell r="J33">
            <v>191520</v>
          </cell>
          <cell r="N33">
            <v>0</v>
          </cell>
          <cell r="Q33">
            <v>37</v>
          </cell>
          <cell r="X33">
            <v>2575</v>
          </cell>
          <cell r="AA33">
            <v>0</v>
          </cell>
          <cell r="AD33">
            <v>0</v>
          </cell>
        </row>
        <row r="34">
          <cell r="D34">
            <v>560736</v>
          </cell>
          <cell r="G34">
            <v>69363</v>
          </cell>
          <cell r="J34">
            <v>321185</v>
          </cell>
          <cell r="N34">
            <v>0</v>
          </cell>
          <cell r="Q34">
            <v>8062</v>
          </cell>
          <cell r="X34">
            <v>63073</v>
          </cell>
          <cell r="AA34">
            <v>0</v>
          </cell>
          <cell r="AD34">
            <v>0</v>
          </cell>
        </row>
        <row r="35">
          <cell r="D35">
            <v>272019</v>
          </cell>
          <cell r="G35">
            <v>37512</v>
          </cell>
          <cell r="J35">
            <v>272328</v>
          </cell>
          <cell r="N35">
            <v>0</v>
          </cell>
          <cell r="Q35">
            <v>2071</v>
          </cell>
          <cell r="X35">
            <v>23369</v>
          </cell>
          <cell r="AA35">
            <v>0</v>
          </cell>
          <cell r="AD35">
            <v>0</v>
          </cell>
        </row>
        <row r="36">
          <cell r="D36">
            <v>510909</v>
          </cell>
          <cell r="G36">
            <v>65681</v>
          </cell>
          <cell r="J36">
            <v>425683</v>
          </cell>
          <cell r="N36">
            <v>0</v>
          </cell>
          <cell r="Q36">
            <v>0</v>
          </cell>
          <cell r="X36">
            <v>19249</v>
          </cell>
          <cell r="AA36">
            <v>0</v>
          </cell>
          <cell r="AD36">
            <v>0</v>
          </cell>
        </row>
        <row r="39">
          <cell r="D39">
            <v>904978</v>
          </cell>
          <cell r="G39">
            <v>127860</v>
          </cell>
          <cell r="J39">
            <v>556136</v>
          </cell>
          <cell r="N39">
            <v>0</v>
          </cell>
          <cell r="Q39">
            <v>0</v>
          </cell>
          <cell r="X39">
            <v>16226</v>
          </cell>
          <cell r="AA39">
            <v>69414</v>
          </cell>
          <cell r="AD39">
            <v>0</v>
          </cell>
        </row>
        <row r="41">
          <cell r="D41">
            <v>792416</v>
          </cell>
          <cell r="G41">
            <v>110491</v>
          </cell>
          <cell r="J41">
            <v>418043</v>
          </cell>
          <cell r="N41">
            <v>0</v>
          </cell>
          <cell r="Q41">
            <v>0</v>
          </cell>
          <cell r="X41">
            <v>4697</v>
          </cell>
          <cell r="AA41">
            <v>32100</v>
          </cell>
          <cell r="AD41">
            <v>0</v>
          </cell>
        </row>
        <row r="43">
          <cell r="D43">
            <v>1104175</v>
          </cell>
          <cell r="G43">
            <v>162836</v>
          </cell>
          <cell r="J43">
            <v>289970</v>
          </cell>
          <cell r="N43">
            <v>0</v>
          </cell>
          <cell r="Q43">
            <v>0</v>
          </cell>
          <cell r="X43">
            <v>14796</v>
          </cell>
          <cell r="AA43">
            <v>39294</v>
          </cell>
          <cell r="AD43">
            <v>0</v>
          </cell>
        </row>
        <row r="45">
          <cell r="D45">
            <v>56922</v>
          </cell>
          <cell r="G45">
            <v>7782</v>
          </cell>
          <cell r="J45">
            <v>200434</v>
          </cell>
          <cell r="N45">
            <v>0</v>
          </cell>
          <cell r="Q45">
            <v>0</v>
          </cell>
          <cell r="X45">
            <v>7082</v>
          </cell>
          <cell r="AA45">
            <v>4950</v>
          </cell>
          <cell r="AD45">
            <v>0</v>
          </cell>
        </row>
        <row r="46">
          <cell r="D46">
            <v>1923249</v>
          </cell>
          <cell r="G46">
            <v>295542</v>
          </cell>
          <cell r="J46">
            <v>520917</v>
          </cell>
          <cell r="N46">
            <v>0</v>
          </cell>
          <cell r="Q46">
            <v>9628</v>
          </cell>
          <cell r="X46">
            <v>47002</v>
          </cell>
          <cell r="AA46">
            <v>0</v>
          </cell>
          <cell r="AD4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árszámadás"/>
      <sheetName val="zárszámelszalap"/>
      <sheetName val="zárszámkiegtám"/>
      <sheetName val="III.sz. rendmód.  "/>
      <sheetName val="III.sz. októberi kiegtám"/>
      <sheetName val="III.sz. októberi alapnormatíva"/>
      <sheetName val="II.sz. rendmód. "/>
      <sheetName val="II. májusi alapnormatíva"/>
      <sheetName val="II.sz. rendmód.  kiegtám"/>
      <sheetName val="I.sz. rendmód."/>
      <sheetName val="kieg.támogatás"/>
      <sheetName val="2023.költségvetési rendelet"/>
    </sheetNames>
    <sheetDataSet>
      <sheetData sheetId="0"/>
      <sheetData sheetId="1">
        <row r="7">
          <cell r="D7"/>
        </row>
        <row r="8">
          <cell r="D8"/>
        </row>
        <row r="9">
          <cell r="D9"/>
        </row>
        <row r="10">
          <cell r="D10"/>
        </row>
        <row r="11">
          <cell r="D11"/>
        </row>
        <row r="12">
          <cell r="D12"/>
        </row>
        <row r="13">
          <cell r="D13"/>
        </row>
        <row r="14">
          <cell r="D14">
            <v>4</v>
          </cell>
        </row>
        <row r="18">
          <cell r="D18">
            <v>468</v>
          </cell>
        </row>
        <row r="19">
          <cell r="D19"/>
        </row>
        <row r="20">
          <cell r="D20">
            <v>1579</v>
          </cell>
        </row>
        <row r="21">
          <cell r="D21"/>
        </row>
        <row r="22">
          <cell r="D22"/>
        </row>
        <row r="23">
          <cell r="D23"/>
        </row>
        <row r="24">
          <cell r="D24"/>
        </row>
        <row r="25">
          <cell r="D25"/>
        </row>
        <row r="26">
          <cell r="D26"/>
        </row>
        <row r="27">
          <cell r="D27"/>
        </row>
        <row r="28">
          <cell r="D28"/>
        </row>
        <row r="29">
          <cell r="D29"/>
        </row>
        <row r="30">
          <cell r="D30"/>
        </row>
        <row r="31">
          <cell r="D31"/>
        </row>
        <row r="32">
          <cell r="D32">
            <v>47</v>
          </cell>
        </row>
        <row r="33">
          <cell r="D33"/>
        </row>
        <row r="34">
          <cell r="D34"/>
        </row>
        <row r="35">
          <cell r="D35"/>
        </row>
        <row r="36">
          <cell r="D36"/>
        </row>
        <row r="37">
          <cell r="D37"/>
        </row>
        <row r="38">
          <cell r="D38"/>
        </row>
        <row r="39">
          <cell r="D39"/>
        </row>
        <row r="40">
          <cell r="D40"/>
        </row>
        <row r="41">
          <cell r="D41"/>
        </row>
        <row r="42">
          <cell r="D42"/>
        </row>
        <row r="43">
          <cell r="D43"/>
        </row>
        <row r="44">
          <cell r="D44"/>
        </row>
        <row r="45">
          <cell r="D45">
            <v>144</v>
          </cell>
        </row>
        <row r="49">
          <cell r="D49"/>
        </row>
        <row r="50">
          <cell r="D50"/>
        </row>
        <row r="51">
          <cell r="D51">
            <v>1181</v>
          </cell>
        </row>
        <row r="52">
          <cell r="D52"/>
        </row>
        <row r="53">
          <cell r="D53">
            <v>-463</v>
          </cell>
        </row>
        <row r="54">
          <cell r="D54">
            <v>282</v>
          </cell>
        </row>
        <row r="55">
          <cell r="D55"/>
        </row>
        <row r="59">
          <cell r="D59"/>
        </row>
        <row r="60">
          <cell r="D60"/>
        </row>
        <row r="61">
          <cell r="D61"/>
        </row>
        <row r="64">
          <cell r="D64"/>
        </row>
        <row r="70">
          <cell r="D70">
            <v>14096</v>
          </cell>
        </row>
        <row r="71">
          <cell r="D71"/>
        </row>
        <row r="72">
          <cell r="D72">
            <v>25</v>
          </cell>
        </row>
        <row r="75">
          <cell r="D75"/>
        </row>
        <row r="76">
          <cell r="D76"/>
        </row>
        <row r="81">
          <cell r="D81"/>
        </row>
        <row r="82">
          <cell r="D82"/>
        </row>
        <row r="83">
          <cell r="D83"/>
        </row>
        <row r="84">
          <cell r="D84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5">
          <cell r="D95"/>
        </row>
        <row r="96">
          <cell r="D96"/>
        </row>
      </sheetData>
      <sheetData sheetId="2">
        <row r="7">
          <cell r="D7"/>
        </row>
        <row r="8">
          <cell r="D8"/>
        </row>
        <row r="9">
          <cell r="D9"/>
        </row>
        <row r="10">
          <cell r="D10"/>
        </row>
        <row r="11">
          <cell r="D11"/>
        </row>
        <row r="12">
          <cell r="D12"/>
        </row>
        <row r="13">
          <cell r="D13"/>
        </row>
        <row r="14">
          <cell r="D14"/>
        </row>
        <row r="18">
          <cell r="D18">
            <v>25</v>
          </cell>
        </row>
        <row r="19">
          <cell r="D19"/>
        </row>
        <row r="20">
          <cell r="D20">
            <v>283</v>
          </cell>
        </row>
        <row r="21">
          <cell r="D21"/>
        </row>
        <row r="22">
          <cell r="D22"/>
        </row>
        <row r="23">
          <cell r="D23"/>
        </row>
        <row r="24">
          <cell r="D24"/>
        </row>
        <row r="25">
          <cell r="D25"/>
        </row>
        <row r="26">
          <cell r="D26"/>
        </row>
        <row r="27">
          <cell r="D27"/>
        </row>
        <row r="28">
          <cell r="D28"/>
        </row>
        <row r="29">
          <cell r="D29"/>
        </row>
        <row r="30">
          <cell r="D30"/>
        </row>
        <row r="31">
          <cell r="D31"/>
        </row>
        <row r="32">
          <cell r="D32">
            <v>7</v>
          </cell>
        </row>
        <row r="33">
          <cell r="D33"/>
        </row>
        <row r="34">
          <cell r="D34"/>
        </row>
        <row r="35">
          <cell r="D35"/>
        </row>
        <row r="36">
          <cell r="D36"/>
        </row>
        <row r="37">
          <cell r="D37"/>
        </row>
        <row r="38">
          <cell r="D38"/>
        </row>
        <row r="39">
          <cell r="D39"/>
        </row>
        <row r="40">
          <cell r="D40"/>
        </row>
        <row r="41">
          <cell r="D41"/>
        </row>
        <row r="42">
          <cell r="D42"/>
        </row>
        <row r="43">
          <cell r="D43"/>
        </row>
        <row r="44">
          <cell r="D44"/>
        </row>
        <row r="45">
          <cell r="D45"/>
        </row>
        <row r="49">
          <cell r="D49"/>
        </row>
        <row r="50">
          <cell r="D50"/>
        </row>
        <row r="51">
          <cell r="D51">
            <v>93</v>
          </cell>
        </row>
        <row r="52">
          <cell r="D52"/>
        </row>
        <row r="53">
          <cell r="D53">
            <v>-74</v>
          </cell>
        </row>
        <row r="54">
          <cell r="D54">
            <v>36</v>
          </cell>
        </row>
        <row r="55">
          <cell r="D55"/>
        </row>
        <row r="59">
          <cell r="D59"/>
        </row>
        <row r="60">
          <cell r="D60"/>
        </row>
        <row r="61">
          <cell r="D61"/>
        </row>
        <row r="64">
          <cell r="D64"/>
        </row>
        <row r="70">
          <cell r="D70">
            <v>1361</v>
          </cell>
        </row>
        <row r="71">
          <cell r="D71"/>
        </row>
        <row r="72">
          <cell r="D72"/>
        </row>
        <row r="75">
          <cell r="D75"/>
        </row>
        <row r="76">
          <cell r="D76"/>
        </row>
        <row r="81">
          <cell r="D81"/>
        </row>
        <row r="82">
          <cell r="D82"/>
        </row>
        <row r="83">
          <cell r="D83"/>
        </row>
        <row r="84">
          <cell r="D84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5">
          <cell r="D95"/>
        </row>
        <row r="96">
          <cell r="D96"/>
        </row>
      </sheetData>
      <sheetData sheetId="3">
        <row r="69">
          <cell r="I69">
            <v>66367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étszám ei mód 2022-2023eltérés"/>
      <sheetName val="2023 évi nyitó létszám "/>
      <sheetName val="létszám ei mód RM I."/>
      <sheetName val="létszám ei mód RM II."/>
      <sheetName val="létszám ei mód RM III."/>
    </sheetNames>
    <sheetDataSet>
      <sheetData sheetId="0"/>
      <sheetData sheetId="1"/>
      <sheetData sheetId="2"/>
      <sheetData sheetId="3"/>
      <sheetData sheetId="4">
        <row r="9">
          <cell r="F9">
            <v>33</v>
          </cell>
          <cell r="G9">
            <v>33</v>
          </cell>
          <cell r="L9">
            <v>1</v>
          </cell>
          <cell r="M9">
            <v>1</v>
          </cell>
        </row>
        <row r="10">
          <cell r="F10">
            <v>23</v>
          </cell>
          <cell r="G10">
            <v>23</v>
          </cell>
          <cell r="L10">
            <v>1</v>
          </cell>
          <cell r="M10">
            <v>1</v>
          </cell>
        </row>
        <row r="11">
          <cell r="F11">
            <v>23</v>
          </cell>
          <cell r="G11">
            <v>23</v>
          </cell>
          <cell r="L11">
            <v>1</v>
          </cell>
          <cell r="M11">
            <v>1</v>
          </cell>
        </row>
        <row r="12">
          <cell r="F12">
            <v>28</v>
          </cell>
          <cell r="G12">
            <v>28</v>
          </cell>
          <cell r="L12">
            <v>1</v>
          </cell>
          <cell r="M12">
            <v>1</v>
          </cell>
        </row>
        <row r="13">
          <cell r="F13">
            <v>26</v>
          </cell>
          <cell r="G13">
            <v>26</v>
          </cell>
          <cell r="L13">
            <v>1</v>
          </cell>
          <cell r="M13">
            <v>1</v>
          </cell>
        </row>
        <row r="14">
          <cell r="F14">
            <v>23</v>
          </cell>
          <cell r="G14">
            <v>23</v>
          </cell>
          <cell r="L14">
            <v>1</v>
          </cell>
          <cell r="M14">
            <v>1</v>
          </cell>
        </row>
        <row r="15">
          <cell r="F15">
            <v>19</v>
          </cell>
          <cell r="G15">
            <v>19</v>
          </cell>
          <cell r="L15">
            <v>1</v>
          </cell>
          <cell r="M15">
            <v>1</v>
          </cell>
        </row>
        <row r="16">
          <cell r="F16">
            <v>18</v>
          </cell>
          <cell r="G16">
            <v>18</v>
          </cell>
          <cell r="L16">
            <v>1</v>
          </cell>
          <cell r="M16">
            <v>1</v>
          </cell>
        </row>
        <row r="17">
          <cell r="F17">
            <v>27</v>
          </cell>
          <cell r="G17">
            <v>27</v>
          </cell>
          <cell r="L17">
            <v>1</v>
          </cell>
          <cell r="M17">
            <v>1</v>
          </cell>
        </row>
        <row r="18">
          <cell r="F18">
            <v>30</v>
          </cell>
          <cell r="G18">
            <v>30</v>
          </cell>
          <cell r="L18">
            <v>1</v>
          </cell>
          <cell r="M18">
            <v>1</v>
          </cell>
        </row>
        <row r="19">
          <cell r="F19">
            <v>15</v>
          </cell>
          <cell r="G19">
            <v>15</v>
          </cell>
          <cell r="L19">
            <v>1</v>
          </cell>
          <cell r="M19">
            <v>1</v>
          </cell>
        </row>
        <row r="20">
          <cell r="F20">
            <v>13.5</v>
          </cell>
          <cell r="G20">
            <v>13</v>
          </cell>
          <cell r="L20">
            <v>1.5</v>
          </cell>
          <cell r="M20">
            <v>2</v>
          </cell>
        </row>
        <row r="21">
          <cell r="F21">
            <v>19</v>
          </cell>
          <cell r="G21">
            <v>19</v>
          </cell>
          <cell r="L21">
            <v>1</v>
          </cell>
          <cell r="M21">
            <v>1</v>
          </cell>
        </row>
        <row r="22">
          <cell r="F22">
            <v>20</v>
          </cell>
          <cell r="G22">
            <v>20</v>
          </cell>
          <cell r="L22">
            <v>1</v>
          </cell>
          <cell r="M22">
            <v>1</v>
          </cell>
        </row>
        <row r="23">
          <cell r="F23">
            <v>30</v>
          </cell>
          <cell r="G23">
            <v>30</v>
          </cell>
          <cell r="L23">
            <v>1</v>
          </cell>
          <cell r="M23">
            <v>1</v>
          </cell>
        </row>
        <row r="24">
          <cell r="F24">
            <v>23</v>
          </cell>
          <cell r="G24">
            <v>23</v>
          </cell>
          <cell r="L24">
            <v>1</v>
          </cell>
          <cell r="M24">
            <v>1</v>
          </cell>
        </row>
        <row r="25">
          <cell r="F25">
            <v>17</v>
          </cell>
          <cell r="G25">
            <v>17</v>
          </cell>
          <cell r="L25">
            <v>1</v>
          </cell>
          <cell r="M25">
            <v>1</v>
          </cell>
        </row>
        <row r="26">
          <cell r="F26">
            <v>11.5</v>
          </cell>
          <cell r="G26">
            <v>12</v>
          </cell>
          <cell r="L26">
            <v>1.5</v>
          </cell>
          <cell r="M26">
            <v>1</v>
          </cell>
        </row>
        <row r="28">
          <cell r="F28">
            <v>0</v>
          </cell>
          <cell r="G28">
            <v>0</v>
          </cell>
          <cell r="L28">
            <v>44</v>
          </cell>
          <cell r="M28">
            <v>44</v>
          </cell>
        </row>
        <row r="32">
          <cell r="F32">
            <v>18</v>
          </cell>
          <cell r="G32">
            <v>18</v>
          </cell>
          <cell r="L32">
            <v>1.75</v>
          </cell>
          <cell r="M32">
            <v>2</v>
          </cell>
        </row>
        <row r="33">
          <cell r="F33">
            <v>77</v>
          </cell>
          <cell r="G33">
            <v>77</v>
          </cell>
          <cell r="L33">
            <v>7.5</v>
          </cell>
          <cell r="M33">
            <v>7</v>
          </cell>
        </row>
        <row r="34">
          <cell r="F34">
            <v>35</v>
          </cell>
          <cell r="G34">
            <v>35</v>
          </cell>
          <cell r="L34">
            <v>11</v>
          </cell>
          <cell r="M34">
            <v>11</v>
          </cell>
        </row>
        <row r="35">
          <cell r="F35">
            <v>66.5</v>
          </cell>
          <cell r="G35">
            <v>67</v>
          </cell>
          <cell r="L35">
            <v>34.25</v>
          </cell>
          <cell r="M35">
            <v>34</v>
          </cell>
        </row>
        <row r="38">
          <cell r="F38">
            <v>161.25</v>
          </cell>
          <cell r="G38">
            <v>161</v>
          </cell>
          <cell r="L38">
            <v>21.5</v>
          </cell>
          <cell r="M38">
            <v>22</v>
          </cell>
        </row>
        <row r="40">
          <cell r="F40">
            <v>45</v>
          </cell>
          <cell r="G40">
            <v>45</v>
          </cell>
          <cell r="L40">
            <v>30</v>
          </cell>
          <cell r="M40">
            <v>30</v>
          </cell>
        </row>
        <row r="42">
          <cell r="F42">
            <v>146.01</v>
          </cell>
          <cell r="G42">
            <v>146</v>
          </cell>
          <cell r="L42">
            <v>42.74499999999999</v>
          </cell>
          <cell r="M42">
            <v>43</v>
          </cell>
        </row>
        <row r="44">
          <cell r="F44">
            <v>1</v>
          </cell>
          <cell r="G44">
            <v>1</v>
          </cell>
          <cell r="L44">
            <v>13.5</v>
          </cell>
          <cell r="M44">
            <v>13</v>
          </cell>
        </row>
        <row r="45">
          <cell r="F45">
            <v>278.5</v>
          </cell>
          <cell r="G45">
            <v>279</v>
          </cell>
          <cell r="L45">
            <v>0</v>
          </cell>
          <cell r="M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023E-986A-4AC5-8996-20A3EB93940C}">
  <dimension ref="A1:K49"/>
  <sheetViews>
    <sheetView zoomScale="75" zoomScaleNormal="75" workbookViewId="0">
      <selection activeCell="B31" sqref="B31"/>
    </sheetView>
  </sheetViews>
  <sheetFormatPr defaultRowHeight="15.75" x14ac:dyDescent="0.25"/>
  <cols>
    <col min="1" max="1" width="14.33203125" style="546" customWidth="1"/>
    <col min="2" max="2" width="121" style="546" customWidth="1"/>
    <col min="3" max="4" width="46.5" style="546" customWidth="1"/>
    <col min="5" max="5" width="46.33203125" style="624" customWidth="1"/>
    <col min="6" max="6" width="14.33203125" style="624" customWidth="1"/>
    <col min="7" max="7" width="121.1640625" style="546" customWidth="1"/>
    <col min="8" max="9" width="46.33203125" style="546" customWidth="1"/>
    <col min="10" max="10" width="46.33203125" style="624" customWidth="1"/>
    <col min="11" max="11" width="5.83203125" style="546" customWidth="1"/>
    <col min="12" max="247" width="9.33203125" style="546"/>
    <col min="248" max="248" width="14.33203125" style="546" customWidth="1"/>
    <col min="249" max="249" width="121" style="546" customWidth="1"/>
    <col min="250" max="250" width="37.6640625" style="546" customWidth="1"/>
    <col min="251" max="252" width="35.83203125" style="546" customWidth="1"/>
    <col min="253" max="253" width="14.33203125" style="546" customWidth="1"/>
    <col min="254" max="254" width="121" style="546" customWidth="1"/>
    <col min="255" max="255" width="37.1640625" style="546" customWidth="1"/>
    <col min="256" max="257" width="35.83203125" style="546" customWidth="1"/>
    <col min="258" max="259" width="18.1640625" style="546" customWidth="1"/>
    <col min="260" max="260" width="15" style="546" bestFit="1" customWidth="1"/>
    <col min="261" max="261" width="17.5" style="546" customWidth="1"/>
    <col min="262" max="503" width="9.33203125" style="546"/>
    <col min="504" max="504" width="14.33203125" style="546" customWidth="1"/>
    <col min="505" max="505" width="121" style="546" customWidth="1"/>
    <col min="506" max="506" width="37.6640625" style="546" customWidth="1"/>
    <col min="507" max="508" width="35.83203125" style="546" customWidth="1"/>
    <col min="509" max="509" width="14.33203125" style="546" customWidth="1"/>
    <col min="510" max="510" width="121" style="546" customWidth="1"/>
    <col min="511" max="511" width="37.1640625" style="546" customWidth="1"/>
    <col min="512" max="513" width="35.83203125" style="546" customWidth="1"/>
    <col min="514" max="515" width="18.1640625" style="546" customWidth="1"/>
    <col min="516" max="516" width="15" style="546" bestFit="1" customWidth="1"/>
    <col min="517" max="517" width="17.5" style="546" customWidth="1"/>
    <col min="518" max="759" width="9.33203125" style="546"/>
    <col min="760" max="760" width="14.33203125" style="546" customWidth="1"/>
    <col min="761" max="761" width="121" style="546" customWidth="1"/>
    <col min="762" max="762" width="37.6640625" style="546" customWidth="1"/>
    <col min="763" max="764" width="35.83203125" style="546" customWidth="1"/>
    <col min="765" max="765" width="14.33203125" style="546" customWidth="1"/>
    <col min="766" max="766" width="121" style="546" customWidth="1"/>
    <col min="767" max="767" width="37.1640625" style="546" customWidth="1"/>
    <col min="768" max="769" width="35.83203125" style="546" customWidth="1"/>
    <col min="770" max="771" width="18.1640625" style="546" customWidth="1"/>
    <col min="772" max="772" width="15" style="546" bestFit="1" customWidth="1"/>
    <col min="773" max="773" width="17.5" style="546" customWidth="1"/>
    <col min="774" max="1015" width="9.33203125" style="546"/>
    <col min="1016" max="1016" width="14.33203125" style="546" customWidth="1"/>
    <col min="1017" max="1017" width="121" style="546" customWidth="1"/>
    <col min="1018" max="1018" width="37.6640625" style="546" customWidth="1"/>
    <col min="1019" max="1020" width="35.83203125" style="546" customWidth="1"/>
    <col min="1021" max="1021" width="14.33203125" style="546" customWidth="1"/>
    <col min="1022" max="1022" width="121" style="546" customWidth="1"/>
    <col min="1023" max="1023" width="37.1640625" style="546" customWidth="1"/>
    <col min="1024" max="1025" width="35.83203125" style="546" customWidth="1"/>
    <col min="1026" max="1027" width="18.1640625" style="546" customWidth="1"/>
    <col min="1028" max="1028" width="15" style="546" bestFit="1" customWidth="1"/>
    <col min="1029" max="1029" width="17.5" style="546" customWidth="1"/>
    <col min="1030" max="1271" width="9.33203125" style="546"/>
    <col min="1272" max="1272" width="14.33203125" style="546" customWidth="1"/>
    <col min="1273" max="1273" width="121" style="546" customWidth="1"/>
    <col min="1274" max="1274" width="37.6640625" style="546" customWidth="1"/>
    <col min="1275" max="1276" width="35.83203125" style="546" customWidth="1"/>
    <col min="1277" max="1277" width="14.33203125" style="546" customWidth="1"/>
    <col min="1278" max="1278" width="121" style="546" customWidth="1"/>
    <col min="1279" max="1279" width="37.1640625" style="546" customWidth="1"/>
    <col min="1280" max="1281" width="35.83203125" style="546" customWidth="1"/>
    <col min="1282" max="1283" width="18.1640625" style="546" customWidth="1"/>
    <col min="1284" max="1284" width="15" style="546" bestFit="1" customWidth="1"/>
    <col min="1285" max="1285" width="17.5" style="546" customWidth="1"/>
    <col min="1286" max="1527" width="9.33203125" style="546"/>
    <col min="1528" max="1528" width="14.33203125" style="546" customWidth="1"/>
    <col min="1529" max="1529" width="121" style="546" customWidth="1"/>
    <col min="1530" max="1530" width="37.6640625" style="546" customWidth="1"/>
    <col min="1531" max="1532" width="35.83203125" style="546" customWidth="1"/>
    <col min="1533" max="1533" width="14.33203125" style="546" customWidth="1"/>
    <col min="1534" max="1534" width="121" style="546" customWidth="1"/>
    <col min="1535" max="1535" width="37.1640625" style="546" customWidth="1"/>
    <col min="1536" max="1537" width="35.83203125" style="546" customWidth="1"/>
    <col min="1538" max="1539" width="18.1640625" style="546" customWidth="1"/>
    <col min="1540" max="1540" width="15" style="546" bestFit="1" customWidth="1"/>
    <col min="1541" max="1541" width="17.5" style="546" customWidth="1"/>
    <col min="1542" max="1783" width="9.33203125" style="546"/>
    <col min="1784" max="1784" width="14.33203125" style="546" customWidth="1"/>
    <col min="1785" max="1785" width="121" style="546" customWidth="1"/>
    <col min="1786" max="1786" width="37.6640625" style="546" customWidth="1"/>
    <col min="1787" max="1788" width="35.83203125" style="546" customWidth="1"/>
    <col min="1789" max="1789" width="14.33203125" style="546" customWidth="1"/>
    <col min="1790" max="1790" width="121" style="546" customWidth="1"/>
    <col min="1791" max="1791" width="37.1640625" style="546" customWidth="1"/>
    <col min="1792" max="1793" width="35.83203125" style="546" customWidth="1"/>
    <col min="1794" max="1795" width="18.1640625" style="546" customWidth="1"/>
    <col min="1796" max="1796" width="15" style="546" bestFit="1" customWidth="1"/>
    <col min="1797" max="1797" width="17.5" style="546" customWidth="1"/>
    <col min="1798" max="2039" width="9.33203125" style="546"/>
    <col min="2040" max="2040" width="14.33203125" style="546" customWidth="1"/>
    <col min="2041" max="2041" width="121" style="546" customWidth="1"/>
    <col min="2042" max="2042" width="37.6640625" style="546" customWidth="1"/>
    <col min="2043" max="2044" width="35.83203125" style="546" customWidth="1"/>
    <col min="2045" max="2045" width="14.33203125" style="546" customWidth="1"/>
    <col min="2046" max="2046" width="121" style="546" customWidth="1"/>
    <col min="2047" max="2047" width="37.1640625" style="546" customWidth="1"/>
    <col min="2048" max="2049" width="35.83203125" style="546" customWidth="1"/>
    <col min="2050" max="2051" width="18.1640625" style="546" customWidth="1"/>
    <col min="2052" max="2052" width="15" style="546" bestFit="1" customWidth="1"/>
    <col min="2053" max="2053" width="17.5" style="546" customWidth="1"/>
    <col min="2054" max="2295" width="9.33203125" style="546"/>
    <col min="2296" max="2296" width="14.33203125" style="546" customWidth="1"/>
    <col min="2297" max="2297" width="121" style="546" customWidth="1"/>
    <col min="2298" max="2298" width="37.6640625" style="546" customWidth="1"/>
    <col min="2299" max="2300" width="35.83203125" style="546" customWidth="1"/>
    <col min="2301" max="2301" width="14.33203125" style="546" customWidth="1"/>
    <col min="2302" max="2302" width="121" style="546" customWidth="1"/>
    <col min="2303" max="2303" width="37.1640625" style="546" customWidth="1"/>
    <col min="2304" max="2305" width="35.83203125" style="546" customWidth="1"/>
    <col min="2306" max="2307" width="18.1640625" style="546" customWidth="1"/>
    <col min="2308" max="2308" width="15" style="546" bestFit="1" customWidth="1"/>
    <col min="2309" max="2309" width="17.5" style="546" customWidth="1"/>
    <col min="2310" max="2551" width="9.33203125" style="546"/>
    <col min="2552" max="2552" width="14.33203125" style="546" customWidth="1"/>
    <col min="2553" max="2553" width="121" style="546" customWidth="1"/>
    <col min="2554" max="2554" width="37.6640625" style="546" customWidth="1"/>
    <col min="2555" max="2556" width="35.83203125" style="546" customWidth="1"/>
    <col min="2557" max="2557" width="14.33203125" style="546" customWidth="1"/>
    <col min="2558" max="2558" width="121" style="546" customWidth="1"/>
    <col min="2559" max="2559" width="37.1640625" style="546" customWidth="1"/>
    <col min="2560" max="2561" width="35.83203125" style="546" customWidth="1"/>
    <col min="2562" max="2563" width="18.1640625" style="546" customWidth="1"/>
    <col min="2564" max="2564" width="15" style="546" bestFit="1" customWidth="1"/>
    <col min="2565" max="2565" width="17.5" style="546" customWidth="1"/>
    <col min="2566" max="2807" width="9.33203125" style="546"/>
    <col min="2808" max="2808" width="14.33203125" style="546" customWidth="1"/>
    <col min="2809" max="2809" width="121" style="546" customWidth="1"/>
    <col min="2810" max="2810" width="37.6640625" style="546" customWidth="1"/>
    <col min="2811" max="2812" width="35.83203125" style="546" customWidth="1"/>
    <col min="2813" max="2813" width="14.33203125" style="546" customWidth="1"/>
    <col min="2814" max="2814" width="121" style="546" customWidth="1"/>
    <col min="2815" max="2815" width="37.1640625" style="546" customWidth="1"/>
    <col min="2816" max="2817" width="35.83203125" style="546" customWidth="1"/>
    <col min="2818" max="2819" width="18.1640625" style="546" customWidth="1"/>
    <col min="2820" max="2820" width="15" style="546" bestFit="1" customWidth="1"/>
    <col min="2821" max="2821" width="17.5" style="546" customWidth="1"/>
    <col min="2822" max="3063" width="9.33203125" style="546"/>
    <col min="3064" max="3064" width="14.33203125" style="546" customWidth="1"/>
    <col min="3065" max="3065" width="121" style="546" customWidth="1"/>
    <col min="3066" max="3066" width="37.6640625" style="546" customWidth="1"/>
    <col min="3067" max="3068" width="35.83203125" style="546" customWidth="1"/>
    <col min="3069" max="3069" width="14.33203125" style="546" customWidth="1"/>
    <col min="3070" max="3070" width="121" style="546" customWidth="1"/>
    <col min="3071" max="3071" width="37.1640625" style="546" customWidth="1"/>
    <col min="3072" max="3073" width="35.83203125" style="546" customWidth="1"/>
    <col min="3074" max="3075" width="18.1640625" style="546" customWidth="1"/>
    <col min="3076" max="3076" width="15" style="546" bestFit="1" customWidth="1"/>
    <col min="3077" max="3077" width="17.5" style="546" customWidth="1"/>
    <col min="3078" max="3319" width="9.33203125" style="546"/>
    <col min="3320" max="3320" width="14.33203125" style="546" customWidth="1"/>
    <col min="3321" max="3321" width="121" style="546" customWidth="1"/>
    <col min="3322" max="3322" width="37.6640625" style="546" customWidth="1"/>
    <col min="3323" max="3324" width="35.83203125" style="546" customWidth="1"/>
    <col min="3325" max="3325" width="14.33203125" style="546" customWidth="1"/>
    <col min="3326" max="3326" width="121" style="546" customWidth="1"/>
    <col min="3327" max="3327" width="37.1640625" style="546" customWidth="1"/>
    <col min="3328" max="3329" width="35.83203125" style="546" customWidth="1"/>
    <col min="3330" max="3331" width="18.1640625" style="546" customWidth="1"/>
    <col min="3332" max="3332" width="15" style="546" bestFit="1" customWidth="1"/>
    <col min="3333" max="3333" width="17.5" style="546" customWidth="1"/>
    <col min="3334" max="3575" width="9.33203125" style="546"/>
    <col min="3576" max="3576" width="14.33203125" style="546" customWidth="1"/>
    <col min="3577" max="3577" width="121" style="546" customWidth="1"/>
    <col min="3578" max="3578" width="37.6640625" style="546" customWidth="1"/>
    <col min="3579" max="3580" width="35.83203125" style="546" customWidth="1"/>
    <col min="3581" max="3581" width="14.33203125" style="546" customWidth="1"/>
    <col min="3582" max="3582" width="121" style="546" customWidth="1"/>
    <col min="3583" max="3583" width="37.1640625" style="546" customWidth="1"/>
    <col min="3584" max="3585" width="35.83203125" style="546" customWidth="1"/>
    <col min="3586" max="3587" width="18.1640625" style="546" customWidth="1"/>
    <col min="3588" max="3588" width="15" style="546" bestFit="1" customWidth="1"/>
    <col min="3589" max="3589" width="17.5" style="546" customWidth="1"/>
    <col min="3590" max="3831" width="9.33203125" style="546"/>
    <col min="3832" max="3832" width="14.33203125" style="546" customWidth="1"/>
    <col min="3833" max="3833" width="121" style="546" customWidth="1"/>
    <col min="3834" max="3834" width="37.6640625" style="546" customWidth="1"/>
    <col min="3835" max="3836" width="35.83203125" style="546" customWidth="1"/>
    <col min="3837" max="3837" width="14.33203125" style="546" customWidth="1"/>
    <col min="3838" max="3838" width="121" style="546" customWidth="1"/>
    <col min="3839" max="3839" width="37.1640625" style="546" customWidth="1"/>
    <col min="3840" max="3841" width="35.83203125" style="546" customWidth="1"/>
    <col min="3842" max="3843" width="18.1640625" style="546" customWidth="1"/>
    <col min="3844" max="3844" width="15" style="546" bestFit="1" customWidth="1"/>
    <col min="3845" max="3845" width="17.5" style="546" customWidth="1"/>
    <col min="3846" max="4087" width="9.33203125" style="546"/>
    <col min="4088" max="4088" width="14.33203125" style="546" customWidth="1"/>
    <col min="4089" max="4089" width="121" style="546" customWidth="1"/>
    <col min="4090" max="4090" width="37.6640625" style="546" customWidth="1"/>
    <col min="4091" max="4092" width="35.83203125" style="546" customWidth="1"/>
    <col min="4093" max="4093" width="14.33203125" style="546" customWidth="1"/>
    <col min="4094" max="4094" width="121" style="546" customWidth="1"/>
    <col min="4095" max="4095" width="37.1640625" style="546" customWidth="1"/>
    <col min="4096" max="4097" width="35.83203125" style="546" customWidth="1"/>
    <col min="4098" max="4099" width="18.1640625" style="546" customWidth="1"/>
    <col min="4100" max="4100" width="15" style="546" bestFit="1" customWidth="1"/>
    <col min="4101" max="4101" width="17.5" style="546" customWidth="1"/>
    <col min="4102" max="4343" width="9.33203125" style="546"/>
    <col min="4344" max="4344" width="14.33203125" style="546" customWidth="1"/>
    <col min="4345" max="4345" width="121" style="546" customWidth="1"/>
    <col min="4346" max="4346" width="37.6640625" style="546" customWidth="1"/>
    <col min="4347" max="4348" width="35.83203125" style="546" customWidth="1"/>
    <col min="4349" max="4349" width="14.33203125" style="546" customWidth="1"/>
    <col min="4350" max="4350" width="121" style="546" customWidth="1"/>
    <col min="4351" max="4351" width="37.1640625" style="546" customWidth="1"/>
    <col min="4352" max="4353" width="35.83203125" style="546" customWidth="1"/>
    <col min="4354" max="4355" width="18.1640625" style="546" customWidth="1"/>
    <col min="4356" max="4356" width="15" style="546" bestFit="1" customWidth="1"/>
    <col min="4357" max="4357" width="17.5" style="546" customWidth="1"/>
    <col min="4358" max="4599" width="9.33203125" style="546"/>
    <col min="4600" max="4600" width="14.33203125" style="546" customWidth="1"/>
    <col min="4601" max="4601" width="121" style="546" customWidth="1"/>
    <col min="4602" max="4602" width="37.6640625" style="546" customWidth="1"/>
    <col min="4603" max="4604" width="35.83203125" style="546" customWidth="1"/>
    <col min="4605" max="4605" width="14.33203125" style="546" customWidth="1"/>
    <col min="4606" max="4606" width="121" style="546" customWidth="1"/>
    <col min="4607" max="4607" width="37.1640625" style="546" customWidth="1"/>
    <col min="4608" max="4609" width="35.83203125" style="546" customWidth="1"/>
    <col min="4610" max="4611" width="18.1640625" style="546" customWidth="1"/>
    <col min="4612" max="4612" width="15" style="546" bestFit="1" customWidth="1"/>
    <col min="4613" max="4613" width="17.5" style="546" customWidth="1"/>
    <col min="4614" max="4855" width="9.33203125" style="546"/>
    <col min="4856" max="4856" width="14.33203125" style="546" customWidth="1"/>
    <col min="4857" max="4857" width="121" style="546" customWidth="1"/>
    <col min="4858" max="4858" width="37.6640625" style="546" customWidth="1"/>
    <col min="4859" max="4860" width="35.83203125" style="546" customWidth="1"/>
    <col min="4861" max="4861" width="14.33203125" style="546" customWidth="1"/>
    <col min="4862" max="4862" width="121" style="546" customWidth="1"/>
    <col min="4863" max="4863" width="37.1640625" style="546" customWidth="1"/>
    <col min="4864" max="4865" width="35.83203125" style="546" customWidth="1"/>
    <col min="4866" max="4867" width="18.1640625" style="546" customWidth="1"/>
    <col min="4868" max="4868" width="15" style="546" bestFit="1" customWidth="1"/>
    <col min="4869" max="4869" width="17.5" style="546" customWidth="1"/>
    <col min="4870" max="5111" width="9.33203125" style="546"/>
    <col min="5112" max="5112" width="14.33203125" style="546" customWidth="1"/>
    <col min="5113" max="5113" width="121" style="546" customWidth="1"/>
    <col min="5114" max="5114" width="37.6640625" style="546" customWidth="1"/>
    <col min="5115" max="5116" width="35.83203125" style="546" customWidth="1"/>
    <col min="5117" max="5117" width="14.33203125" style="546" customWidth="1"/>
    <col min="5118" max="5118" width="121" style="546" customWidth="1"/>
    <col min="5119" max="5119" width="37.1640625" style="546" customWidth="1"/>
    <col min="5120" max="5121" width="35.83203125" style="546" customWidth="1"/>
    <col min="5122" max="5123" width="18.1640625" style="546" customWidth="1"/>
    <col min="5124" max="5124" width="15" style="546" bestFit="1" customWidth="1"/>
    <col min="5125" max="5125" width="17.5" style="546" customWidth="1"/>
    <col min="5126" max="5367" width="9.33203125" style="546"/>
    <col min="5368" max="5368" width="14.33203125" style="546" customWidth="1"/>
    <col min="5369" max="5369" width="121" style="546" customWidth="1"/>
    <col min="5370" max="5370" width="37.6640625" style="546" customWidth="1"/>
    <col min="5371" max="5372" width="35.83203125" style="546" customWidth="1"/>
    <col min="5373" max="5373" width="14.33203125" style="546" customWidth="1"/>
    <col min="5374" max="5374" width="121" style="546" customWidth="1"/>
    <col min="5375" max="5375" width="37.1640625" style="546" customWidth="1"/>
    <col min="5376" max="5377" width="35.83203125" style="546" customWidth="1"/>
    <col min="5378" max="5379" width="18.1640625" style="546" customWidth="1"/>
    <col min="5380" max="5380" width="15" style="546" bestFit="1" customWidth="1"/>
    <col min="5381" max="5381" width="17.5" style="546" customWidth="1"/>
    <col min="5382" max="5623" width="9.33203125" style="546"/>
    <col min="5624" max="5624" width="14.33203125" style="546" customWidth="1"/>
    <col min="5625" max="5625" width="121" style="546" customWidth="1"/>
    <col min="5626" max="5626" width="37.6640625" style="546" customWidth="1"/>
    <col min="5627" max="5628" width="35.83203125" style="546" customWidth="1"/>
    <col min="5629" max="5629" width="14.33203125" style="546" customWidth="1"/>
    <col min="5630" max="5630" width="121" style="546" customWidth="1"/>
    <col min="5631" max="5631" width="37.1640625" style="546" customWidth="1"/>
    <col min="5632" max="5633" width="35.83203125" style="546" customWidth="1"/>
    <col min="5634" max="5635" width="18.1640625" style="546" customWidth="1"/>
    <col min="5636" max="5636" width="15" style="546" bestFit="1" customWidth="1"/>
    <col min="5637" max="5637" width="17.5" style="546" customWidth="1"/>
    <col min="5638" max="5879" width="9.33203125" style="546"/>
    <col min="5880" max="5880" width="14.33203125" style="546" customWidth="1"/>
    <col min="5881" max="5881" width="121" style="546" customWidth="1"/>
    <col min="5882" max="5882" width="37.6640625" style="546" customWidth="1"/>
    <col min="5883" max="5884" width="35.83203125" style="546" customWidth="1"/>
    <col min="5885" max="5885" width="14.33203125" style="546" customWidth="1"/>
    <col min="5886" max="5886" width="121" style="546" customWidth="1"/>
    <col min="5887" max="5887" width="37.1640625" style="546" customWidth="1"/>
    <col min="5888" max="5889" width="35.83203125" style="546" customWidth="1"/>
    <col min="5890" max="5891" width="18.1640625" style="546" customWidth="1"/>
    <col min="5892" max="5892" width="15" style="546" bestFit="1" customWidth="1"/>
    <col min="5893" max="5893" width="17.5" style="546" customWidth="1"/>
    <col min="5894" max="6135" width="9.33203125" style="546"/>
    <col min="6136" max="6136" width="14.33203125" style="546" customWidth="1"/>
    <col min="6137" max="6137" width="121" style="546" customWidth="1"/>
    <col min="6138" max="6138" width="37.6640625" style="546" customWidth="1"/>
    <col min="6139" max="6140" width="35.83203125" style="546" customWidth="1"/>
    <col min="6141" max="6141" width="14.33203125" style="546" customWidth="1"/>
    <col min="6142" max="6142" width="121" style="546" customWidth="1"/>
    <col min="6143" max="6143" width="37.1640625" style="546" customWidth="1"/>
    <col min="6144" max="6145" width="35.83203125" style="546" customWidth="1"/>
    <col min="6146" max="6147" width="18.1640625" style="546" customWidth="1"/>
    <col min="6148" max="6148" width="15" style="546" bestFit="1" customWidth="1"/>
    <col min="6149" max="6149" width="17.5" style="546" customWidth="1"/>
    <col min="6150" max="6391" width="9.33203125" style="546"/>
    <col min="6392" max="6392" width="14.33203125" style="546" customWidth="1"/>
    <col min="6393" max="6393" width="121" style="546" customWidth="1"/>
    <col min="6394" max="6394" width="37.6640625" style="546" customWidth="1"/>
    <col min="6395" max="6396" width="35.83203125" style="546" customWidth="1"/>
    <col min="6397" max="6397" width="14.33203125" style="546" customWidth="1"/>
    <col min="6398" max="6398" width="121" style="546" customWidth="1"/>
    <col min="6399" max="6399" width="37.1640625" style="546" customWidth="1"/>
    <col min="6400" max="6401" width="35.83203125" style="546" customWidth="1"/>
    <col min="6402" max="6403" width="18.1640625" style="546" customWidth="1"/>
    <col min="6404" max="6404" width="15" style="546" bestFit="1" customWidth="1"/>
    <col min="6405" max="6405" width="17.5" style="546" customWidth="1"/>
    <col min="6406" max="6647" width="9.33203125" style="546"/>
    <col min="6648" max="6648" width="14.33203125" style="546" customWidth="1"/>
    <col min="6649" max="6649" width="121" style="546" customWidth="1"/>
    <col min="6650" max="6650" width="37.6640625" style="546" customWidth="1"/>
    <col min="6651" max="6652" width="35.83203125" style="546" customWidth="1"/>
    <col min="6653" max="6653" width="14.33203125" style="546" customWidth="1"/>
    <col min="6654" max="6654" width="121" style="546" customWidth="1"/>
    <col min="6655" max="6655" width="37.1640625" style="546" customWidth="1"/>
    <col min="6656" max="6657" width="35.83203125" style="546" customWidth="1"/>
    <col min="6658" max="6659" width="18.1640625" style="546" customWidth="1"/>
    <col min="6660" max="6660" width="15" style="546" bestFit="1" customWidth="1"/>
    <col min="6661" max="6661" width="17.5" style="546" customWidth="1"/>
    <col min="6662" max="6903" width="9.33203125" style="546"/>
    <col min="6904" max="6904" width="14.33203125" style="546" customWidth="1"/>
    <col min="6905" max="6905" width="121" style="546" customWidth="1"/>
    <col min="6906" max="6906" width="37.6640625" style="546" customWidth="1"/>
    <col min="6907" max="6908" width="35.83203125" style="546" customWidth="1"/>
    <col min="6909" max="6909" width="14.33203125" style="546" customWidth="1"/>
    <col min="6910" max="6910" width="121" style="546" customWidth="1"/>
    <col min="6911" max="6911" width="37.1640625" style="546" customWidth="1"/>
    <col min="6912" max="6913" width="35.83203125" style="546" customWidth="1"/>
    <col min="6914" max="6915" width="18.1640625" style="546" customWidth="1"/>
    <col min="6916" max="6916" width="15" style="546" bestFit="1" customWidth="1"/>
    <col min="6917" max="6917" width="17.5" style="546" customWidth="1"/>
    <col min="6918" max="7159" width="9.33203125" style="546"/>
    <col min="7160" max="7160" width="14.33203125" style="546" customWidth="1"/>
    <col min="7161" max="7161" width="121" style="546" customWidth="1"/>
    <col min="7162" max="7162" width="37.6640625" style="546" customWidth="1"/>
    <col min="7163" max="7164" width="35.83203125" style="546" customWidth="1"/>
    <col min="7165" max="7165" width="14.33203125" style="546" customWidth="1"/>
    <col min="7166" max="7166" width="121" style="546" customWidth="1"/>
    <col min="7167" max="7167" width="37.1640625" style="546" customWidth="1"/>
    <col min="7168" max="7169" width="35.83203125" style="546" customWidth="1"/>
    <col min="7170" max="7171" width="18.1640625" style="546" customWidth="1"/>
    <col min="7172" max="7172" width="15" style="546" bestFit="1" customWidth="1"/>
    <col min="7173" max="7173" width="17.5" style="546" customWidth="1"/>
    <col min="7174" max="7415" width="9.33203125" style="546"/>
    <col min="7416" max="7416" width="14.33203125" style="546" customWidth="1"/>
    <col min="7417" max="7417" width="121" style="546" customWidth="1"/>
    <col min="7418" max="7418" width="37.6640625" style="546" customWidth="1"/>
    <col min="7419" max="7420" width="35.83203125" style="546" customWidth="1"/>
    <col min="7421" max="7421" width="14.33203125" style="546" customWidth="1"/>
    <col min="7422" max="7422" width="121" style="546" customWidth="1"/>
    <col min="7423" max="7423" width="37.1640625" style="546" customWidth="1"/>
    <col min="7424" max="7425" width="35.83203125" style="546" customWidth="1"/>
    <col min="7426" max="7427" width="18.1640625" style="546" customWidth="1"/>
    <col min="7428" max="7428" width="15" style="546" bestFit="1" customWidth="1"/>
    <col min="7429" max="7429" width="17.5" style="546" customWidth="1"/>
    <col min="7430" max="7671" width="9.33203125" style="546"/>
    <col min="7672" max="7672" width="14.33203125" style="546" customWidth="1"/>
    <col min="7673" max="7673" width="121" style="546" customWidth="1"/>
    <col min="7674" max="7674" width="37.6640625" style="546" customWidth="1"/>
    <col min="7675" max="7676" width="35.83203125" style="546" customWidth="1"/>
    <col min="7677" max="7677" width="14.33203125" style="546" customWidth="1"/>
    <col min="7678" max="7678" width="121" style="546" customWidth="1"/>
    <col min="7679" max="7679" width="37.1640625" style="546" customWidth="1"/>
    <col min="7680" max="7681" width="35.83203125" style="546" customWidth="1"/>
    <col min="7682" max="7683" width="18.1640625" style="546" customWidth="1"/>
    <col min="7684" max="7684" width="15" style="546" bestFit="1" customWidth="1"/>
    <col min="7685" max="7685" width="17.5" style="546" customWidth="1"/>
    <col min="7686" max="7927" width="9.33203125" style="546"/>
    <col min="7928" max="7928" width="14.33203125" style="546" customWidth="1"/>
    <col min="7929" max="7929" width="121" style="546" customWidth="1"/>
    <col min="7930" max="7930" width="37.6640625" style="546" customWidth="1"/>
    <col min="7931" max="7932" width="35.83203125" style="546" customWidth="1"/>
    <col min="7933" max="7933" width="14.33203125" style="546" customWidth="1"/>
    <col min="7934" max="7934" width="121" style="546" customWidth="1"/>
    <col min="7935" max="7935" width="37.1640625" style="546" customWidth="1"/>
    <col min="7936" max="7937" width="35.83203125" style="546" customWidth="1"/>
    <col min="7938" max="7939" width="18.1640625" style="546" customWidth="1"/>
    <col min="7940" max="7940" width="15" style="546" bestFit="1" customWidth="1"/>
    <col min="7941" max="7941" width="17.5" style="546" customWidth="1"/>
    <col min="7942" max="8183" width="9.33203125" style="546"/>
    <col min="8184" max="8184" width="14.33203125" style="546" customWidth="1"/>
    <col min="8185" max="8185" width="121" style="546" customWidth="1"/>
    <col min="8186" max="8186" width="37.6640625" style="546" customWidth="1"/>
    <col min="8187" max="8188" width="35.83203125" style="546" customWidth="1"/>
    <col min="8189" max="8189" width="14.33203125" style="546" customWidth="1"/>
    <col min="8190" max="8190" width="121" style="546" customWidth="1"/>
    <col min="8191" max="8191" width="37.1640625" style="546" customWidth="1"/>
    <col min="8192" max="8193" width="35.83203125" style="546" customWidth="1"/>
    <col min="8194" max="8195" width="18.1640625" style="546" customWidth="1"/>
    <col min="8196" max="8196" width="15" style="546" bestFit="1" customWidth="1"/>
    <col min="8197" max="8197" width="17.5" style="546" customWidth="1"/>
    <col min="8198" max="8439" width="9.33203125" style="546"/>
    <col min="8440" max="8440" width="14.33203125" style="546" customWidth="1"/>
    <col min="8441" max="8441" width="121" style="546" customWidth="1"/>
    <col min="8442" max="8442" width="37.6640625" style="546" customWidth="1"/>
    <col min="8443" max="8444" width="35.83203125" style="546" customWidth="1"/>
    <col min="8445" max="8445" width="14.33203125" style="546" customWidth="1"/>
    <col min="8446" max="8446" width="121" style="546" customWidth="1"/>
    <col min="8447" max="8447" width="37.1640625" style="546" customWidth="1"/>
    <col min="8448" max="8449" width="35.83203125" style="546" customWidth="1"/>
    <col min="8450" max="8451" width="18.1640625" style="546" customWidth="1"/>
    <col min="8452" max="8452" width="15" style="546" bestFit="1" customWidth="1"/>
    <col min="8453" max="8453" width="17.5" style="546" customWidth="1"/>
    <col min="8454" max="8695" width="9.33203125" style="546"/>
    <col min="8696" max="8696" width="14.33203125" style="546" customWidth="1"/>
    <col min="8697" max="8697" width="121" style="546" customWidth="1"/>
    <col min="8698" max="8698" width="37.6640625" style="546" customWidth="1"/>
    <col min="8699" max="8700" width="35.83203125" style="546" customWidth="1"/>
    <col min="8701" max="8701" width="14.33203125" style="546" customWidth="1"/>
    <col min="8702" max="8702" width="121" style="546" customWidth="1"/>
    <col min="8703" max="8703" width="37.1640625" style="546" customWidth="1"/>
    <col min="8704" max="8705" width="35.83203125" style="546" customWidth="1"/>
    <col min="8706" max="8707" width="18.1640625" style="546" customWidth="1"/>
    <col min="8708" max="8708" width="15" style="546" bestFit="1" customWidth="1"/>
    <col min="8709" max="8709" width="17.5" style="546" customWidth="1"/>
    <col min="8710" max="8951" width="9.33203125" style="546"/>
    <col min="8952" max="8952" width="14.33203125" style="546" customWidth="1"/>
    <col min="8953" max="8953" width="121" style="546" customWidth="1"/>
    <col min="8954" max="8954" width="37.6640625" style="546" customWidth="1"/>
    <col min="8955" max="8956" width="35.83203125" style="546" customWidth="1"/>
    <col min="8957" max="8957" width="14.33203125" style="546" customWidth="1"/>
    <col min="8958" max="8958" width="121" style="546" customWidth="1"/>
    <col min="8959" max="8959" width="37.1640625" style="546" customWidth="1"/>
    <col min="8960" max="8961" width="35.83203125" style="546" customWidth="1"/>
    <col min="8962" max="8963" width="18.1640625" style="546" customWidth="1"/>
    <col min="8964" max="8964" width="15" style="546" bestFit="1" customWidth="1"/>
    <col min="8965" max="8965" width="17.5" style="546" customWidth="1"/>
    <col min="8966" max="9207" width="9.33203125" style="546"/>
    <col min="9208" max="9208" width="14.33203125" style="546" customWidth="1"/>
    <col min="9209" max="9209" width="121" style="546" customWidth="1"/>
    <col min="9210" max="9210" width="37.6640625" style="546" customWidth="1"/>
    <col min="9211" max="9212" width="35.83203125" style="546" customWidth="1"/>
    <col min="9213" max="9213" width="14.33203125" style="546" customWidth="1"/>
    <col min="9214" max="9214" width="121" style="546" customWidth="1"/>
    <col min="9215" max="9215" width="37.1640625" style="546" customWidth="1"/>
    <col min="9216" max="9217" width="35.83203125" style="546" customWidth="1"/>
    <col min="9218" max="9219" width="18.1640625" style="546" customWidth="1"/>
    <col min="9220" max="9220" width="15" style="546" bestFit="1" customWidth="1"/>
    <col min="9221" max="9221" width="17.5" style="546" customWidth="1"/>
    <col min="9222" max="9463" width="9.33203125" style="546"/>
    <col min="9464" max="9464" width="14.33203125" style="546" customWidth="1"/>
    <col min="9465" max="9465" width="121" style="546" customWidth="1"/>
    <col min="9466" max="9466" width="37.6640625" style="546" customWidth="1"/>
    <col min="9467" max="9468" width="35.83203125" style="546" customWidth="1"/>
    <col min="9469" max="9469" width="14.33203125" style="546" customWidth="1"/>
    <col min="9470" max="9470" width="121" style="546" customWidth="1"/>
    <col min="9471" max="9471" width="37.1640625" style="546" customWidth="1"/>
    <col min="9472" max="9473" width="35.83203125" style="546" customWidth="1"/>
    <col min="9474" max="9475" width="18.1640625" style="546" customWidth="1"/>
    <col min="9476" max="9476" width="15" style="546" bestFit="1" customWidth="1"/>
    <col min="9477" max="9477" width="17.5" style="546" customWidth="1"/>
    <col min="9478" max="9719" width="9.33203125" style="546"/>
    <col min="9720" max="9720" width="14.33203125" style="546" customWidth="1"/>
    <col min="9721" max="9721" width="121" style="546" customWidth="1"/>
    <col min="9722" max="9722" width="37.6640625" style="546" customWidth="1"/>
    <col min="9723" max="9724" width="35.83203125" style="546" customWidth="1"/>
    <col min="9725" max="9725" width="14.33203125" style="546" customWidth="1"/>
    <col min="9726" max="9726" width="121" style="546" customWidth="1"/>
    <col min="9727" max="9727" width="37.1640625" style="546" customWidth="1"/>
    <col min="9728" max="9729" width="35.83203125" style="546" customWidth="1"/>
    <col min="9730" max="9731" width="18.1640625" style="546" customWidth="1"/>
    <col min="9732" max="9732" width="15" style="546" bestFit="1" customWidth="1"/>
    <col min="9733" max="9733" width="17.5" style="546" customWidth="1"/>
    <col min="9734" max="9975" width="9.33203125" style="546"/>
    <col min="9976" max="9976" width="14.33203125" style="546" customWidth="1"/>
    <col min="9977" max="9977" width="121" style="546" customWidth="1"/>
    <col min="9978" max="9978" width="37.6640625" style="546" customWidth="1"/>
    <col min="9979" max="9980" width="35.83203125" style="546" customWidth="1"/>
    <col min="9981" max="9981" width="14.33203125" style="546" customWidth="1"/>
    <col min="9982" max="9982" width="121" style="546" customWidth="1"/>
    <col min="9983" max="9983" width="37.1640625" style="546" customWidth="1"/>
    <col min="9984" max="9985" width="35.83203125" style="546" customWidth="1"/>
    <col min="9986" max="9987" width="18.1640625" style="546" customWidth="1"/>
    <col min="9988" max="9988" width="15" style="546" bestFit="1" customWidth="1"/>
    <col min="9989" max="9989" width="17.5" style="546" customWidth="1"/>
    <col min="9990" max="10231" width="9.33203125" style="546"/>
    <col min="10232" max="10232" width="14.33203125" style="546" customWidth="1"/>
    <col min="10233" max="10233" width="121" style="546" customWidth="1"/>
    <col min="10234" max="10234" width="37.6640625" style="546" customWidth="1"/>
    <col min="10235" max="10236" width="35.83203125" style="546" customWidth="1"/>
    <col min="10237" max="10237" width="14.33203125" style="546" customWidth="1"/>
    <col min="10238" max="10238" width="121" style="546" customWidth="1"/>
    <col min="10239" max="10239" width="37.1640625" style="546" customWidth="1"/>
    <col min="10240" max="10241" width="35.83203125" style="546" customWidth="1"/>
    <col min="10242" max="10243" width="18.1640625" style="546" customWidth="1"/>
    <col min="10244" max="10244" width="15" style="546" bestFit="1" customWidth="1"/>
    <col min="10245" max="10245" width="17.5" style="546" customWidth="1"/>
    <col min="10246" max="10487" width="9.33203125" style="546"/>
    <col min="10488" max="10488" width="14.33203125" style="546" customWidth="1"/>
    <col min="10489" max="10489" width="121" style="546" customWidth="1"/>
    <col min="10490" max="10490" width="37.6640625" style="546" customWidth="1"/>
    <col min="10491" max="10492" width="35.83203125" style="546" customWidth="1"/>
    <col min="10493" max="10493" width="14.33203125" style="546" customWidth="1"/>
    <col min="10494" max="10494" width="121" style="546" customWidth="1"/>
    <col min="10495" max="10495" width="37.1640625" style="546" customWidth="1"/>
    <col min="10496" max="10497" width="35.83203125" style="546" customWidth="1"/>
    <col min="10498" max="10499" width="18.1640625" style="546" customWidth="1"/>
    <col min="10500" max="10500" width="15" style="546" bestFit="1" customWidth="1"/>
    <col min="10501" max="10501" width="17.5" style="546" customWidth="1"/>
    <col min="10502" max="10743" width="9.33203125" style="546"/>
    <col min="10744" max="10744" width="14.33203125" style="546" customWidth="1"/>
    <col min="10745" max="10745" width="121" style="546" customWidth="1"/>
    <col min="10746" max="10746" width="37.6640625" style="546" customWidth="1"/>
    <col min="10747" max="10748" width="35.83203125" style="546" customWidth="1"/>
    <col min="10749" max="10749" width="14.33203125" style="546" customWidth="1"/>
    <col min="10750" max="10750" width="121" style="546" customWidth="1"/>
    <col min="10751" max="10751" width="37.1640625" style="546" customWidth="1"/>
    <col min="10752" max="10753" width="35.83203125" style="546" customWidth="1"/>
    <col min="10754" max="10755" width="18.1640625" style="546" customWidth="1"/>
    <col min="10756" max="10756" width="15" style="546" bestFit="1" customWidth="1"/>
    <col min="10757" max="10757" width="17.5" style="546" customWidth="1"/>
    <col min="10758" max="10999" width="9.33203125" style="546"/>
    <col min="11000" max="11000" width="14.33203125" style="546" customWidth="1"/>
    <col min="11001" max="11001" width="121" style="546" customWidth="1"/>
    <col min="11002" max="11002" width="37.6640625" style="546" customWidth="1"/>
    <col min="11003" max="11004" width="35.83203125" style="546" customWidth="1"/>
    <col min="11005" max="11005" width="14.33203125" style="546" customWidth="1"/>
    <col min="11006" max="11006" width="121" style="546" customWidth="1"/>
    <col min="11007" max="11007" width="37.1640625" style="546" customWidth="1"/>
    <col min="11008" max="11009" width="35.83203125" style="546" customWidth="1"/>
    <col min="11010" max="11011" width="18.1640625" style="546" customWidth="1"/>
    <col min="11012" max="11012" width="15" style="546" bestFit="1" customWidth="1"/>
    <col min="11013" max="11013" width="17.5" style="546" customWidth="1"/>
    <col min="11014" max="11255" width="9.33203125" style="546"/>
    <col min="11256" max="11256" width="14.33203125" style="546" customWidth="1"/>
    <col min="11257" max="11257" width="121" style="546" customWidth="1"/>
    <col min="11258" max="11258" width="37.6640625" style="546" customWidth="1"/>
    <col min="11259" max="11260" width="35.83203125" style="546" customWidth="1"/>
    <col min="11261" max="11261" width="14.33203125" style="546" customWidth="1"/>
    <col min="11262" max="11262" width="121" style="546" customWidth="1"/>
    <col min="11263" max="11263" width="37.1640625" style="546" customWidth="1"/>
    <col min="11264" max="11265" width="35.83203125" style="546" customWidth="1"/>
    <col min="11266" max="11267" width="18.1640625" style="546" customWidth="1"/>
    <col min="11268" max="11268" width="15" style="546" bestFit="1" customWidth="1"/>
    <col min="11269" max="11269" width="17.5" style="546" customWidth="1"/>
    <col min="11270" max="11511" width="9.33203125" style="546"/>
    <col min="11512" max="11512" width="14.33203125" style="546" customWidth="1"/>
    <col min="11513" max="11513" width="121" style="546" customWidth="1"/>
    <col min="11514" max="11514" width="37.6640625" style="546" customWidth="1"/>
    <col min="11515" max="11516" width="35.83203125" style="546" customWidth="1"/>
    <col min="11517" max="11517" width="14.33203125" style="546" customWidth="1"/>
    <col min="11518" max="11518" width="121" style="546" customWidth="1"/>
    <col min="11519" max="11519" width="37.1640625" style="546" customWidth="1"/>
    <col min="11520" max="11521" width="35.83203125" style="546" customWidth="1"/>
    <col min="11522" max="11523" width="18.1640625" style="546" customWidth="1"/>
    <col min="11524" max="11524" width="15" style="546" bestFit="1" customWidth="1"/>
    <col min="11525" max="11525" width="17.5" style="546" customWidth="1"/>
    <col min="11526" max="11767" width="9.33203125" style="546"/>
    <col min="11768" max="11768" width="14.33203125" style="546" customWidth="1"/>
    <col min="11769" max="11769" width="121" style="546" customWidth="1"/>
    <col min="11770" max="11770" width="37.6640625" style="546" customWidth="1"/>
    <col min="11771" max="11772" width="35.83203125" style="546" customWidth="1"/>
    <col min="11773" max="11773" width="14.33203125" style="546" customWidth="1"/>
    <col min="11774" max="11774" width="121" style="546" customWidth="1"/>
    <col min="11775" max="11775" width="37.1640625" style="546" customWidth="1"/>
    <col min="11776" max="11777" width="35.83203125" style="546" customWidth="1"/>
    <col min="11778" max="11779" width="18.1640625" style="546" customWidth="1"/>
    <col min="11780" max="11780" width="15" style="546" bestFit="1" customWidth="1"/>
    <col min="11781" max="11781" width="17.5" style="546" customWidth="1"/>
    <col min="11782" max="12023" width="9.33203125" style="546"/>
    <col min="12024" max="12024" width="14.33203125" style="546" customWidth="1"/>
    <col min="12025" max="12025" width="121" style="546" customWidth="1"/>
    <col min="12026" max="12026" width="37.6640625" style="546" customWidth="1"/>
    <col min="12027" max="12028" width="35.83203125" style="546" customWidth="1"/>
    <col min="12029" max="12029" width="14.33203125" style="546" customWidth="1"/>
    <col min="12030" max="12030" width="121" style="546" customWidth="1"/>
    <col min="12031" max="12031" width="37.1640625" style="546" customWidth="1"/>
    <col min="12032" max="12033" width="35.83203125" style="546" customWidth="1"/>
    <col min="12034" max="12035" width="18.1640625" style="546" customWidth="1"/>
    <col min="12036" max="12036" width="15" style="546" bestFit="1" customWidth="1"/>
    <col min="12037" max="12037" width="17.5" style="546" customWidth="1"/>
    <col min="12038" max="12279" width="9.33203125" style="546"/>
    <col min="12280" max="12280" width="14.33203125" style="546" customWidth="1"/>
    <col min="12281" max="12281" width="121" style="546" customWidth="1"/>
    <col min="12282" max="12282" width="37.6640625" style="546" customWidth="1"/>
    <col min="12283" max="12284" width="35.83203125" style="546" customWidth="1"/>
    <col min="12285" max="12285" width="14.33203125" style="546" customWidth="1"/>
    <col min="12286" max="12286" width="121" style="546" customWidth="1"/>
    <col min="12287" max="12287" width="37.1640625" style="546" customWidth="1"/>
    <col min="12288" max="12289" width="35.83203125" style="546" customWidth="1"/>
    <col min="12290" max="12291" width="18.1640625" style="546" customWidth="1"/>
    <col min="12292" max="12292" width="15" style="546" bestFit="1" customWidth="1"/>
    <col min="12293" max="12293" width="17.5" style="546" customWidth="1"/>
    <col min="12294" max="12535" width="9.33203125" style="546"/>
    <col min="12536" max="12536" width="14.33203125" style="546" customWidth="1"/>
    <col min="12537" max="12537" width="121" style="546" customWidth="1"/>
    <col min="12538" max="12538" width="37.6640625" style="546" customWidth="1"/>
    <col min="12539" max="12540" width="35.83203125" style="546" customWidth="1"/>
    <col min="12541" max="12541" width="14.33203125" style="546" customWidth="1"/>
    <col min="12542" max="12542" width="121" style="546" customWidth="1"/>
    <col min="12543" max="12543" width="37.1640625" style="546" customWidth="1"/>
    <col min="12544" max="12545" width="35.83203125" style="546" customWidth="1"/>
    <col min="12546" max="12547" width="18.1640625" style="546" customWidth="1"/>
    <col min="12548" max="12548" width="15" style="546" bestFit="1" customWidth="1"/>
    <col min="12549" max="12549" width="17.5" style="546" customWidth="1"/>
    <col min="12550" max="12791" width="9.33203125" style="546"/>
    <col min="12792" max="12792" width="14.33203125" style="546" customWidth="1"/>
    <col min="12793" max="12793" width="121" style="546" customWidth="1"/>
    <col min="12794" max="12794" width="37.6640625" style="546" customWidth="1"/>
    <col min="12795" max="12796" width="35.83203125" style="546" customWidth="1"/>
    <col min="12797" max="12797" width="14.33203125" style="546" customWidth="1"/>
    <col min="12798" max="12798" width="121" style="546" customWidth="1"/>
    <col min="12799" max="12799" width="37.1640625" style="546" customWidth="1"/>
    <col min="12800" max="12801" width="35.83203125" style="546" customWidth="1"/>
    <col min="12802" max="12803" width="18.1640625" style="546" customWidth="1"/>
    <col min="12804" max="12804" width="15" style="546" bestFit="1" customWidth="1"/>
    <col min="12805" max="12805" width="17.5" style="546" customWidth="1"/>
    <col min="12806" max="13047" width="9.33203125" style="546"/>
    <col min="13048" max="13048" width="14.33203125" style="546" customWidth="1"/>
    <col min="13049" max="13049" width="121" style="546" customWidth="1"/>
    <col min="13050" max="13050" width="37.6640625" style="546" customWidth="1"/>
    <col min="13051" max="13052" width="35.83203125" style="546" customWidth="1"/>
    <col min="13053" max="13053" width="14.33203125" style="546" customWidth="1"/>
    <col min="13054" max="13054" width="121" style="546" customWidth="1"/>
    <col min="13055" max="13055" width="37.1640625" style="546" customWidth="1"/>
    <col min="13056" max="13057" width="35.83203125" style="546" customWidth="1"/>
    <col min="13058" max="13059" width="18.1640625" style="546" customWidth="1"/>
    <col min="13060" max="13060" width="15" style="546" bestFit="1" customWidth="1"/>
    <col min="13061" max="13061" width="17.5" style="546" customWidth="1"/>
    <col min="13062" max="13303" width="9.33203125" style="546"/>
    <col min="13304" max="13304" width="14.33203125" style="546" customWidth="1"/>
    <col min="13305" max="13305" width="121" style="546" customWidth="1"/>
    <col min="13306" max="13306" width="37.6640625" style="546" customWidth="1"/>
    <col min="13307" max="13308" width="35.83203125" style="546" customWidth="1"/>
    <col min="13309" max="13309" width="14.33203125" style="546" customWidth="1"/>
    <col min="13310" max="13310" width="121" style="546" customWidth="1"/>
    <col min="13311" max="13311" width="37.1640625" style="546" customWidth="1"/>
    <col min="13312" max="13313" width="35.83203125" style="546" customWidth="1"/>
    <col min="13314" max="13315" width="18.1640625" style="546" customWidth="1"/>
    <col min="13316" max="13316" width="15" style="546" bestFit="1" customWidth="1"/>
    <col min="13317" max="13317" width="17.5" style="546" customWidth="1"/>
    <col min="13318" max="13559" width="9.33203125" style="546"/>
    <col min="13560" max="13560" width="14.33203125" style="546" customWidth="1"/>
    <col min="13561" max="13561" width="121" style="546" customWidth="1"/>
    <col min="13562" max="13562" width="37.6640625" style="546" customWidth="1"/>
    <col min="13563" max="13564" width="35.83203125" style="546" customWidth="1"/>
    <col min="13565" max="13565" width="14.33203125" style="546" customWidth="1"/>
    <col min="13566" max="13566" width="121" style="546" customWidth="1"/>
    <col min="13567" max="13567" width="37.1640625" style="546" customWidth="1"/>
    <col min="13568" max="13569" width="35.83203125" style="546" customWidth="1"/>
    <col min="13570" max="13571" width="18.1640625" style="546" customWidth="1"/>
    <col min="13572" max="13572" width="15" style="546" bestFit="1" customWidth="1"/>
    <col min="13573" max="13573" width="17.5" style="546" customWidth="1"/>
    <col min="13574" max="13815" width="9.33203125" style="546"/>
    <col min="13816" max="13816" width="14.33203125" style="546" customWidth="1"/>
    <col min="13817" max="13817" width="121" style="546" customWidth="1"/>
    <col min="13818" max="13818" width="37.6640625" style="546" customWidth="1"/>
    <col min="13819" max="13820" width="35.83203125" style="546" customWidth="1"/>
    <col min="13821" max="13821" width="14.33203125" style="546" customWidth="1"/>
    <col min="13822" max="13822" width="121" style="546" customWidth="1"/>
    <col min="13823" max="13823" width="37.1640625" style="546" customWidth="1"/>
    <col min="13824" max="13825" width="35.83203125" style="546" customWidth="1"/>
    <col min="13826" max="13827" width="18.1640625" style="546" customWidth="1"/>
    <col min="13828" max="13828" width="15" style="546" bestFit="1" customWidth="1"/>
    <col min="13829" max="13829" width="17.5" style="546" customWidth="1"/>
    <col min="13830" max="14071" width="9.33203125" style="546"/>
    <col min="14072" max="14072" width="14.33203125" style="546" customWidth="1"/>
    <col min="14073" max="14073" width="121" style="546" customWidth="1"/>
    <col min="14074" max="14074" width="37.6640625" style="546" customWidth="1"/>
    <col min="14075" max="14076" width="35.83203125" style="546" customWidth="1"/>
    <col min="14077" max="14077" width="14.33203125" style="546" customWidth="1"/>
    <col min="14078" max="14078" width="121" style="546" customWidth="1"/>
    <col min="14079" max="14079" width="37.1640625" style="546" customWidth="1"/>
    <col min="14080" max="14081" width="35.83203125" style="546" customWidth="1"/>
    <col min="14082" max="14083" width="18.1640625" style="546" customWidth="1"/>
    <col min="14084" max="14084" width="15" style="546" bestFit="1" customWidth="1"/>
    <col min="14085" max="14085" width="17.5" style="546" customWidth="1"/>
    <col min="14086" max="14327" width="9.33203125" style="546"/>
    <col min="14328" max="14328" width="14.33203125" style="546" customWidth="1"/>
    <col min="14329" max="14329" width="121" style="546" customWidth="1"/>
    <col min="14330" max="14330" width="37.6640625" style="546" customWidth="1"/>
    <col min="14331" max="14332" width="35.83203125" style="546" customWidth="1"/>
    <col min="14333" max="14333" width="14.33203125" style="546" customWidth="1"/>
    <col min="14334" max="14334" width="121" style="546" customWidth="1"/>
    <col min="14335" max="14335" width="37.1640625" style="546" customWidth="1"/>
    <col min="14336" max="14337" width="35.83203125" style="546" customWidth="1"/>
    <col min="14338" max="14339" width="18.1640625" style="546" customWidth="1"/>
    <col min="14340" max="14340" width="15" style="546" bestFit="1" customWidth="1"/>
    <col min="14341" max="14341" width="17.5" style="546" customWidth="1"/>
    <col min="14342" max="14583" width="9.33203125" style="546"/>
    <col min="14584" max="14584" width="14.33203125" style="546" customWidth="1"/>
    <col min="14585" max="14585" width="121" style="546" customWidth="1"/>
    <col min="14586" max="14586" width="37.6640625" style="546" customWidth="1"/>
    <col min="14587" max="14588" width="35.83203125" style="546" customWidth="1"/>
    <col min="14589" max="14589" width="14.33203125" style="546" customWidth="1"/>
    <col min="14590" max="14590" width="121" style="546" customWidth="1"/>
    <col min="14591" max="14591" width="37.1640625" style="546" customWidth="1"/>
    <col min="14592" max="14593" width="35.83203125" style="546" customWidth="1"/>
    <col min="14594" max="14595" width="18.1640625" style="546" customWidth="1"/>
    <col min="14596" max="14596" width="15" style="546" bestFit="1" customWidth="1"/>
    <col min="14597" max="14597" width="17.5" style="546" customWidth="1"/>
    <col min="14598" max="14839" width="9.33203125" style="546"/>
    <col min="14840" max="14840" width="14.33203125" style="546" customWidth="1"/>
    <col min="14841" max="14841" width="121" style="546" customWidth="1"/>
    <col min="14842" max="14842" width="37.6640625" style="546" customWidth="1"/>
    <col min="14843" max="14844" width="35.83203125" style="546" customWidth="1"/>
    <col min="14845" max="14845" width="14.33203125" style="546" customWidth="1"/>
    <col min="14846" max="14846" width="121" style="546" customWidth="1"/>
    <col min="14847" max="14847" width="37.1640625" style="546" customWidth="1"/>
    <col min="14848" max="14849" width="35.83203125" style="546" customWidth="1"/>
    <col min="14850" max="14851" width="18.1640625" style="546" customWidth="1"/>
    <col min="14852" max="14852" width="15" style="546" bestFit="1" customWidth="1"/>
    <col min="14853" max="14853" width="17.5" style="546" customWidth="1"/>
    <col min="14854" max="15095" width="9.33203125" style="546"/>
    <col min="15096" max="15096" width="14.33203125" style="546" customWidth="1"/>
    <col min="15097" max="15097" width="121" style="546" customWidth="1"/>
    <col min="15098" max="15098" width="37.6640625" style="546" customWidth="1"/>
    <col min="15099" max="15100" width="35.83203125" style="546" customWidth="1"/>
    <col min="15101" max="15101" width="14.33203125" style="546" customWidth="1"/>
    <col min="15102" max="15102" width="121" style="546" customWidth="1"/>
    <col min="15103" max="15103" width="37.1640625" style="546" customWidth="1"/>
    <col min="15104" max="15105" width="35.83203125" style="546" customWidth="1"/>
    <col min="15106" max="15107" width="18.1640625" style="546" customWidth="1"/>
    <col min="15108" max="15108" width="15" style="546" bestFit="1" customWidth="1"/>
    <col min="15109" max="15109" width="17.5" style="546" customWidth="1"/>
    <col min="15110" max="15351" width="9.33203125" style="546"/>
    <col min="15352" max="15352" width="14.33203125" style="546" customWidth="1"/>
    <col min="15353" max="15353" width="121" style="546" customWidth="1"/>
    <col min="15354" max="15354" width="37.6640625" style="546" customWidth="1"/>
    <col min="15355" max="15356" width="35.83203125" style="546" customWidth="1"/>
    <col min="15357" max="15357" width="14.33203125" style="546" customWidth="1"/>
    <col min="15358" max="15358" width="121" style="546" customWidth="1"/>
    <col min="15359" max="15359" width="37.1640625" style="546" customWidth="1"/>
    <col min="15360" max="15361" width="35.83203125" style="546" customWidth="1"/>
    <col min="15362" max="15363" width="18.1640625" style="546" customWidth="1"/>
    <col min="15364" max="15364" width="15" style="546" bestFit="1" customWidth="1"/>
    <col min="15365" max="15365" width="17.5" style="546" customWidth="1"/>
    <col min="15366" max="15607" width="9.33203125" style="546"/>
    <col min="15608" max="15608" width="14.33203125" style="546" customWidth="1"/>
    <col min="15609" max="15609" width="121" style="546" customWidth="1"/>
    <col min="15610" max="15610" width="37.6640625" style="546" customWidth="1"/>
    <col min="15611" max="15612" width="35.83203125" style="546" customWidth="1"/>
    <col min="15613" max="15613" width="14.33203125" style="546" customWidth="1"/>
    <col min="15614" max="15614" width="121" style="546" customWidth="1"/>
    <col min="15615" max="15615" width="37.1640625" style="546" customWidth="1"/>
    <col min="15616" max="15617" width="35.83203125" style="546" customWidth="1"/>
    <col min="15618" max="15619" width="18.1640625" style="546" customWidth="1"/>
    <col min="15620" max="15620" width="15" style="546" bestFit="1" customWidth="1"/>
    <col min="15621" max="15621" width="17.5" style="546" customWidth="1"/>
    <col min="15622" max="15863" width="9.33203125" style="546"/>
    <col min="15864" max="15864" width="14.33203125" style="546" customWidth="1"/>
    <col min="15865" max="15865" width="121" style="546" customWidth="1"/>
    <col min="15866" max="15866" width="37.6640625" style="546" customWidth="1"/>
    <col min="15867" max="15868" width="35.83203125" style="546" customWidth="1"/>
    <col min="15869" max="15869" width="14.33203125" style="546" customWidth="1"/>
    <col min="15870" max="15870" width="121" style="546" customWidth="1"/>
    <col min="15871" max="15871" width="37.1640625" style="546" customWidth="1"/>
    <col min="15872" max="15873" width="35.83203125" style="546" customWidth="1"/>
    <col min="15874" max="15875" width="18.1640625" style="546" customWidth="1"/>
    <col min="15876" max="15876" width="15" style="546" bestFit="1" customWidth="1"/>
    <col min="15877" max="15877" width="17.5" style="546" customWidth="1"/>
    <col min="15878" max="16119" width="9.33203125" style="546"/>
    <col min="16120" max="16120" width="14.33203125" style="546" customWidth="1"/>
    <col min="16121" max="16121" width="121" style="546" customWidth="1"/>
    <col min="16122" max="16122" width="37.6640625" style="546" customWidth="1"/>
    <col min="16123" max="16124" width="35.83203125" style="546" customWidth="1"/>
    <col min="16125" max="16125" width="14.33203125" style="546" customWidth="1"/>
    <col min="16126" max="16126" width="121" style="546" customWidth="1"/>
    <col min="16127" max="16127" width="37.1640625" style="546" customWidth="1"/>
    <col min="16128" max="16129" width="35.83203125" style="546" customWidth="1"/>
    <col min="16130" max="16131" width="18.1640625" style="546" customWidth="1"/>
    <col min="16132" max="16132" width="15" style="546" bestFit="1" customWidth="1"/>
    <col min="16133" max="16133" width="17.5" style="546" customWidth="1"/>
    <col min="16134" max="16384" width="9.33203125" style="546"/>
  </cols>
  <sheetData>
    <row r="1" spans="1:11" s="540" customFormat="1" ht="29.25" customHeight="1" x14ac:dyDescent="0.3">
      <c r="B1" s="1860" t="s">
        <v>658</v>
      </c>
      <c r="C1" s="1860"/>
      <c r="D1" s="1860"/>
      <c r="E1" s="1860"/>
      <c r="F1" s="541"/>
      <c r="G1" s="1860" t="s">
        <v>658</v>
      </c>
      <c r="H1" s="1860"/>
      <c r="I1" s="1860"/>
      <c r="J1" s="1860"/>
    </row>
    <row r="2" spans="1:11" s="540" customFormat="1" ht="36" customHeight="1" x14ac:dyDescent="0.3">
      <c r="B2" s="1860" t="s">
        <v>1178</v>
      </c>
      <c r="C2" s="1860"/>
      <c r="D2" s="1860"/>
      <c r="E2" s="1860"/>
      <c r="F2" s="541"/>
      <c r="G2" s="1860" t="s">
        <v>1177</v>
      </c>
      <c r="H2" s="1860"/>
      <c r="I2" s="1860"/>
      <c r="J2" s="1860"/>
    </row>
    <row r="3" spans="1:11" ht="19.5" thickBot="1" x14ac:dyDescent="0.35">
      <c r="A3" s="542"/>
      <c r="B3" s="543"/>
      <c r="C3" s="543"/>
      <c r="D3" s="543"/>
      <c r="E3" s="544"/>
      <c r="F3" s="544"/>
      <c r="G3" s="543"/>
      <c r="H3" s="543"/>
      <c r="I3" s="543"/>
      <c r="J3" s="545" t="s">
        <v>15</v>
      </c>
    </row>
    <row r="4" spans="1:11" s="552" customFormat="1" ht="33.75" customHeight="1" x14ac:dyDescent="0.3">
      <c r="A4" s="547"/>
      <c r="B4" s="548" t="s">
        <v>659</v>
      </c>
      <c r="C4" s="549" t="s">
        <v>660</v>
      </c>
      <c r="D4" s="550" t="s">
        <v>661</v>
      </c>
      <c r="E4" s="550" t="s">
        <v>662</v>
      </c>
      <c r="F4" s="549"/>
      <c r="G4" s="551" t="s">
        <v>663</v>
      </c>
      <c r="H4" s="549" t="s">
        <v>660</v>
      </c>
      <c r="I4" s="551" t="s">
        <v>661</v>
      </c>
      <c r="J4" s="549" t="s">
        <v>662</v>
      </c>
    </row>
    <row r="5" spans="1:11" s="552" customFormat="1" ht="25.5" customHeight="1" x14ac:dyDescent="0.3">
      <c r="A5" s="553"/>
      <c r="B5" s="554"/>
      <c r="C5" s="555" t="s">
        <v>664</v>
      </c>
      <c r="D5" s="556" t="s">
        <v>665</v>
      </c>
      <c r="E5" s="556" t="s">
        <v>666</v>
      </c>
      <c r="F5" s="555"/>
      <c r="G5" s="543"/>
      <c r="H5" s="555" t="s">
        <v>667</v>
      </c>
      <c r="I5" s="557" t="s">
        <v>668</v>
      </c>
      <c r="J5" s="555" t="s">
        <v>669</v>
      </c>
    </row>
    <row r="6" spans="1:11" s="552" customFormat="1" ht="48.75" customHeight="1" thickBot="1" x14ac:dyDescent="0.35">
      <c r="A6" s="558"/>
      <c r="B6" s="559"/>
      <c r="C6" s="560" t="s">
        <v>80</v>
      </c>
      <c r="D6" s="561"/>
      <c r="E6" s="562"/>
      <c r="F6" s="563"/>
      <c r="G6" s="564"/>
      <c r="H6" s="560" t="s">
        <v>80</v>
      </c>
      <c r="I6" s="565"/>
      <c r="J6" s="566"/>
      <c r="K6" s="567"/>
    </row>
    <row r="7" spans="1:11" ht="24" customHeight="1" x14ac:dyDescent="0.3">
      <c r="A7" s="568"/>
      <c r="B7" s="569" t="s">
        <v>670</v>
      </c>
      <c r="C7" s="570"/>
      <c r="D7" s="571"/>
      <c r="E7" s="550"/>
      <c r="F7" s="555"/>
      <c r="G7" s="569" t="s">
        <v>671</v>
      </c>
      <c r="H7" s="572"/>
      <c r="I7" s="573"/>
      <c r="J7" s="556"/>
      <c r="K7" s="574"/>
    </row>
    <row r="8" spans="1:11" ht="27" customHeight="1" x14ac:dyDescent="0.3">
      <c r="A8" s="575" t="s">
        <v>672</v>
      </c>
      <c r="B8" s="576" t="s">
        <v>673</v>
      </c>
      <c r="C8" s="577">
        <v>840366</v>
      </c>
      <c r="D8" s="577">
        <v>8988871</v>
      </c>
      <c r="E8" s="578">
        <f>SUM(C8:D8)</f>
        <v>9829237</v>
      </c>
      <c r="F8" s="579" t="s">
        <v>674</v>
      </c>
      <c r="G8" s="576" t="s">
        <v>675</v>
      </c>
      <c r="H8" s="580">
        <v>8196111</v>
      </c>
      <c r="I8" s="580">
        <v>307290</v>
      </c>
      <c r="J8" s="577">
        <f>SUM(H8:I8)</f>
        <v>8503401</v>
      </c>
      <c r="K8" s="581"/>
    </row>
    <row r="9" spans="1:11" ht="27" customHeight="1" x14ac:dyDescent="0.3">
      <c r="A9" s="575" t="s">
        <v>676</v>
      </c>
      <c r="B9" s="576" t="s">
        <v>83</v>
      </c>
      <c r="C9" s="577">
        <v>2411</v>
      </c>
      <c r="D9" s="577">
        <f>13757712+1</f>
        <v>13757713</v>
      </c>
      <c r="E9" s="578">
        <f>SUM(C9:D9)</f>
        <v>13760124</v>
      </c>
      <c r="F9" s="583" t="s">
        <v>677</v>
      </c>
      <c r="G9" s="584" t="s">
        <v>678</v>
      </c>
      <c r="H9" s="585">
        <v>1109026</v>
      </c>
      <c r="I9" s="586">
        <v>42464</v>
      </c>
      <c r="J9" s="577">
        <f>SUM(H9:I9)</f>
        <v>1151490</v>
      </c>
      <c r="K9" s="581"/>
    </row>
    <row r="10" spans="1:11" ht="27" customHeight="1" x14ac:dyDescent="0.3">
      <c r="A10" s="575" t="s">
        <v>679</v>
      </c>
      <c r="B10" s="576" t="s">
        <v>680</v>
      </c>
      <c r="C10" s="577">
        <v>1651640</v>
      </c>
      <c r="D10" s="577">
        <f>3445041+1</f>
        <v>3445042</v>
      </c>
      <c r="E10" s="578">
        <f>SUM(C10:D10)</f>
        <v>5096682</v>
      </c>
      <c r="F10" s="583" t="s">
        <v>681</v>
      </c>
      <c r="G10" s="584" t="s">
        <v>682</v>
      </c>
      <c r="H10" s="585">
        <v>4635544</v>
      </c>
      <c r="I10" s="585">
        <f>5016006+1</f>
        <v>5016007</v>
      </c>
      <c r="J10" s="577">
        <f>SUM(H10:I10)</f>
        <v>9651551</v>
      </c>
      <c r="K10" s="581"/>
    </row>
    <row r="11" spans="1:11" ht="27" customHeight="1" x14ac:dyDescent="0.3">
      <c r="A11" s="587" t="s">
        <v>683</v>
      </c>
      <c r="B11" s="584" t="s">
        <v>147</v>
      </c>
      <c r="C11" s="588">
        <v>17905</v>
      </c>
      <c r="D11" s="577">
        <f>110231-1</f>
        <v>110230</v>
      </c>
      <c r="E11" s="578">
        <f>SUM(C11:D11)</f>
        <v>128135</v>
      </c>
      <c r="F11" s="589" t="s">
        <v>684</v>
      </c>
      <c r="G11" s="590" t="s">
        <v>685</v>
      </c>
      <c r="H11" s="585"/>
      <c r="I11" s="585">
        <v>189194</v>
      </c>
      <c r="J11" s="577">
        <f>SUM(H11:I11)</f>
        <v>189194</v>
      </c>
      <c r="K11" s="581"/>
    </row>
    <row r="12" spans="1:11" ht="24" customHeight="1" thickBot="1" x14ac:dyDescent="0.4">
      <c r="A12" s="575"/>
      <c r="B12" s="576"/>
      <c r="C12" s="588"/>
      <c r="D12" s="588"/>
      <c r="E12" s="578"/>
      <c r="F12" s="583" t="s">
        <v>686</v>
      </c>
      <c r="G12" s="584" t="s">
        <v>687</v>
      </c>
      <c r="H12" s="577">
        <v>19797</v>
      </c>
      <c r="I12" s="577">
        <v>7864168</v>
      </c>
      <c r="J12" s="577">
        <f>SUM(H12:I12)</f>
        <v>7883965</v>
      </c>
      <c r="K12" s="591"/>
    </row>
    <row r="13" spans="1:11" ht="27" customHeight="1" thickBot="1" x14ac:dyDescent="0.4">
      <c r="A13" s="592"/>
      <c r="B13" s="593" t="s">
        <v>688</v>
      </c>
      <c r="C13" s="594">
        <f>SUM(C8:C12)</f>
        <v>2512322</v>
      </c>
      <c r="D13" s="594">
        <f>SUM(D8:D12)</f>
        <v>26301856</v>
      </c>
      <c r="E13" s="594">
        <f>SUM(C13:D13)</f>
        <v>28814178</v>
      </c>
      <c r="F13" s="595"/>
      <c r="G13" s="593" t="s">
        <v>689</v>
      </c>
      <c r="H13" s="596">
        <f>SUM(H8:H12)</f>
        <v>13960478</v>
      </c>
      <c r="I13" s="596">
        <f>SUM(I8:I12)</f>
        <v>13419123</v>
      </c>
      <c r="J13" s="596">
        <f>SUM(J8:J12)</f>
        <v>27379601</v>
      </c>
      <c r="K13" s="591" t="s">
        <v>690</v>
      </c>
    </row>
    <row r="14" spans="1:11" s="600" customFormat="1" ht="27" customHeight="1" x14ac:dyDescent="0.35">
      <c r="A14" s="575" t="s">
        <v>691</v>
      </c>
      <c r="B14" s="584" t="s">
        <v>153</v>
      </c>
      <c r="C14" s="588">
        <f>34476</f>
        <v>34476</v>
      </c>
      <c r="D14" s="577">
        <f>734276-1</f>
        <v>734275</v>
      </c>
      <c r="E14" s="578">
        <f>SUM(C14:D14)</f>
        <v>768751</v>
      </c>
      <c r="F14" s="597" t="s">
        <v>692</v>
      </c>
      <c r="G14" s="598" t="s">
        <v>173</v>
      </c>
      <c r="H14" s="599">
        <v>175745</v>
      </c>
      <c r="I14" s="599">
        <v>1491545</v>
      </c>
      <c r="J14" s="577">
        <f>SUM(H14:I14)</f>
        <v>1667290</v>
      </c>
      <c r="K14" s="591"/>
    </row>
    <row r="15" spans="1:11" ht="27" customHeight="1" x14ac:dyDescent="0.35">
      <c r="A15" s="575" t="s">
        <v>693</v>
      </c>
      <c r="B15" s="584" t="s">
        <v>158</v>
      </c>
      <c r="C15" s="577">
        <v>4357</v>
      </c>
      <c r="D15" s="577">
        <v>1203487</v>
      </c>
      <c r="E15" s="578">
        <f>SUM(C15:D15)</f>
        <v>1207844</v>
      </c>
      <c r="F15" s="601" t="s">
        <v>694</v>
      </c>
      <c r="G15" s="584" t="s">
        <v>695</v>
      </c>
      <c r="H15" s="585">
        <f>85307+1</f>
        <v>85308</v>
      </c>
      <c r="I15" s="585">
        <v>1223795</v>
      </c>
      <c r="J15" s="577">
        <f>SUM(H15:I15)</f>
        <v>1309103</v>
      </c>
      <c r="K15" s="591"/>
    </row>
    <row r="16" spans="1:11" ht="27" customHeight="1" thickBot="1" x14ac:dyDescent="0.4">
      <c r="A16" s="575" t="s">
        <v>696</v>
      </c>
      <c r="B16" s="584" t="s">
        <v>697</v>
      </c>
      <c r="C16" s="577"/>
      <c r="D16" s="577">
        <v>274386</v>
      </c>
      <c r="E16" s="578">
        <f>SUM(C16:D16)</f>
        <v>274386</v>
      </c>
      <c r="F16" s="589" t="s">
        <v>698</v>
      </c>
      <c r="G16" s="602" t="s">
        <v>699</v>
      </c>
      <c r="H16" s="580"/>
      <c r="I16" s="580">
        <v>348284</v>
      </c>
      <c r="J16" s="577">
        <f>SUM(H16:I16)</f>
        <v>348284</v>
      </c>
      <c r="K16" s="591"/>
    </row>
    <row r="17" spans="1:11" ht="27" customHeight="1" thickBot="1" x14ac:dyDescent="0.4">
      <c r="A17" s="603"/>
      <c r="B17" s="593" t="s">
        <v>700</v>
      </c>
      <c r="C17" s="594">
        <f>SUM(C14:C16)</f>
        <v>38833</v>
      </c>
      <c r="D17" s="594">
        <f>SUM(D14:D16)</f>
        <v>2212148</v>
      </c>
      <c r="E17" s="594">
        <f>SUM(E14:E16)</f>
        <v>2250981</v>
      </c>
      <c r="F17" s="595"/>
      <c r="G17" s="604" t="s">
        <v>701</v>
      </c>
      <c r="H17" s="596">
        <f>SUM(H14:H16)</f>
        <v>261053</v>
      </c>
      <c r="I17" s="596">
        <f>SUM(I14:I16)</f>
        <v>3063624</v>
      </c>
      <c r="J17" s="596">
        <f>SUM(J14:J16)</f>
        <v>3324677</v>
      </c>
      <c r="K17" s="591" t="s">
        <v>690</v>
      </c>
    </row>
    <row r="18" spans="1:11" ht="27" customHeight="1" thickBot="1" x14ac:dyDescent="0.35">
      <c r="A18" s="603"/>
      <c r="B18" s="604" t="s">
        <v>702</v>
      </c>
      <c r="C18" s="594">
        <f>+C13+C17</f>
        <v>2551155</v>
      </c>
      <c r="D18" s="594">
        <f>D13+D17</f>
        <v>28514004</v>
      </c>
      <c r="E18" s="594">
        <f>SUM(E13+E17)</f>
        <v>31065159</v>
      </c>
      <c r="F18" s="595"/>
      <c r="G18" s="593" t="s">
        <v>703</v>
      </c>
      <c r="H18" s="596">
        <f>SUM(H17,H13)</f>
        <v>14221531</v>
      </c>
      <c r="I18" s="596">
        <f>SUM(I17,I13)</f>
        <v>16482747</v>
      </c>
      <c r="J18" s="596">
        <f>SUM(J17,J13)</f>
        <v>30704278</v>
      </c>
      <c r="K18" s="581"/>
    </row>
    <row r="19" spans="1:11" ht="27" customHeight="1" thickBot="1" x14ac:dyDescent="0.35">
      <c r="A19" s="605" t="s">
        <v>704</v>
      </c>
      <c r="B19" s="606" t="s">
        <v>705</v>
      </c>
      <c r="C19" s="580">
        <v>483144</v>
      </c>
      <c r="D19" s="607">
        <v>7055007</v>
      </c>
      <c r="E19" s="578">
        <f>SUM(C19:D19)</f>
        <v>7538151</v>
      </c>
      <c r="F19" s="608" t="s">
        <v>706</v>
      </c>
      <c r="G19" s="609" t="s">
        <v>707</v>
      </c>
      <c r="H19" s="585"/>
      <c r="I19" s="585">
        <f>234638+120749</f>
        <v>355387</v>
      </c>
      <c r="J19" s="577">
        <f>SUM(H19:I19)</f>
        <v>355387</v>
      </c>
      <c r="K19" s="581"/>
    </row>
    <row r="20" spans="1:11" ht="36.75" customHeight="1" thickBot="1" x14ac:dyDescent="0.35">
      <c r="A20" s="610"/>
      <c r="B20" s="593" t="s">
        <v>708</v>
      </c>
      <c r="C20" s="594">
        <f>SUM(C18:C19)</f>
        <v>3034299</v>
      </c>
      <c r="D20" s="594">
        <f>SUM(D18:D19)</f>
        <v>35569011</v>
      </c>
      <c r="E20" s="594">
        <f>SUM(C20:D20)</f>
        <v>38603310</v>
      </c>
      <c r="F20" s="595"/>
      <c r="G20" s="593" t="s">
        <v>709</v>
      </c>
      <c r="H20" s="594">
        <f>SUM(H18:H19)</f>
        <v>14221531</v>
      </c>
      <c r="I20" s="594">
        <f>SUM(I18:I19)</f>
        <v>16838134</v>
      </c>
      <c r="J20" s="594">
        <f>SUM(J18:J19)</f>
        <v>31059665</v>
      </c>
      <c r="K20" s="582"/>
    </row>
    <row r="21" spans="1:11" s="582" customFormat="1" ht="24" customHeight="1" x14ac:dyDescent="0.35">
      <c r="B21" s="611"/>
      <c r="E21" s="736"/>
      <c r="F21" s="612"/>
      <c r="H21" s="735"/>
      <c r="I21" s="613"/>
      <c r="J21" s="614"/>
      <c r="K21" s="615"/>
    </row>
    <row r="22" spans="1:11" ht="58.5" customHeight="1" x14ac:dyDescent="0.25">
      <c r="A22" s="582"/>
      <c r="B22" s="616"/>
      <c r="C22" s="582"/>
      <c r="D22" s="582"/>
      <c r="E22" s="617"/>
      <c r="F22" s="612"/>
      <c r="G22" s="1861" t="s">
        <v>710</v>
      </c>
      <c r="H22" s="1862"/>
      <c r="I22" s="1862"/>
      <c r="J22" s="1862"/>
      <c r="K22" s="615"/>
    </row>
    <row r="23" spans="1:11" ht="24" customHeight="1" x14ac:dyDescent="0.35">
      <c r="A23" s="582"/>
      <c r="B23" s="618"/>
      <c r="C23" s="619"/>
      <c r="E23" s="612"/>
      <c r="F23" s="612"/>
      <c r="H23" s="582"/>
      <c r="J23" s="612"/>
      <c r="K23" s="615"/>
    </row>
    <row r="24" spans="1:11" ht="24" customHeight="1" x14ac:dyDescent="0.35">
      <c r="A24" s="582"/>
      <c r="B24" s="618"/>
      <c r="C24" s="619"/>
      <c r="D24" s="620"/>
      <c r="E24" s="612"/>
      <c r="F24" s="612"/>
      <c r="H24" s="582"/>
      <c r="J24" s="612"/>
      <c r="K24" s="615"/>
    </row>
    <row r="25" spans="1:11" ht="24" customHeight="1" x14ac:dyDescent="0.25">
      <c r="A25" s="582"/>
      <c r="B25" s="621"/>
      <c r="C25" s="582"/>
      <c r="D25" s="582"/>
      <c r="E25" s="612"/>
      <c r="F25" s="612"/>
      <c r="H25" s="582"/>
      <c r="I25" s="582"/>
      <c r="J25" s="736"/>
      <c r="K25" s="615"/>
    </row>
    <row r="26" spans="1:11" ht="24" customHeight="1" x14ac:dyDescent="0.25">
      <c r="A26" s="582"/>
      <c r="B26" s="622"/>
      <c r="C26" s="582"/>
      <c r="E26" s="612"/>
      <c r="F26" s="612"/>
      <c r="G26" s="616"/>
      <c r="H26" s="612"/>
      <c r="I26" s="612"/>
      <c r="J26" s="736"/>
      <c r="K26" s="615"/>
    </row>
    <row r="27" spans="1:11" ht="24" customHeight="1" x14ac:dyDescent="0.25">
      <c r="A27" s="582"/>
      <c r="C27" s="582"/>
      <c r="E27" s="612"/>
      <c r="F27" s="612"/>
      <c r="H27" s="734"/>
      <c r="I27" s="734"/>
      <c r="J27" s="734"/>
      <c r="K27" s="615"/>
    </row>
    <row r="28" spans="1:11" ht="24" customHeight="1" x14ac:dyDescent="0.25">
      <c r="A28" s="582"/>
      <c r="B28" s="616"/>
      <c r="C28" s="582"/>
      <c r="D28" s="582"/>
      <c r="E28" s="617"/>
      <c r="F28" s="612"/>
      <c r="G28" s="623"/>
      <c r="J28" s="617"/>
      <c r="K28" s="615"/>
    </row>
    <row r="29" spans="1:11" ht="24" customHeight="1" x14ac:dyDescent="0.25">
      <c r="A29" s="582"/>
      <c r="B29" s="618"/>
      <c r="C29" s="582"/>
      <c r="D29" s="582"/>
      <c r="E29" s="612"/>
      <c r="F29" s="612"/>
      <c r="H29" s="582"/>
      <c r="J29" s="612"/>
      <c r="K29" s="615"/>
    </row>
    <row r="30" spans="1:11" ht="24" customHeight="1" x14ac:dyDescent="0.25">
      <c r="A30" s="582"/>
      <c r="B30" s="618"/>
      <c r="C30" s="582"/>
      <c r="D30" s="582"/>
      <c r="E30" s="612"/>
      <c r="F30" s="612"/>
      <c r="J30" s="612"/>
      <c r="K30" s="615"/>
    </row>
    <row r="31" spans="1:11" ht="24" customHeight="1" x14ac:dyDescent="0.25">
      <c r="A31" s="582"/>
      <c r="B31" s="621"/>
      <c r="C31" s="582"/>
      <c r="E31" s="612"/>
      <c r="F31" s="612"/>
      <c r="I31" s="582"/>
      <c r="J31" s="612"/>
      <c r="K31" s="615"/>
    </row>
    <row r="32" spans="1:11" ht="24" customHeight="1" x14ac:dyDescent="0.25">
      <c r="A32" s="582"/>
      <c r="B32" s="622"/>
      <c r="C32" s="582"/>
      <c r="E32" s="612"/>
      <c r="F32" s="612"/>
      <c r="I32" s="582"/>
      <c r="J32" s="612"/>
      <c r="K32" s="615"/>
    </row>
    <row r="33" spans="1:11" ht="24" customHeight="1" x14ac:dyDescent="0.25">
      <c r="A33" s="582"/>
      <c r="B33" s="622"/>
      <c r="C33" s="582"/>
      <c r="E33" s="612"/>
      <c r="F33" s="612"/>
      <c r="I33" s="582"/>
      <c r="J33" s="612"/>
      <c r="K33" s="615"/>
    </row>
    <row r="34" spans="1:11" ht="24" customHeight="1" x14ac:dyDescent="0.25">
      <c r="A34" s="582"/>
      <c r="C34" s="582"/>
      <c r="D34" s="582"/>
      <c r="E34" s="612"/>
      <c r="F34" s="612"/>
      <c r="I34" s="582"/>
      <c r="J34" s="612"/>
      <c r="K34" s="615"/>
    </row>
    <row r="35" spans="1:11" ht="24" customHeight="1" x14ac:dyDescent="0.25">
      <c r="A35" s="582"/>
      <c r="C35" s="582"/>
      <c r="E35" s="612"/>
      <c r="F35" s="612"/>
      <c r="H35" s="582"/>
      <c r="I35" s="582"/>
      <c r="K35" s="615"/>
    </row>
    <row r="36" spans="1:11" ht="24" customHeight="1" x14ac:dyDescent="0.25">
      <c r="A36" s="582"/>
      <c r="C36" s="582"/>
      <c r="E36" s="612"/>
      <c r="F36" s="612"/>
      <c r="H36" s="582"/>
      <c r="I36" s="582"/>
      <c r="K36" s="615"/>
    </row>
    <row r="37" spans="1:11" ht="24" customHeight="1" x14ac:dyDescent="0.25">
      <c r="A37" s="582"/>
      <c r="C37" s="582"/>
      <c r="E37" s="612"/>
      <c r="F37" s="612"/>
      <c r="H37" s="582"/>
      <c r="I37" s="582"/>
      <c r="K37" s="615"/>
    </row>
    <row r="38" spans="1:11" ht="24" customHeight="1" x14ac:dyDescent="0.25">
      <c r="A38" s="582"/>
      <c r="C38" s="582"/>
      <c r="E38" s="612"/>
      <c r="F38" s="612"/>
      <c r="H38" s="582"/>
      <c r="I38" s="582"/>
      <c r="K38" s="615"/>
    </row>
    <row r="39" spans="1:11" ht="24" customHeight="1" x14ac:dyDescent="0.25">
      <c r="A39" s="582"/>
      <c r="B39" s="621"/>
      <c r="C39" s="582"/>
      <c r="E39" s="582"/>
      <c r="F39" s="612"/>
      <c r="G39" s="616"/>
      <c r="H39" s="582"/>
      <c r="K39" s="582"/>
    </row>
    <row r="40" spans="1:11" ht="24" customHeight="1" x14ac:dyDescent="0.25">
      <c r="C40" s="582"/>
      <c r="F40" s="612"/>
      <c r="J40" s="612"/>
      <c r="K40" s="582"/>
    </row>
    <row r="41" spans="1:11" ht="24" customHeight="1" x14ac:dyDescent="0.25">
      <c r="C41" s="582"/>
      <c r="E41" s="546"/>
      <c r="F41" s="612"/>
      <c r="J41" s="582"/>
    </row>
    <row r="42" spans="1:11" ht="24" customHeight="1" x14ac:dyDescent="0.25">
      <c r="C42" s="582"/>
      <c r="E42" s="582"/>
      <c r="J42" s="546"/>
    </row>
    <row r="43" spans="1:11" ht="24" customHeight="1" x14ac:dyDescent="0.25">
      <c r="E43" s="546"/>
      <c r="F43" s="612"/>
      <c r="J43" s="546"/>
    </row>
    <row r="44" spans="1:11" ht="24" customHeight="1" x14ac:dyDescent="0.25">
      <c r="E44" s="612"/>
      <c r="F44" s="612"/>
      <c r="J44" s="612"/>
    </row>
    <row r="45" spans="1:11" ht="24" customHeight="1" x14ac:dyDescent="0.25"/>
    <row r="46" spans="1:11" ht="24" customHeight="1" x14ac:dyDescent="0.25"/>
    <row r="47" spans="1:11" ht="24" customHeight="1" x14ac:dyDescent="0.25"/>
    <row r="48" spans="1:11" ht="24" customHeight="1" x14ac:dyDescent="0.25"/>
    <row r="49" ht="24" customHeight="1" x14ac:dyDescent="0.25"/>
  </sheetData>
  <mergeCells count="5">
    <mergeCell ref="B1:E1"/>
    <mergeCell ref="G1:J1"/>
    <mergeCell ref="B2:E2"/>
    <mergeCell ref="G2:J2"/>
    <mergeCell ref="G22:J2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59" orientation="landscape" r:id="rId1"/>
  <headerFooter alignWithMargins="0">
    <oddHeader xml:space="preserve">&amp;R&amp;"Cambria,Félkövér"&amp;12  1. melléklet  a 10/2024. (V.31.) önkormányzati rendelethez </oddHeader>
  </headerFooter>
  <colBreaks count="1" manualBreakCount="1">
    <brk id="5" max="2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1"/>
  <dimension ref="A1:H54"/>
  <sheetViews>
    <sheetView view="pageLayout" zoomScaleNormal="100" zoomScaleSheetLayoutView="100" workbookViewId="0">
      <selection activeCell="A12" sqref="A12"/>
    </sheetView>
  </sheetViews>
  <sheetFormatPr defaultColWidth="9.33203125" defaultRowHeight="15" customHeight="1" x14ac:dyDescent="0.2"/>
  <cols>
    <col min="1" max="1" width="115.6640625" style="3" customWidth="1"/>
    <col min="2" max="4" width="27.83203125" style="3" customWidth="1"/>
    <col min="5" max="5" width="25" style="3" customWidth="1"/>
    <col min="6" max="6" width="27.6640625" style="3" customWidth="1"/>
    <col min="7" max="7" width="22.1640625" style="3" customWidth="1"/>
    <col min="8" max="8" width="9.33203125" style="51"/>
    <col min="9" max="16384" width="9.33203125" style="3"/>
  </cols>
  <sheetData>
    <row r="1" spans="1:6" ht="15" customHeight="1" x14ac:dyDescent="0.25">
      <c r="A1" s="1863"/>
      <c r="B1" s="1863"/>
      <c r="C1" s="86"/>
      <c r="D1" s="82"/>
      <c r="E1" s="82"/>
    </row>
    <row r="2" spans="1:6" ht="27" customHeight="1" x14ac:dyDescent="0.25">
      <c r="A2" s="1960" t="s">
        <v>20</v>
      </c>
      <c r="B2" s="1960"/>
      <c r="C2" s="1960"/>
      <c r="D2" s="1960"/>
      <c r="E2" s="1960"/>
    </row>
    <row r="3" spans="1:6" ht="18" customHeight="1" x14ac:dyDescent="0.25">
      <c r="A3" s="1008"/>
      <c r="B3" s="86"/>
      <c r="C3" s="86"/>
      <c r="D3" s="95"/>
      <c r="E3" s="95"/>
      <c r="F3" s="12"/>
    </row>
    <row r="4" spans="1:6" ht="27" customHeight="1" thickBot="1" x14ac:dyDescent="0.3">
      <c r="A4" s="968" t="s">
        <v>135</v>
      </c>
      <c r="B4" s="96"/>
      <c r="C4" s="96"/>
      <c r="D4" s="96"/>
      <c r="E4" s="84" t="s">
        <v>15</v>
      </c>
      <c r="F4" s="49"/>
    </row>
    <row r="5" spans="1:6" ht="27" customHeight="1" x14ac:dyDescent="0.3">
      <c r="A5" s="1009" t="s">
        <v>29</v>
      </c>
      <c r="B5" s="1864" t="s">
        <v>514</v>
      </c>
      <c r="C5" s="1864"/>
      <c r="D5" s="147" t="s">
        <v>305</v>
      </c>
      <c r="E5" s="259" t="s">
        <v>90</v>
      </c>
      <c r="F5" s="55"/>
    </row>
    <row r="6" spans="1:6" ht="28.5" customHeight="1" thickBot="1" x14ac:dyDescent="0.35">
      <c r="A6" s="1010"/>
      <c r="B6" s="260" t="s">
        <v>184</v>
      </c>
      <c r="C6" s="260" t="s">
        <v>88</v>
      </c>
      <c r="D6" s="261" t="s">
        <v>89</v>
      </c>
      <c r="E6" s="262" t="s">
        <v>91</v>
      </c>
      <c r="F6" s="55"/>
    </row>
    <row r="7" spans="1:6" ht="39" customHeight="1" x14ac:dyDescent="0.3">
      <c r="A7" s="1011" t="s">
        <v>1381</v>
      </c>
      <c r="B7" s="264">
        <v>1174457</v>
      </c>
      <c r="C7" s="264"/>
      <c r="D7" s="267"/>
      <c r="E7" s="318"/>
      <c r="F7" s="742"/>
    </row>
    <row r="8" spans="1:6" ht="39" customHeight="1" x14ac:dyDescent="0.3">
      <c r="A8" s="1012" t="s">
        <v>1382</v>
      </c>
      <c r="B8" s="267">
        <v>112207</v>
      </c>
      <c r="C8" s="267"/>
      <c r="D8" s="267"/>
      <c r="E8" s="319"/>
      <c r="F8" s="742"/>
    </row>
    <row r="9" spans="1:6" ht="39" customHeight="1" x14ac:dyDescent="0.3">
      <c r="A9" s="1012" t="s">
        <v>1383</v>
      </c>
      <c r="B9" s="321"/>
      <c r="C9" s="321"/>
      <c r="D9" s="321"/>
      <c r="E9" s="318"/>
      <c r="F9" s="742"/>
    </row>
    <row r="10" spans="1:6" ht="24.75" customHeight="1" thickBot="1" x14ac:dyDescent="0.35">
      <c r="A10" s="1013" t="s">
        <v>134</v>
      </c>
      <c r="B10" s="144">
        <f>SUM(B7:B9)</f>
        <v>1286664</v>
      </c>
      <c r="C10" s="144">
        <v>1588974</v>
      </c>
      <c r="D10" s="144">
        <v>1536073</v>
      </c>
      <c r="E10" s="187">
        <f>+D10/C10*100</f>
        <v>96.670744769895549</v>
      </c>
      <c r="F10" s="743"/>
    </row>
    <row r="11" spans="1:6" ht="24.75" customHeight="1" x14ac:dyDescent="0.3">
      <c r="A11" s="1014" t="s">
        <v>131</v>
      </c>
      <c r="B11" s="322"/>
      <c r="C11" s="323"/>
      <c r="D11" s="322"/>
      <c r="E11" s="324"/>
      <c r="F11" s="742"/>
    </row>
    <row r="12" spans="1:6" ht="24.75" customHeight="1" x14ac:dyDescent="0.3">
      <c r="A12" s="498" t="s">
        <v>415</v>
      </c>
      <c r="B12" s="139">
        <v>2000</v>
      </c>
      <c r="C12" s="139">
        <v>1850</v>
      </c>
      <c r="D12" s="139">
        <v>40</v>
      </c>
      <c r="E12" s="154">
        <f t="shared" ref="E12:E39" si="0">+D12/C12*100</f>
        <v>2.1621621621621623</v>
      </c>
      <c r="F12" s="742"/>
    </row>
    <row r="13" spans="1:6" ht="24.75" customHeight="1" x14ac:dyDescent="0.3">
      <c r="A13" s="1012" t="s">
        <v>619</v>
      </c>
      <c r="B13" s="321">
        <v>156536</v>
      </c>
      <c r="C13" s="321">
        <v>176622</v>
      </c>
      <c r="D13" s="325">
        <v>176622</v>
      </c>
      <c r="E13" s="319">
        <f t="shared" si="0"/>
        <v>100</v>
      </c>
      <c r="F13" s="742"/>
    </row>
    <row r="14" spans="1:6" ht="24.75" customHeight="1" x14ac:dyDescent="0.3">
      <c r="A14" s="498" t="s">
        <v>145</v>
      </c>
      <c r="B14" s="139">
        <v>1555</v>
      </c>
      <c r="C14" s="139">
        <v>1600</v>
      </c>
      <c r="D14" s="139">
        <v>1501</v>
      </c>
      <c r="E14" s="167">
        <f t="shared" si="0"/>
        <v>93.8125</v>
      </c>
      <c r="F14" s="742"/>
    </row>
    <row r="15" spans="1:6" ht="24.75" customHeight="1" x14ac:dyDescent="0.3">
      <c r="A15" s="1015" t="s">
        <v>67</v>
      </c>
      <c r="B15" s="285">
        <v>150000</v>
      </c>
      <c r="C15" s="285">
        <v>239479</v>
      </c>
      <c r="D15" s="326">
        <v>185324</v>
      </c>
      <c r="E15" s="327">
        <f t="shared" si="0"/>
        <v>77.386326149683271</v>
      </c>
      <c r="F15" s="742"/>
    </row>
    <row r="16" spans="1:6" ht="18.75" x14ac:dyDescent="0.3">
      <c r="A16" s="1016" t="s">
        <v>620</v>
      </c>
      <c r="B16" s="328"/>
      <c r="C16" s="328">
        <v>14278</v>
      </c>
      <c r="D16" s="168">
        <v>14278</v>
      </c>
      <c r="E16" s="329">
        <f t="shared" si="0"/>
        <v>100</v>
      </c>
      <c r="F16" s="742"/>
    </row>
    <row r="17" spans="1:6" ht="24.75" customHeight="1" x14ac:dyDescent="0.3">
      <c r="A17" s="498" t="s">
        <v>60</v>
      </c>
      <c r="B17" s="139">
        <v>2500</v>
      </c>
      <c r="C17" s="139">
        <v>2973</v>
      </c>
      <c r="D17" s="139">
        <v>2973</v>
      </c>
      <c r="E17" s="329">
        <f t="shared" si="0"/>
        <v>100</v>
      </c>
      <c r="F17" s="57"/>
    </row>
    <row r="18" spans="1:6" ht="24.75" customHeight="1" x14ac:dyDescent="0.3">
      <c r="A18" s="498" t="s">
        <v>132</v>
      </c>
      <c r="B18" s="139">
        <v>2500</v>
      </c>
      <c r="C18" s="139">
        <v>0</v>
      </c>
      <c r="D18" s="139"/>
      <c r="E18" s="329"/>
      <c r="F18" s="57"/>
    </row>
    <row r="19" spans="1:6" ht="24.75" customHeight="1" x14ac:dyDescent="0.3">
      <c r="A19" s="499" t="s">
        <v>43</v>
      </c>
      <c r="B19" s="139">
        <v>9000</v>
      </c>
      <c r="C19" s="139">
        <v>9000</v>
      </c>
      <c r="D19" s="139">
        <v>9000</v>
      </c>
      <c r="E19" s="329">
        <f t="shared" si="0"/>
        <v>100</v>
      </c>
      <c r="F19" s="57"/>
    </row>
    <row r="20" spans="1:6" ht="23.25" customHeight="1" x14ac:dyDescent="0.3">
      <c r="A20" s="1017" t="s">
        <v>348</v>
      </c>
      <c r="B20" s="139">
        <v>10000</v>
      </c>
      <c r="C20" s="139">
        <v>10000</v>
      </c>
      <c r="D20" s="139">
        <v>10000</v>
      </c>
      <c r="E20" s="329">
        <f t="shared" si="0"/>
        <v>100</v>
      </c>
      <c r="F20" s="57"/>
    </row>
    <row r="21" spans="1:6" ht="39.75" customHeight="1" x14ac:dyDescent="0.3">
      <c r="A21" s="1017" t="s">
        <v>349</v>
      </c>
      <c r="B21" s="139">
        <v>3300</v>
      </c>
      <c r="C21" s="139">
        <v>1400</v>
      </c>
      <c r="D21" s="139">
        <v>1375</v>
      </c>
      <c r="E21" s="329">
        <f t="shared" si="0"/>
        <v>98.214285714285708</v>
      </c>
      <c r="F21" s="57"/>
    </row>
    <row r="22" spans="1:6" ht="24.75" customHeight="1" x14ac:dyDescent="0.3">
      <c r="A22" s="1018" t="s">
        <v>5</v>
      </c>
      <c r="B22" s="330">
        <v>60000</v>
      </c>
      <c r="C22" s="330">
        <v>60000</v>
      </c>
      <c r="D22" s="330">
        <v>34167</v>
      </c>
      <c r="E22" s="329">
        <f t="shared" si="0"/>
        <v>56.945</v>
      </c>
      <c r="F22" s="57"/>
    </row>
    <row r="23" spans="1:6" ht="24.75" customHeight="1" x14ac:dyDescent="0.3">
      <c r="A23" s="1018" t="s">
        <v>352</v>
      </c>
      <c r="B23" s="330">
        <v>3000</v>
      </c>
      <c r="C23" s="330">
        <v>27903</v>
      </c>
      <c r="D23" s="330">
        <v>27903</v>
      </c>
      <c r="E23" s="329">
        <f t="shared" si="0"/>
        <v>100</v>
      </c>
      <c r="F23" s="57"/>
    </row>
    <row r="24" spans="1:6" ht="24.75" customHeight="1" x14ac:dyDescent="0.3">
      <c r="A24" s="1018" t="s">
        <v>353</v>
      </c>
      <c r="B24" s="330"/>
      <c r="C24" s="330">
        <v>190</v>
      </c>
      <c r="D24" s="330">
        <v>169</v>
      </c>
      <c r="E24" s="329">
        <f t="shared" si="0"/>
        <v>88.94736842105263</v>
      </c>
      <c r="F24" s="57"/>
    </row>
    <row r="25" spans="1:6" ht="24.75" customHeight="1" x14ac:dyDescent="0.3">
      <c r="A25" s="1018" t="s">
        <v>144</v>
      </c>
      <c r="B25" s="330">
        <v>660</v>
      </c>
      <c r="C25" s="330">
        <v>660</v>
      </c>
      <c r="D25" s="330"/>
      <c r="E25" s="329">
        <f t="shared" si="0"/>
        <v>0</v>
      </c>
      <c r="F25" s="57"/>
    </row>
    <row r="26" spans="1:6" ht="24.75" customHeight="1" x14ac:dyDescent="0.3">
      <c r="A26" s="1012" t="s">
        <v>235</v>
      </c>
      <c r="B26" s="267">
        <v>5000</v>
      </c>
      <c r="C26" s="267">
        <v>223</v>
      </c>
      <c r="D26" s="266"/>
      <c r="E26" s="346">
        <f t="shared" si="0"/>
        <v>0</v>
      </c>
      <c r="F26" s="742"/>
    </row>
    <row r="27" spans="1:6" ht="39.75" customHeight="1" x14ac:dyDescent="0.3">
      <c r="A27" s="1017" t="s">
        <v>350</v>
      </c>
      <c r="B27" s="139">
        <v>10000</v>
      </c>
      <c r="C27" s="139">
        <v>10000</v>
      </c>
      <c r="D27" s="139">
        <v>10000</v>
      </c>
      <c r="E27" s="329">
        <f t="shared" si="0"/>
        <v>100</v>
      </c>
      <c r="F27" s="57"/>
    </row>
    <row r="28" spans="1:6" ht="39.75" customHeight="1" x14ac:dyDescent="0.3">
      <c r="A28" s="1017" t="s">
        <v>476</v>
      </c>
      <c r="B28" s="139"/>
      <c r="C28" s="139">
        <v>40884</v>
      </c>
      <c r="D28" s="139">
        <f>40883+1</f>
        <v>40884</v>
      </c>
      <c r="E28" s="329">
        <f t="shared" si="0"/>
        <v>100</v>
      </c>
      <c r="F28" s="57"/>
    </row>
    <row r="29" spans="1:6" ht="18.75" customHeight="1" x14ac:dyDescent="0.3">
      <c r="A29" s="499" t="s">
        <v>272</v>
      </c>
      <c r="B29" s="139">
        <v>8263</v>
      </c>
      <c r="C29" s="139">
        <v>8833</v>
      </c>
      <c r="D29" s="191">
        <v>7900</v>
      </c>
      <c r="E29" s="510">
        <f t="shared" si="0"/>
        <v>89.437337258009748</v>
      </c>
      <c r="F29" s="57"/>
    </row>
    <row r="30" spans="1:6" ht="24" customHeight="1" x14ac:dyDescent="0.3">
      <c r="A30" s="499" t="s">
        <v>293</v>
      </c>
      <c r="B30" s="139">
        <v>3000</v>
      </c>
      <c r="C30" s="139">
        <v>3000</v>
      </c>
      <c r="D30" s="139">
        <v>3000</v>
      </c>
      <c r="E30" s="329">
        <f t="shared" si="0"/>
        <v>100</v>
      </c>
      <c r="F30" s="57"/>
    </row>
    <row r="31" spans="1:6" ht="24" customHeight="1" x14ac:dyDescent="0.3">
      <c r="A31" s="499" t="s">
        <v>547</v>
      </c>
      <c r="B31" s="139"/>
      <c r="C31" s="139">
        <v>200</v>
      </c>
      <c r="D31" s="139">
        <v>200</v>
      </c>
      <c r="E31" s="329">
        <f t="shared" si="0"/>
        <v>100</v>
      </c>
      <c r="F31" s="57"/>
    </row>
    <row r="32" spans="1:6" ht="39.75" customHeight="1" x14ac:dyDescent="0.3">
      <c r="A32" s="499" t="s">
        <v>429</v>
      </c>
      <c r="B32" s="139"/>
      <c r="C32" s="139">
        <v>4300</v>
      </c>
      <c r="D32" s="139">
        <v>4100</v>
      </c>
      <c r="E32" s="329">
        <f t="shared" si="0"/>
        <v>95.348837209302332</v>
      </c>
      <c r="F32" s="57"/>
    </row>
    <row r="33" spans="1:8" ht="24.75" customHeight="1" x14ac:dyDescent="0.3">
      <c r="A33" s="1018" t="s">
        <v>574</v>
      </c>
      <c r="B33" s="330"/>
      <c r="C33" s="330">
        <v>200</v>
      </c>
      <c r="D33" s="330">
        <v>200</v>
      </c>
      <c r="E33" s="329">
        <f t="shared" si="0"/>
        <v>100</v>
      </c>
      <c r="F33" s="57"/>
    </row>
    <row r="34" spans="1:8" ht="24" customHeight="1" x14ac:dyDescent="0.3">
      <c r="A34" s="499" t="s">
        <v>621</v>
      </c>
      <c r="B34" s="139"/>
      <c r="C34" s="139">
        <v>200</v>
      </c>
      <c r="D34" s="139">
        <v>200</v>
      </c>
      <c r="E34" s="329">
        <f t="shared" si="0"/>
        <v>100</v>
      </c>
      <c r="F34" s="57"/>
    </row>
    <row r="35" spans="1:8" ht="24" customHeight="1" x14ac:dyDescent="0.3">
      <c r="A35" s="499" t="s">
        <v>1198</v>
      </c>
      <c r="B35" s="139"/>
      <c r="C35" s="139">
        <v>150</v>
      </c>
      <c r="D35" s="139">
        <v>150</v>
      </c>
      <c r="E35" s="329">
        <f t="shared" si="0"/>
        <v>100</v>
      </c>
      <c r="F35" s="57"/>
    </row>
    <row r="36" spans="1:8" ht="24" customHeight="1" thickBot="1" x14ac:dyDescent="0.35">
      <c r="A36" s="1020" t="s">
        <v>622</v>
      </c>
      <c r="B36" s="137"/>
      <c r="C36" s="137">
        <v>500</v>
      </c>
      <c r="D36" s="137">
        <v>500</v>
      </c>
      <c r="E36" s="520">
        <f t="shared" si="0"/>
        <v>100</v>
      </c>
      <c r="F36" s="57"/>
    </row>
    <row r="37" spans="1:8" ht="39" customHeight="1" thickBot="1" x14ac:dyDescent="0.35">
      <c r="A37" s="1021" t="s">
        <v>133</v>
      </c>
      <c r="B37" s="159">
        <f>SUM(B12:B36)</f>
        <v>427314</v>
      </c>
      <c r="C37" s="159">
        <f>SUM(C12:C36)</f>
        <v>614445</v>
      </c>
      <c r="D37" s="159">
        <f>SUM(D12:D36)</f>
        <v>530486</v>
      </c>
      <c r="E37" s="290">
        <f t="shared" si="0"/>
        <v>86.335798973056981</v>
      </c>
      <c r="F37" s="56"/>
    </row>
    <row r="38" spans="1:8" ht="27" customHeight="1" thickBot="1" x14ac:dyDescent="0.35">
      <c r="A38" s="971" t="s">
        <v>139</v>
      </c>
      <c r="B38" s="178">
        <f>B37</f>
        <v>427314</v>
      </c>
      <c r="C38" s="178">
        <f t="shared" ref="C38:D38" si="1">C37</f>
        <v>614445</v>
      </c>
      <c r="D38" s="178">
        <f t="shared" si="1"/>
        <v>530486</v>
      </c>
      <c r="E38" s="290">
        <f t="shared" si="0"/>
        <v>86.335798973056981</v>
      </c>
      <c r="F38" s="56"/>
    </row>
    <row r="39" spans="1:8" s="2" customFormat="1" ht="27" customHeight="1" thickBot="1" x14ac:dyDescent="0.35">
      <c r="A39" s="972" t="s">
        <v>317</v>
      </c>
      <c r="B39" s="159">
        <f>B10+B38</f>
        <v>1713978</v>
      </c>
      <c r="C39" s="159">
        <f>C10+C38</f>
        <v>2203419</v>
      </c>
      <c r="D39" s="159">
        <f>D10+D38</f>
        <v>2066559</v>
      </c>
      <c r="E39" s="290">
        <f t="shared" si="0"/>
        <v>93.788743765938293</v>
      </c>
      <c r="F39" s="56"/>
      <c r="G39" s="3"/>
      <c r="H39" s="51"/>
    </row>
    <row r="40" spans="1:8" ht="27" customHeight="1" x14ac:dyDescent="0.25">
      <c r="A40" s="1022"/>
      <c r="B40" s="82"/>
      <c r="C40" s="82"/>
      <c r="D40" s="82"/>
      <c r="E40" s="82"/>
      <c r="F40" s="57"/>
    </row>
    <row r="41" spans="1:8" ht="27" customHeight="1" thickBot="1" x14ac:dyDescent="0.3">
      <c r="A41" s="968" t="s">
        <v>16</v>
      </c>
      <c r="B41" s="82"/>
      <c r="C41" s="82"/>
      <c r="D41" s="82"/>
      <c r="E41" s="82"/>
      <c r="F41" s="49"/>
    </row>
    <row r="42" spans="1:8" ht="27" customHeight="1" x14ac:dyDescent="0.3">
      <c r="A42" s="1023" t="s">
        <v>29</v>
      </c>
      <c r="B42" s="1864" t="s">
        <v>514</v>
      </c>
      <c r="C42" s="1864"/>
      <c r="D42" s="147" t="s">
        <v>305</v>
      </c>
      <c r="E42" s="259" t="s">
        <v>90</v>
      </c>
      <c r="F42" s="55"/>
    </row>
    <row r="43" spans="1:8" ht="27" customHeight="1" thickBot="1" x14ac:dyDescent="0.35">
      <c r="A43" s="1024"/>
      <c r="B43" s="260" t="s">
        <v>184</v>
      </c>
      <c r="C43" s="260" t="s">
        <v>88</v>
      </c>
      <c r="D43" s="261" t="s">
        <v>89</v>
      </c>
      <c r="E43" s="152" t="s">
        <v>91</v>
      </c>
      <c r="F43" s="55"/>
    </row>
    <row r="44" spans="1:8" ht="42.75" customHeight="1" x14ac:dyDescent="0.3">
      <c r="A44" s="1025" t="s">
        <v>1384</v>
      </c>
      <c r="B44" s="754"/>
      <c r="C44" s="754"/>
      <c r="D44" s="754"/>
      <c r="E44" s="755"/>
      <c r="F44" s="742"/>
    </row>
    <row r="45" spans="1:8" ht="42.75" customHeight="1" x14ac:dyDescent="0.3">
      <c r="A45" s="1026" t="s">
        <v>1385</v>
      </c>
      <c r="B45" s="191"/>
      <c r="C45" s="191"/>
      <c r="D45" s="191"/>
      <c r="E45" s="510"/>
      <c r="F45" s="742"/>
    </row>
    <row r="46" spans="1:8" ht="42.75" customHeight="1" thickBot="1" x14ac:dyDescent="0.35">
      <c r="A46" s="1027" t="s">
        <v>1386</v>
      </c>
      <c r="B46" s="756"/>
      <c r="C46" s="756"/>
      <c r="D46" s="756"/>
      <c r="E46" s="510"/>
      <c r="F46" s="742"/>
    </row>
    <row r="47" spans="1:8" ht="27" customHeight="1" thickBot="1" x14ac:dyDescent="0.35">
      <c r="A47" s="977" t="s">
        <v>318</v>
      </c>
      <c r="B47" s="234">
        <f>+B44+B46</f>
        <v>0</v>
      </c>
      <c r="C47" s="234">
        <v>85640</v>
      </c>
      <c r="D47" s="234">
        <v>19307</v>
      </c>
      <c r="E47" s="295">
        <f>+D47/C47*100</f>
        <v>22.544371788883698</v>
      </c>
      <c r="F47" s="57"/>
    </row>
    <row r="48" spans="1:8" ht="27" customHeight="1" thickBot="1" x14ac:dyDescent="0.35">
      <c r="A48" s="1028"/>
      <c r="B48" s="333"/>
      <c r="C48" s="333"/>
      <c r="D48" s="333"/>
      <c r="E48" s="192"/>
    </row>
    <row r="49" spans="1:6" ht="27" customHeight="1" thickBot="1" x14ac:dyDescent="0.35">
      <c r="A49" s="977" t="s">
        <v>319</v>
      </c>
      <c r="B49" s="331">
        <f>+B39+B47</f>
        <v>1713978</v>
      </c>
      <c r="C49" s="331">
        <f>+C39+C47</f>
        <v>2289059</v>
      </c>
      <c r="D49" s="331">
        <f>+D39+D47</f>
        <v>2085866</v>
      </c>
      <c r="E49" s="290">
        <f>+D49/C49*100</f>
        <v>91.123295642445214</v>
      </c>
      <c r="F49" s="23"/>
    </row>
    <row r="54" spans="1:6" ht="15" customHeight="1" x14ac:dyDescent="0.2">
      <c r="A54" s="37"/>
    </row>
  </sheetData>
  <mergeCells count="4">
    <mergeCell ref="A1:B1"/>
    <mergeCell ref="B5:C5"/>
    <mergeCell ref="B42:C42"/>
    <mergeCell ref="A2:E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49" orientation="portrait" r:id="rId1"/>
  <headerFooter alignWithMargins="0">
    <oddHeader xml:space="preserve">&amp;R&amp;"Cambria,Félkövér"&amp;12  10. melléklet a 10/2024.(V.31.) önkormányzati rendelethez &amp;"Calibri,Félkövér"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8"/>
  <dimension ref="A1:F45"/>
  <sheetViews>
    <sheetView view="pageLayout" topLeftCell="B1" zoomScaleNormal="75" zoomScaleSheetLayoutView="100" workbookViewId="0">
      <selection activeCell="J6" sqref="J6"/>
    </sheetView>
  </sheetViews>
  <sheetFormatPr defaultColWidth="9.33203125" defaultRowHeight="15" customHeight="1" x14ac:dyDescent="0.2"/>
  <cols>
    <col min="1" max="1" width="120.33203125" style="1" customWidth="1"/>
    <col min="2" max="4" width="25.83203125" style="1" customWidth="1"/>
    <col min="5" max="5" width="22.6640625" style="1" customWidth="1"/>
    <col min="6" max="6" width="10.33203125" style="1" bestFit="1" customWidth="1"/>
    <col min="7" max="16384" width="9.33203125" style="1"/>
  </cols>
  <sheetData>
    <row r="1" spans="1:5" s="60" customFormat="1" ht="15" customHeight="1" x14ac:dyDescent="0.25">
      <c r="A1" s="1957"/>
      <c r="B1" s="1957"/>
    </row>
    <row r="2" spans="1:5" s="60" customFormat="1" ht="24" customHeight="1" x14ac:dyDescent="0.25">
      <c r="A2" s="1960" t="s">
        <v>21</v>
      </c>
      <c r="B2" s="1960"/>
      <c r="C2" s="1960"/>
      <c r="D2" s="1960"/>
      <c r="E2" s="1960"/>
    </row>
    <row r="3" spans="1:5" s="60" customFormat="1" ht="15" customHeight="1" x14ac:dyDescent="0.25">
      <c r="A3" s="967"/>
      <c r="B3" s="59"/>
    </row>
    <row r="4" spans="1:5" s="60" customFormat="1" ht="22.5" customHeight="1" thickBot="1" x14ac:dyDescent="0.3">
      <c r="A4" s="968" t="s">
        <v>135</v>
      </c>
      <c r="B4" s="78"/>
      <c r="C4" s="78"/>
      <c r="D4" s="78"/>
      <c r="E4" s="107" t="s">
        <v>15</v>
      </c>
    </row>
    <row r="5" spans="1:5" s="60" customFormat="1" ht="22.5" customHeight="1" x14ac:dyDescent="0.3">
      <c r="A5" s="974" t="s">
        <v>29</v>
      </c>
      <c r="B5" s="1864" t="s">
        <v>514</v>
      </c>
      <c r="C5" s="1864"/>
      <c r="D5" s="147" t="s">
        <v>305</v>
      </c>
      <c r="E5" s="332" t="s">
        <v>90</v>
      </c>
    </row>
    <row r="6" spans="1:5" s="60" customFormat="1" ht="36" customHeight="1" thickBot="1" x14ac:dyDescent="0.35">
      <c r="A6" s="975"/>
      <c r="B6" s="260" t="s">
        <v>184</v>
      </c>
      <c r="C6" s="260" t="s">
        <v>88</v>
      </c>
      <c r="D6" s="261" t="s">
        <v>89</v>
      </c>
      <c r="E6" s="262" t="s">
        <v>91</v>
      </c>
    </row>
    <row r="7" spans="1:5" s="76" customFormat="1" ht="37.5" customHeight="1" x14ac:dyDescent="0.3">
      <c r="A7" s="1029" t="s">
        <v>1387</v>
      </c>
      <c r="B7" s="274">
        <v>436845</v>
      </c>
      <c r="C7" s="274"/>
      <c r="D7" s="274"/>
      <c r="E7" s="318"/>
    </row>
    <row r="8" spans="1:5" s="76" customFormat="1" ht="36.75" customHeight="1" x14ac:dyDescent="0.3">
      <c r="A8" s="1029" t="s">
        <v>1388</v>
      </c>
      <c r="B8" s="274">
        <v>702568</v>
      </c>
      <c r="C8" s="274"/>
      <c r="D8" s="267"/>
      <c r="E8" s="318"/>
    </row>
    <row r="9" spans="1:5" s="76" customFormat="1" ht="36" customHeight="1" thickBot="1" x14ac:dyDescent="0.35">
      <c r="A9" s="1012" t="s">
        <v>1389</v>
      </c>
      <c r="B9" s="321"/>
      <c r="C9" s="321"/>
      <c r="D9" s="321"/>
      <c r="E9" s="318"/>
    </row>
    <row r="10" spans="1:5" s="76" customFormat="1" ht="22.5" customHeight="1" thickBot="1" x14ac:dyDescent="0.35">
      <c r="A10" s="977" t="s">
        <v>136</v>
      </c>
      <c r="B10" s="335">
        <f>SUM(B7:B9)</f>
        <v>1139413</v>
      </c>
      <c r="C10" s="335">
        <v>1320950</v>
      </c>
      <c r="D10" s="335">
        <v>1128045</v>
      </c>
      <c r="E10" s="278">
        <f>+D10/C10*100</f>
        <v>85.396494946818578</v>
      </c>
    </row>
    <row r="11" spans="1:5" s="60" customFormat="1" ht="22.5" customHeight="1" x14ac:dyDescent="0.3">
      <c r="A11" s="1030" t="s">
        <v>44</v>
      </c>
      <c r="B11" s="264">
        <v>12000</v>
      </c>
      <c r="C11" s="264">
        <v>0</v>
      </c>
      <c r="D11" s="274"/>
      <c r="E11" s="318"/>
    </row>
    <row r="12" spans="1:5" s="60" customFormat="1" ht="22.5" customHeight="1" x14ac:dyDescent="0.3">
      <c r="A12" s="498" t="s">
        <v>66</v>
      </c>
      <c r="B12" s="139">
        <v>800</v>
      </c>
      <c r="C12" s="139">
        <v>0</v>
      </c>
      <c r="D12" s="191"/>
      <c r="E12" s="271"/>
    </row>
    <row r="13" spans="1:5" s="60" customFormat="1" ht="22.5" customHeight="1" x14ac:dyDescent="0.3">
      <c r="A13" s="1017" t="s">
        <v>549</v>
      </c>
      <c r="B13" s="139">
        <v>500</v>
      </c>
      <c r="C13" s="139">
        <v>260</v>
      </c>
      <c r="D13" s="191">
        <v>121</v>
      </c>
      <c r="E13" s="271">
        <f t="shared" ref="E13:E23" si="0">+D13/C13*100</f>
        <v>46.53846153846154</v>
      </c>
    </row>
    <row r="14" spans="1:5" s="60" customFormat="1" ht="22.5" customHeight="1" x14ac:dyDescent="0.3">
      <c r="A14" s="498" t="s">
        <v>146</v>
      </c>
      <c r="B14" s="139">
        <v>2485</v>
      </c>
      <c r="C14" s="139">
        <v>2725</v>
      </c>
      <c r="D14" s="191">
        <v>2725</v>
      </c>
      <c r="E14" s="271">
        <f t="shared" si="0"/>
        <v>100</v>
      </c>
    </row>
    <row r="15" spans="1:5" s="60" customFormat="1" ht="22.5" customHeight="1" x14ac:dyDescent="0.3">
      <c r="A15" s="498" t="s">
        <v>54</v>
      </c>
      <c r="B15" s="139">
        <v>2500</v>
      </c>
      <c r="C15" s="139">
        <v>2500</v>
      </c>
      <c r="D15" s="191">
        <v>2500</v>
      </c>
      <c r="E15" s="271">
        <f t="shared" si="0"/>
        <v>100</v>
      </c>
    </row>
    <row r="16" spans="1:5" s="60" customFormat="1" ht="39.75" customHeight="1" x14ac:dyDescent="0.3">
      <c r="A16" s="499" t="s">
        <v>45</v>
      </c>
      <c r="B16" s="139">
        <v>2500</v>
      </c>
      <c r="C16" s="139">
        <v>2500</v>
      </c>
      <c r="D16" s="191">
        <v>2500</v>
      </c>
      <c r="E16" s="271">
        <f t="shared" si="0"/>
        <v>100</v>
      </c>
    </row>
    <row r="17" spans="1:6" s="60" customFormat="1" ht="22.5" customHeight="1" x14ac:dyDescent="0.3">
      <c r="A17" s="498" t="s">
        <v>74</v>
      </c>
      <c r="B17" s="139">
        <v>3000</v>
      </c>
      <c r="C17" s="139">
        <v>3000</v>
      </c>
      <c r="D17" s="191">
        <v>3000</v>
      </c>
      <c r="E17" s="271">
        <f t="shared" si="0"/>
        <v>100</v>
      </c>
    </row>
    <row r="18" spans="1:6" s="60" customFormat="1" ht="22.5" customHeight="1" x14ac:dyDescent="0.3">
      <c r="A18" s="498" t="s">
        <v>538</v>
      </c>
      <c r="B18" s="139">
        <v>6000</v>
      </c>
      <c r="C18" s="139">
        <v>6000</v>
      </c>
      <c r="D18" s="191">
        <v>6000</v>
      </c>
      <c r="E18" s="271">
        <f t="shared" si="0"/>
        <v>100</v>
      </c>
    </row>
    <row r="19" spans="1:6" s="60" customFormat="1" ht="22.5" customHeight="1" x14ac:dyDescent="0.3">
      <c r="A19" s="499" t="s">
        <v>539</v>
      </c>
      <c r="B19" s="139">
        <v>30000</v>
      </c>
      <c r="C19" s="139">
        <v>5548</v>
      </c>
      <c r="D19" s="191"/>
      <c r="E19" s="271">
        <f t="shared" si="0"/>
        <v>0</v>
      </c>
    </row>
    <row r="20" spans="1:6" s="60" customFormat="1" ht="22.5" customHeight="1" x14ac:dyDescent="0.3">
      <c r="A20" s="498" t="s">
        <v>354</v>
      </c>
      <c r="B20" s="139">
        <v>41810</v>
      </c>
      <c r="C20" s="139">
        <v>41810</v>
      </c>
      <c r="D20" s="139">
        <v>41810</v>
      </c>
      <c r="E20" s="271">
        <f t="shared" si="0"/>
        <v>100</v>
      </c>
    </row>
    <row r="21" spans="1:6" s="60" customFormat="1" ht="22.5" customHeight="1" x14ac:dyDescent="0.3">
      <c r="A21" s="498" t="s">
        <v>207</v>
      </c>
      <c r="B21" s="139">
        <v>3000</v>
      </c>
      <c r="C21" s="139">
        <v>3000</v>
      </c>
      <c r="D21" s="139">
        <v>2204</v>
      </c>
      <c r="E21" s="271">
        <f t="shared" si="0"/>
        <v>73.466666666666669</v>
      </c>
    </row>
    <row r="22" spans="1:6" s="60" customFormat="1" ht="22.5" customHeight="1" thickBot="1" x14ac:dyDescent="0.35">
      <c r="A22" s="1031" t="s">
        <v>140</v>
      </c>
      <c r="B22" s="272">
        <f>SUM(B11:B21)</f>
        <v>104595</v>
      </c>
      <c r="C22" s="272">
        <f>SUM(C11:C21)</f>
        <v>67343</v>
      </c>
      <c r="D22" s="272">
        <f>SUM(D11:D21)</f>
        <v>60860</v>
      </c>
      <c r="E22" s="273">
        <f t="shared" si="0"/>
        <v>90.373164248696966</v>
      </c>
    </row>
    <row r="23" spans="1:6" s="76" customFormat="1" ht="22.5" customHeight="1" thickBot="1" x14ac:dyDescent="0.35">
      <c r="A23" s="1032" t="s">
        <v>320</v>
      </c>
      <c r="B23" s="336">
        <f>+B10+B22</f>
        <v>1244008</v>
      </c>
      <c r="C23" s="178">
        <f>+C10+C22</f>
        <v>1388293</v>
      </c>
      <c r="D23" s="336">
        <f>+D10+D22</f>
        <v>1188905</v>
      </c>
      <c r="E23" s="278">
        <f t="shared" si="0"/>
        <v>85.63790208551076</v>
      </c>
    </row>
    <row r="24" spans="1:6" s="60" customFormat="1" ht="15" customHeight="1" x14ac:dyDescent="0.25">
      <c r="A24" s="1001"/>
    </row>
    <row r="25" spans="1:6" s="60" customFormat="1" ht="23.25" customHeight="1" thickBot="1" x14ac:dyDescent="0.3">
      <c r="A25" s="973" t="s">
        <v>16</v>
      </c>
      <c r="B25" s="64"/>
      <c r="C25" s="64"/>
      <c r="D25" s="64"/>
      <c r="E25" s="83"/>
    </row>
    <row r="26" spans="1:6" s="60" customFormat="1" ht="22.5" customHeight="1" x14ac:dyDescent="0.3">
      <c r="A26" s="974" t="s">
        <v>29</v>
      </c>
      <c r="B26" s="1864" t="s">
        <v>514</v>
      </c>
      <c r="C26" s="1864"/>
      <c r="D26" s="147" t="s">
        <v>305</v>
      </c>
      <c r="E26" s="332" t="s">
        <v>90</v>
      </c>
    </row>
    <row r="27" spans="1:6" s="60" customFormat="1" ht="19.5" thickBot="1" x14ac:dyDescent="0.35">
      <c r="A27" s="975"/>
      <c r="B27" s="260" t="s">
        <v>184</v>
      </c>
      <c r="C27" s="260" t="s">
        <v>88</v>
      </c>
      <c r="D27" s="261" t="s">
        <v>89</v>
      </c>
      <c r="E27" s="262" t="s">
        <v>91</v>
      </c>
    </row>
    <row r="28" spans="1:6" s="108" customFormat="1" ht="38.25" customHeight="1" x14ac:dyDescent="0.3">
      <c r="A28" s="1011" t="s">
        <v>1387</v>
      </c>
      <c r="B28" s="264">
        <v>1778</v>
      </c>
      <c r="C28" s="263"/>
      <c r="D28" s="264"/>
      <c r="E28" s="265"/>
    </row>
    <row r="29" spans="1:6" s="108" customFormat="1" ht="32.25" customHeight="1" x14ac:dyDescent="0.3">
      <c r="A29" s="1033" t="s">
        <v>1388</v>
      </c>
      <c r="B29" s="337">
        <v>2995</v>
      </c>
      <c r="C29" s="338"/>
      <c r="D29" s="339"/>
      <c r="E29" s="340"/>
    </row>
    <row r="30" spans="1:6" s="108" customFormat="1" ht="35.25" customHeight="1" thickBot="1" x14ac:dyDescent="0.35">
      <c r="A30" s="1012" t="s">
        <v>1390</v>
      </c>
      <c r="B30" s="341"/>
      <c r="C30" s="342"/>
      <c r="D30" s="341"/>
      <c r="E30" s="343"/>
    </row>
    <row r="31" spans="1:6" s="60" customFormat="1" ht="22.5" customHeight="1" thickBot="1" x14ac:dyDescent="0.35">
      <c r="A31" s="977" t="s">
        <v>321</v>
      </c>
      <c r="B31" s="289">
        <f>SUM(B28:B30)</f>
        <v>4773</v>
      </c>
      <c r="C31" s="289">
        <v>36797</v>
      </c>
      <c r="D31" s="289">
        <v>34434</v>
      </c>
      <c r="E31" s="295">
        <f>+D31/C31*100</f>
        <v>93.578280838111809</v>
      </c>
      <c r="F31" s="82"/>
    </row>
    <row r="32" spans="1:6" s="60" customFormat="1" ht="22.5" customHeight="1" thickBot="1" x14ac:dyDescent="0.35">
      <c r="A32" s="1007"/>
      <c r="B32" s="237"/>
      <c r="C32" s="237"/>
      <c r="D32" s="344"/>
      <c r="E32" s="345"/>
    </row>
    <row r="33" spans="1:5" s="60" customFormat="1" ht="22.5" customHeight="1" thickBot="1" x14ac:dyDescent="0.35">
      <c r="A33" s="977" t="s">
        <v>322</v>
      </c>
      <c r="B33" s="289">
        <f>+B23+B31</f>
        <v>1248781</v>
      </c>
      <c r="C33" s="289">
        <f>+C23+C31</f>
        <v>1425090</v>
      </c>
      <c r="D33" s="289">
        <f>+D23+D31</f>
        <v>1223339</v>
      </c>
      <c r="E33" s="290">
        <f>+D33/C33*100</f>
        <v>85.842929218505489</v>
      </c>
    </row>
    <row r="35" spans="1:5" ht="15" customHeight="1" x14ac:dyDescent="0.2">
      <c r="D35" s="3"/>
    </row>
    <row r="36" spans="1:5" ht="15" customHeight="1" x14ac:dyDescent="0.2">
      <c r="C36" s="3"/>
      <c r="D36" s="3"/>
      <c r="E36" s="3"/>
    </row>
    <row r="37" spans="1:5" ht="15" customHeight="1" x14ac:dyDescent="0.2">
      <c r="D37" s="3"/>
    </row>
    <row r="39" spans="1:5" ht="15" customHeight="1" x14ac:dyDescent="0.2">
      <c r="D39" s="3"/>
    </row>
    <row r="45" spans="1:5" ht="15" customHeight="1" x14ac:dyDescent="0.2">
      <c r="A45" s="27"/>
    </row>
  </sheetData>
  <mergeCells count="4">
    <mergeCell ref="A1:B1"/>
    <mergeCell ref="B5:C5"/>
    <mergeCell ref="B26:C26"/>
    <mergeCell ref="A2:E2"/>
  </mergeCells>
  <phoneticPr fontId="0" type="noConversion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55" orientation="portrait" r:id="rId1"/>
  <headerFooter alignWithMargins="0">
    <oddHeader xml:space="preserve">&amp;R&amp;"Cambria,Félkövér"&amp;12  11. melléklet a 10/2024.(V.31.) önkormányzati rendelethez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9"/>
  <dimension ref="A1:F45"/>
  <sheetViews>
    <sheetView view="pageLayout" zoomScaleNormal="100" workbookViewId="0">
      <selection activeCell="A15" sqref="A15"/>
    </sheetView>
  </sheetViews>
  <sheetFormatPr defaultColWidth="9.33203125" defaultRowHeight="15" customHeight="1" x14ac:dyDescent="0.2"/>
  <cols>
    <col min="1" max="1" width="105" style="1" customWidth="1"/>
    <col min="2" max="2" width="27.83203125" style="1" customWidth="1"/>
    <col min="3" max="4" width="27.83203125" style="3" customWidth="1"/>
    <col min="5" max="5" width="24.83203125" style="1" customWidth="1"/>
    <col min="6" max="6" width="10.33203125" style="1" bestFit="1" customWidth="1"/>
    <col min="7" max="16384" width="9.33203125" style="1"/>
  </cols>
  <sheetData>
    <row r="1" spans="1:5" s="60" customFormat="1" ht="15" customHeight="1" x14ac:dyDescent="0.25">
      <c r="A1" s="1957"/>
      <c r="B1" s="1957"/>
      <c r="C1" s="82"/>
      <c r="D1" s="82"/>
    </row>
    <row r="2" spans="1:5" s="60" customFormat="1" ht="30.75" customHeight="1" x14ac:dyDescent="0.25">
      <c r="A2" s="1884" t="s">
        <v>351</v>
      </c>
      <c r="B2" s="1884"/>
      <c r="C2" s="1884"/>
      <c r="D2" s="1884"/>
      <c r="E2" s="1884"/>
    </row>
    <row r="3" spans="1:5" s="60" customFormat="1" ht="15" customHeight="1" x14ac:dyDescent="0.25">
      <c r="A3" s="1001"/>
      <c r="C3" s="82"/>
      <c r="D3" s="82"/>
    </row>
    <row r="4" spans="1:5" s="60" customFormat="1" ht="24" customHeight="1" thickBot="1" x14ac:dyDescent="0.3">
      <c r="A4" s="968" t="s">
        <v>135</v>
      </c>
      <c r="B4" s="78"/>
      <c r="C4" s="96"/>
      <c r="D4" s="96"/>
      <c r="E4" s="83" t="s">
        <v>15</v>
      </c>
    </row>
    <row r="5" spans="1:5" s="60" customFormat="1" ht="24.75" customHeight="1" x14ac:dyDescent="0.3">
      <c r="A5" s="974" t="s">
        <v>52</v>
      </c>
      <c r="B5" s="1864" t="s">
        <v>514</v>
      </c>
      <c r="C5" s="1864"/>
      <c r="D5" s="147" t="s">
        <v>305</v>
      </c>
      <c r="E5" s="332" t="s">
        <v>90</v>
      </c>
    </row>
    <row r="6" spans="1:5" s="60" customFormat="1" ht="24.75" customHeight="1" thickBot="1" x14ac:dyDescent="0.35">
      <c r="A6" s="1034"/>
      <c r="B6" s="260" t="s">
        <v>184</v>
      </c>
      <c r="C6" s="260" t="s">
        <v>88</v>
      </c>
      <c r="D6" s="261" t="s">
        <v>89</v>
      </c>
      <c r="E6" s="262" t="s">
        <v>91</v>
      </c>
    </row>
    <row r="7" spans="1:5" s="60" customFormat="1" ht="30" customHeight="1" x14ac:dyDescent="0.3">
      <c r="A7" s="1030" t="s">
        <v>1391</v>
      </c>
      <c r="B7" s="264">
        <v>1372196</v>
      </c>
      <c r="C7" s="264"/>
      <c r="D7" s="267"/>
      <c r="E7" s="318"/>
    </row>
    <row r="8" spans="1:5" s="60" customFormat="1" ht="24.75" customHeight="1" thickBot="1" x14ac:dyDescent="0.35">
      <c r="A8" s="1035" t="s">
        <v>1392</v>
      </c>
      <c r="B8" s="267">
        <v>71465</v>
      </c>
      <c r="C8" s="267"/>
      <c r="D8" s="267"/>
      <c r="E8" s="318"/>
    </row>
    <row r="9" spans="1:5" s="60" customFormat="1" ht="24.75" customHeight="1" thickBot="1" x14ac:dyDescent="0.35">
      <c r="A9" s="977" t="s">
        <v>141</v>
      </c>
      <c r="B9" s="335">
        <f>SUM(B7:B8)</f>
        <v>1443661</v>
      </c>
      <c r="C9" s="335">
        <v>1556981</v>
      </c>
      <c r="D9" s="335">
        <v>1537407</v>
      </c>
      <c r="E9" s="278">
        <f>+D9/C9*100</f>
        <v>98.74282345128168</v>
      </c>
    </row>
    <row r="10" spans="1:5" s="60" customFormat="1" ht="24.75" customHeight="1" x14ac:dyDescent="0.3">
      <c r="A10" s="498" t="s">
        <v>48</v>
      </c>
      <c r="B10" s="168">
        <v>241</v>
      </c>
      <c r="C10" s="168">
        <v>241</v>
      </c>
      <c r="D10" s="168">
        <v>226</v>
      </c>
      <c r="E10" s="154">
        <f t="shared" ref="E10:E13" si="0">+D10/C10*100</f>
        <v>93.7759336099585</v>
      </c>
    </row>
    <row r="11" spans="1:5" s="60" customFormat="1" ht="48" customHeight="1" thickBot="1" x14ac:dyDescent="0.35">
      <c r="A11" s="1020" t="s">
        <v>115</v>
      </c>
      <c r="B11" s="276">
        <v>3000</v>
      </c>
      <c r="C11" s="276">
        <v>3000</v>
      </c>
      <c r="D11" s="276">
        <v>3000</v>
      </c>
      <c r="E11" s="271">
        <f t="shared" si="0"/>
        <v>100</v>
      </c>
    </row>
    <row r="12" spans="1:5" s="60" customFormat="1" ht="24.75" customHeight="1" thickBot="1" x14ac:dyDescent="0.35">
      <c r="A12" s="977" t="s">
        <v>137</v>
      </c>
      <c r="B12" s="335">
        <f>SUM(B10:B11)</f>
        <v>3241</v>
      </c>
      <c r="C12" s="159">
        <f>SUM(C10:C11)</f>
        <v>3241</v>
      </c>
      <c r="D12" s="335">
        <f>SUM(D10:D11)</f>
        <v>3226</v>
      </c>
      <c r="E12" s="278">
        <f t="shared" si="0"/>
        <v>99.537179882752241</v>
      </c>
    </row>
    <row r="13" spans="1:5" s="60" customFormat="1" ht="24" customHeight="1" thickBot="1" x14ac:dyDescent="0.35">
      <c r="A13" s="971" t="s">
        <v>323</v>
      </c>
      <c r="B13" s="336">
        <f>+B9+B12</f>
        <v>1446902</v>
      </c>
      <c r="C13" s="178">
        <f>+C9+C12</f>
        <v>1560222</v>
      </c>
      <c r="D13" s="336">
        <f>+D9+D12</f>
        <v>1540633</v>
      </c>
      <c r="E13" s="278">
        <f t="shared" si="0"/>
        <v>98.74447354286761</v>
      </c>
    </row>
    <row r="14" spans="1:5" s="60" customFormat="1" ht="20.100000000000001" customHeight="1" x14ac:dyDescent="0.25">
      <c r="A14" s="976"/>
      <c r="B14" s="75"/>
      <c r="C14" s="75"/>
      <c r="D14" s="75"/>
      <c r="E14" s="109"/>
    </row>
    <row r="15" spans="1:5" s="60" customFormat="1" ht="24.75" customHeight="1" thickBot="1" x14ac:dyDescent="0.3">
      <c r="A15" s="968" t="s">
        <v>16</v>
      </c>
      <c r="B15" s="75"/>
      <c r="C15" s="75"/>
      <c r="D15" s="75"/>
      <c r="E15" s="109"/>
    </row>
    <row r="16" spans="1:5" s="60" customFormat="1" ht="24.75" customHeight="1" x14ac:dyDescent="0.3">
      <c r="A16" s="974" t="s">
        <v>29</v>
      </c>
      <c r="B16" s="1864" t="s">
        <v>514</v>
      </c>
      <c r="C16" s="1864"/>
      <c r="D16" s="147" t="s">
        <v>305</v>
      </c>
      <c r="E16" s="332" t="s">
        <v>90</v>
      </c>
    </row>
    <row r="17" spans="1:6" s="60" customFormat="1" ht="24.75" customHeight="1" thickBot="1" x14ac:dyDescent="0.35">
      <c r="A17" s="975"/>
      <c r="B17" s="260" t="s">
        <v>184</v>
      </c>
      <c r="C17" s="260" t="s">
        <v>88</v>
      </c>
      <c r="D17" s="261" t="s">
        <v>89</v>
      </c>
      <c r="E17" s="262" t="s">
        <v>91</v>
      </c>
    </row>
    <row r="18" spans="1:6" s="60" customFormat="1" ht="31.9" customHeight="1" x14ac:dyDescent="0.3">
      <c r="A18" s="1011" t="s">
        <v>1391</v>
      </c>
      <c r="B18" s="263"/>
      <c r="C18" s="264"/>
      <c r="D18" s="347"/>
      <c r="E18" s="348"/>
    </row>
    <row r="19" spans="1:6" s="60" customFormat="1" ht="24.75" customHeight="1" x14ac:dyDescent="0.3">
      <c r="A19" s="1012" t="s">
        <v>1392</v>
      </c>
      <c r="B19" s="266"/>
      <c r="C19" s="267"/>
      <c r="D19" s="349"/>
      <c r="E19" s="319"/>
    </row>
    <row r="20" spans="1:6" s="60" customFormat="1" ht="24.75" customHeight="1" thickBot="1" x14ac:dyDescent="0.35">
      <c r="A20" s="1029" t="s">
        <v>1393</v>
      </c>
      <c r="B20" s="325"/>
      <c r="C20" s="321"/>
      <c r="D20" s="350"/>
      <c r="E20" s="318"/>
    </row>
    <row r="21" spans="1:6" s="60" customFormat="1" ht="24.75" customHeight="1" thickBot="1" x14ac:dyDescent="0.35">
      <c r="A21" s="977" t="s">
        <v>324</v>
      </c>
      <c r="B21" s="335">
        <f>SUM(B18:B20)</f>
        <v>0</v>
      </c>
      <c r="C21" s="335">
        <v>54090</v>
      </c>
      <c r="D21" s="335">
        <v>21846</v>
      </c>
      <c r="E21" s="290">
        <f>+D21/C21*100</f>
        <v>40.388241819190242</v>
      </c>
      <c r="F21" s="82"/>
    </row>
    <row r="22" spans="1:6" s="60" customFormat="1" ht="24.75" customHeight="1" thickBot="1" x14ac:dyDescent="0.35">
      <c r="A22" s="1007"/>
      <c r="B22" s="237"/>
      <c r="C22" s="237"/>
      <c r="D22" s="344"/>
      <c r="E22" s="170"/>
    </row>
    <row r="23" spans="1:6" s="60" customFormat="1" ht="24.75" customHeight="1" thickBot="1" x14ac:dyDescent="0.35">
      <c r="A23" s="977" t="s">
        <v>325</v>
      </c>
      <c r="B23" s="234">
        <f>B13+B21</f>
        <v>1446902</v>
      </c>
      <c r="C23" s="289">
        <f>C13+C21</f>
        <v>1614312</v>
      </c>
      <c r="D23" s="289">
        <f>D13+D21</f>
        <v>1562479</v>
      </c>
      <c r="E23" s="290">
        <f>+D23/C23*100</f>
        <v>96.789158477419477</v>
      </c>
    </row>
    <row r="26" spans="1:6" ht="15" customHeight="1" x14ac:dyDescent="0.2">
      <c r="A26" s="7"/>
    </row>
    <row r="45" spans="1:1" ht="15" customHeight="1" x14ac:dyDescent="0.2">
      <c r="A45" s="30"/>
    </row>
  </sheetData>
  <mergeCells count="4">
    <mergeCell ref="A1:B1"/>
    <mergeCell ref="B5:C5"/>
    <mergeCell ref="B16:C16"/>
    <mergeCell ref="A2:E2"/>
  </mergeCells>
  <phoneticPr fontId="0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5" orientation="portrait" r:id="rId1"/>
  <headerFooter alignWithMargins="0">
    <oddHeader xml:space="preserve">&amp;R&amp;"Calibri,Félkövér"&amp;12 12. melléklet a 10/2024.(V.31.) önkormányzati rendelethez 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20"/>
  <dimension ref="A1:K115"/>
  <sheetViews>
    <sheetView view="pageLayout" topLeftCell="A51" zoomScaleNormal="93" zoomScaleSheetLayoutView="100" workbookViewId="0">
      <selection activeCell="A58" sqref="A58"/>
    </sheetView>
  </sheetViews>
  <sheetFormatPr defaultColWidth="9.33203125" defaultRowHeight="15" customHeight="1" x14ac:dyDescent="0.2"/>
  <cols>
    <col min="1" max="1" width="127.1640625" style="1" customWidth="1"/>
    <col min="2" max="2" width="27.83203125" style="1" customWidth="1"/>
    <col min="3" max="4" width="27.83203125" style="3" customWidth="1"/>
    <col min="5" max="5" width="23.83203125" style="1" customWidth="1"/>
    <col min="6" max="6" width="32.1640625" style="1" bestFit="1" customWidth="1"/>
    <col min="7" max="7" width="9.33203125" style="1"/>
    <col min="8" max="8" width="17.33203125" style="1" customWidth="1"/>
    <col min="9" max="9" width="21.83203125" style="1" customWidth="1"/>
    <col min="10" max="10" width="11" style="1" bestFit="1" customWidth="1"/>
    <col min="11" max="11" width="19.6640625" style="1" customWidth="1"/>
    <col min="12" max="16384" width="9.33203125" style="1"/>
  </cols>
  <sheetData>
    <row r="1" spans="1:5" ht="8.25" customHeight="1" x14ac:dyDescent="0.25">
      <c r="A1" s="1961"/>
      <c r="B1" s="1961"/>
    </row>
    <row r="2" spans="1:5" s="60" customFormat="1" ht="33" customHeight="1" x14ac:dyDescent="0.25">
      <c r="A2" s="1884" t="s">
        <v>195</v>
      </c>
      <c r="B2" s="1884"/>
      <c r="C2" s="1884"/>
      <c r="D2" s="1884"/>
      <c r="E2" s="1884"/>
    </row>
    <row r="3" spans="1:5" s="60" customFormat="1" ht="29.25" customHeight="1" thickBot="1" x14ac:dyDescent="0.3">
      <c r="A3" s="1001"/>
      <c r="B3" s="83"/>
      <c r="C3" s="64"/>
      <c r="D3" s="64"/>
      <c r="E3" s="107" t="s">
        <v>15</v>
      </c>
    </row>
    <row r="4" spans="1:5" s="60" customFormat="1" ht="23.25" customHeight="1" x14ac:dyDescent="0.3">
      <c r="A4" s="974" t="s">
        <v>29</v>
      </c>
      <c r="B4" s="1864" t="s">
        <v>514</v>
      </c>
      <c r="C4" s="1864"/>
      <c r="D4" s="147" t="s">
        <v>305</v>
      </c>
      <c r="E4" s="332" t="s">
        <v>90</v>
      </c>
    </row>
    <row r="5" spans="1:5" s="60" customFormat="1" ht="23.25" customHeight="1" thickBot="1" x14ac:dyDescent="0.35">
      <c r="A5" s="1037"/>
      <c r="B5" s="260" t="s">
        <v>184</v>
      </c>
      <c r="C5" s="260" t="s">
        <v>88</v>
      </c>
      <c r="D5" s="261" t="s">
        <v>89</v>
      </c>
      <c r="E5" s="262" t="s">
        <v>91</v>
      </c>
    </row>
    <row r="6" spans="1:5" s="60" customFormat="1" ht="23.25" customHeight="1" x14ac:dyDescent="0.3">
      <c r="A6" s="1038" t="s">
        <v>452</v>
      </c>
      <c r="B6" s="351">
        <v>23503</v>
      </c>
      <c r="C6" s="351"/>
      <c r="D6" s="351"/>
      <c r="E6" s="355"/>
    </row>
    <row r="7" spans="1:5" s="60" customFormat="1" ht="23.25" customHeight="1" thickBot="1" x14ac:dyDescent="0.35">
      <c r="A7" s="1039" t="s">
        <v>453</v>
      </c>
      <c r="B7" s="137">
        <v>233971</v>
      </c>
      <c r="C7" s="137"/>
      <c r="D7" s="276"/>
      <c r="E7" s="502"/>
    </row>
    <row r="8" spans="1:5" s="60" customFormat="1" ht="23.25" customHeight="1" thickBot="1" x14ac:dyDescent="0.35">
      <c r="A8" s="1040" t="s">
        <v>454</v>
      </c>
      <c r="B8" s="353">
        <f>SUM(B6:B7)</f>
        <v>257474</v>
      </c>
      <c r="C8" s="353">
        <v>265138</v>
      </c>
      <c r="D8" s="353">
        <v>235713</v>
      </c>
      <c r="E8" s="354">
        <f t="shared" ref="E8:E63" si="0">+D8/C8*100</f>
        <v>88.902005747950113</v>
      </c>
    </row>
    <row r="9" spans="1:5" s="60" customFormat="1" ht="23.25" customHeight="1" x14ac:dyDescent="0.3">
      <c r="A9" s="1041" t="s">
        <v>41</v>
      </c>
      <c r="B9" s="166">
        <v>2498128</v>
      </c>
      <c r="C9" s="166">
        <v>2749336</v>
      </c>
      <c r="D9" s="275">
        <v>2473319</v>
      </c>
      <c r="E9" s="271">
        <f t="shared" si="0"/>
        <v>89.960594121635182</v>
      </c>
    </row>
    <row r="10" spans="1:5" s="60" customFormat="1" ht="23.25" customHeight="1" thickBot="1" x14ac:dyDescent="0.35">
      <c r="A10" s="1031" t="s">
        <v>347</v>
      </c>
      <c r="B10" s="144">
        <f>+B8+B9</f>
        <v>2755602</v>
      </c>
      <c r="C10" s="144">
        <f t="shared" ref="C10:D10" si="1">+C8+C9</f>
        <v>3014474</v>
      </c>
      <c r="D10" s="144">
        <f t="shared" si="1"/>
        <v>2709032</v>
      </c>
      <c r="E10" s="273">
        <f t="shared" si="0"/>
        <v>89.867486002533113</v>
      </c>
    </row>
    <row r="11" spans="1:5" s="60" customFormat="1" ht="23.25" customHeight="1" x14ac:dyDescent="0.3">
      <c r="A11" s="1042" t="s">
        <v>190</v>
      </c>
      <c r="B11" s="161"/>
      <c r="C11" s="322"/>
      <c r="D11" s="322"/>
      <c r="E11" s="355"/>
    </row>
    <row r="12" spans="1:5" s="60" customFormat="1" ht="23.25" customHeight="1" x14ac:dyDescent="0.3">
      <c r="A12" s="1043" t="s">
        <v>8</v>
      </c>
      <c r="B12" s="274">
        <v>250000</v>
      </c>
      <c r="C12" s="274">
        <v>266456</v>
      </c>
      <c r="D12" s="321">
        <v>580038</v>
      </c>
      <c r="E12" s="318">
        <f t="shared" si="0"/>
        <v>217.68622211547122</v>
      </c>
    </row>
    <row r="13" spans="1:5" s="60" customFormat="1" ht="23.25" customHeight="1" x14ac:dyDescent="0.3">
      <c r="A13" s="1036" t="s">
        <v>191</v>
      </c>
      <c r="B13" s="267">
        <v>700000</v>
      </c>
      <c r="C13" s="267">
        <v>700000</v>
      </c>
      <c r="D13" s="267">
        <v>1004268</v>
      </c>
      <c r="E13" s="319">
        <f t="shared" si="0"/>
        <v>143.46685714285715</v>
      </c>
    </row>
    <row r="14" spans="1:5" s="60" customFormat="1" ht="23.25" customHeight="1" x14ac:dyDescent="0.3">
      <c r="A14" s="1036" t="s">
        <v>329</v>
      </c>
      <c r="B14" s="267">
        <v>160000</v>
      </c>
      <c r="C14" s="267">
        <v>188472</v>
      </c>
      <c r="D14" s="266"/>
      <c r="E14" s="319">
        <f t="shared" si="0"/>
        <v>0</v>
      </c>
    </row>
    <row r="15" spans="1:5" s="60" customFormat="1" ht="23.25" customHeight="1" x14ac:dyDescent="0.3">
      <c r="A15" s="1036" t="s">
        <v>157</v>
      </c>
      <c r="B15" s="267"/>
      <c r="C15" s="267">
        <v>2043</v>
      </c>
      <c r="D15" s="267">
        <v>2043</v>
      </c>
      <c r="E15" s="319">
        <f t="shared" si="0"/>
        <v>100</v>
      </c>
    </row>
    <row r="16" spans="1:5" s="60" customFormat="1" ht="23.25" customHeight="1" x14ac:dyDescent="0.3">
      <c r="A16" s="1036" t="s">
        <v>309</v>
      </c>
      <c r="B16" s="267"/>
      <c r="C16" s="267">
        <v>117571</v>
      </c>
      <c r="D16" s="267">
        <v>117571</v>
      </c>
      <c r="E16" s="319">
        <f t="shared" si="0"/>
        <v>100</v>
      </c>
    </row>
    <row r="17" spans="1:5" s="60" customFormat="1" ht="23.25" customHeight="1" x14ac:dyDescent="0.3">
      <c r="A17" s="1036" t="s">
        <v>6</v>
      </c>
      <c r="B17" s="267">
        <v>421978</v>
      </c>
      <c r="C17" s="267">
        <v>421978</v>
      </c>
      <c r="D17" s="267">
        <v>421978</v>
      </c>
      <c r="E17" s="327">
        <f t="shared" si="0"/>
        <v>100</v>
      </c>
    </row>
    <row r="18" spans="1:5" s="60" customFormat="1" ht="23.25" customHeight="1" x14ac:dyDescent="0.3">
      <c r="A18" s="1044" t="s">
        <v>80</v>
      </c>
      <c r="B18" s="356">
        <f>SUM(B12:B17)</f>
        <v>1531978</v>
      </c>
      <c r="C18" s="357">
        <f>SUM(C12:C17)</f>
        <v>1696520</v>
      </c>
      <c r="D18" s="357">
        <f>SUM(D12:D17)</f>
        <v>2125898</v>
      </c>
      <c r="E18" s="358">
        <f t="shared" si="0"/>
        <v>125.30933911772333</v>
      </c>
    </row>
    <row r="19" spans="1:5" s="60" customFormat="1" ht="23.25" customHeight="1" x14ac:dyDescent="0.3">
      <c r="A19" s="1045" t="s">
        <v>26</v>
      </c>
      <c r="B19" s="137"/>
      <c r="C19" s="137"/>
      <c r="D19" s="137"/>
      <c r="E19" s="359"/>
    </row>
    <row r="20" spans="1:5" s="60" customFormat="1" ht="23.25" customHeight="1" x14ac:dyDescent="0.3">
      <c r="A20" s="1036" t="s">
        <v>626</v>
      </c>
      <c r="B20" s="267">
        <v>192000</v>
      </c>
      <c r="C20" s="267">
        <v>192000</v>
      </c>
      <c r="D20" s="360">
        <v>169291</v>
      </c>
      <c r="E20" s="361">
        <f t="shared" si="0"/>
        <v>88.172395833333326</v>
      </c>
    </row>
    <row r="21" spans="1:5" s="60" customFormat="1" ht="23.25" customHeight="1" x14ac:dyDescent="0.3">
      <c r="A21" s="1046" t="s">
        <v>355</v>
      </c>
      <c r="B21" s="321">
        <v>50000</v>
      </c>
      <c r="C21" s="321">
        <v>48990</v>
      </c>
      <c r="D21" s="321">
        <f>46745+3</f>
        <v>46748</v>
      </c>
      <c r="E21" s="318">
        <f t="shared" si="0"/>
        <v>95.423555827719937</v>
      </c>
    </row>
    <row r="22" spans="1:5" s="60" customFormat="1" ht="23.25" customHeight="1" x14ac:dyDescent="0.3">
      <c r="A22" s="1047" t="s">
        <v>232</v>
      </c>
      <c r="B22" s="139">
        <v>17500</v>
      </c>
      <c r="C22" s="139">
        <v>20511</v>
      </c>
      <c r="D22" s="363">
        <v>9996</v>
      </c>
      <c r="E22" s="364">
        <f t="shared" si="0"/>
        <v>48.734825215737899</v>
      </c>
    </row>
    <row r="23" spans="1:5" s="60" customFormat="1" ht="23.25" customHeight="1" x14ac:dyDescent="0.3">
      <c r="A23" s="1046" t="s">
        <v>9</v>
      </c>
      <c r="B23" s="321">
        <v>15000</v>
      </c>
      <c r="C23" s="321">
        <v>15000</v>
      </c>
      <c r="D23" s="362">
        <v>14387</v>
      </c>
      <c r="E23" s="361">
        <f t="shared" si="0"/>
        <v>95.913333333333327</v>
      </c>
    </row>
    <row r="24" spans="1:5" s="60" customFormat="1" ht="23.25" customHeight="1" x14ac:dyDescent="0.3">
      <c r="A24" s="498" t="s">
        <v>120</v>
      </c>
      <c r="B24" s="139">
        <v>4000</v>
      </c>
      <c r="C24" s="139">
        <v>3359</v>
      </c>
      <c r="D24" s="363">
        <v>3359</v>
      </c>
      <c r="E24" s="365">
        <f t="shared" si="0"/>
        <v>100</v>
      </c>
    </row>
    <row r="25" spans="1:5" s="60" customFormat="1" ht="23.25" customHeight="1" x14ac:dyDescent="0.3">
      <c r="A25" s="498" t="s">
        <v>86</v>
      </c>
      <c r="B25" s="139">
        <v>1000</v>
      </c>
      <c r="C25" s="139">
        <v>1013</v>
      </c>
      <c r="D25" s="363">
        <v>990</v>
      </c>
      <c r="E25" s="365">
        <f t="shared" si="0"/>
        <v>97.729516288252711</v>
      </c>
    </row>
    <row r="26" spans="1:5" s="60" customFormat="1" ht="23.25" customHeight="1" x14ac:dyDescent="0.3">
      <c r="A26" s="1030" t="s">
        <v>223</v>
      </c>
      <c r="B26" s="274">
        <v>13040</v>
      </c>
      <c r="C26" s="274">
        <v>13340</v>
      </c>
      <c r="D26" s="274">
        <v>13322</v>
      </c>
      <c r="E26" s="318">
        <f t="shared" si="0"/>
        <v>99.865067466266865</v>
      </c>
    </row>
    <row r="27" spans="1:5" s="60" customFormat="1" ht="23.25" customHeight="1" x14ac:dyDescent="0.3">
      <c r="A27" s="1048" t="s">
        <v>627</v>
      </c>
      <c r="B27" s="166">
        <v>1200</v>
      </c>
      <c r="C27" s="166">
        <v>1200</v>
      </c>
      <c r="D27" s="463">
        <v>1200</v>
      </c>
      <c r="E27" s="271">
        <f t="shared" si="0"/>
        <v>100</v>
      </c>
    </row>
    <row r="28" spans="1:5" s="60" customFormat="1" ht="23.25" customHeight="1" x14ac:dyDescent="0.3">
      <c r="A28" s="1048" t="s">
        <v>480</v>
      </c>
      <c r="B28" s="166">
        <v>1500</v>
      </c>
      <c r="C28" s="166">
        <v>1500</v>
      </c>
      <c r="D28" s="463">
        <v>1500</v>
      </c>
      <c r="E28" s="271">
        <f t="shared" si="0"/>
        <v>100</v>
      </c>
    </row>
    <row r="29" spans="1:5" s="60" customFormat="1" ht="23.25" customHeight="1" x14ac:dyDescent="0.3">
      <c r="A29" s="1041" t="s">
        <v>193</v>
      </c>
      <c r="B29" s="166">
        <v>3154</v>
      </c>
      <c r="C29" s="166">
        <v>3154</v>
      </c>
      <c r="D29" s="366">
        <v>3046</v>
      </c>
      <c r="E29" s="365">
        <f t="shared" si="0"/>
        <v>96.575776791376029</v>
      </c>
    </row>
    <row r="30" spans="1:5" s="60" customFormat="1" ht="23.25" customHeight="1" x14ac:dyDescent="0.3">
      <c r="A30" s="498" t="s">
        <v>192</v>
      </c>
      <c r="B30" s="139">
        <v>4200</v>
      </c>
      <c r="C30" s="139">
        <v>4200</v>
      </c>
      <c r="D30" s="363">
        <v>3803</v>
      </c>
      <c r="E30" s="365">
        <f t="shared" si="0"/>
        <v>90.547619047619037</v>
      </c>
    </row>
    <row r="31" spans="1:5" s="60" customFormat="1" ht="23.25" customHeight="1" x14ac:dyDescent="0.3">
      <c r="A31" s="498" t="s">
        <v>189</v>
      </c>
      <c r="B31" s="139">
        <v>10000</v>
      </c>
      <c r="C31" s="139">
        <v>25727</v>
      </c>
      <c r="D31" s="363">
        <v>15130</v>
      </c>
      <c r="E31" s="365">
        <f t="shared" si="0"/>
        <v>58.809810704707118</v>
      </c>
    </row>
    <row r="32" spans="1:5" s="60" customFormat="1" ht="23.25" customHeight="1" x14ac:dyDescent="0.3">
      <c r="A32" s="498" t="s">
        <v>455</v>
      </c>
      <c r="B32" s="139">
        <v>2000</v>
      </c>
      <c r="C32" s="139">
        <v>1732</v>
      </c>
      <c r="D32" s="367">
        <v>600</v>
      </c>
      <c r="E32" s="365">
        <f t="shared" si="0"/>
        <v>34.64203233256351</v>
      </c>
    </row>
    <row r="33" spans="1:5" s="60" customFormat="1" ht="23.25" customHeight="1" x14ac:dyDescent="0.3">
      <c r="A33" s="498" t="s">
        <v>456</v>
      </c>
      <c r="B33" s="139">
        <v>2000</v>
      </c>
      <c r="C33" s="139">
        <v>2000</v>
      </c>
      <c r="D33" s="367"/>
      <c r="E33" s="365">
        <f t="shared" si="0"/>
        <v>0</v>
      </c>
    </row>
    <row r="34" spans="1:5" s="60" customFormat="1" ht="23.25" customHeight="1" x14ac:dyDescent="0.3">
      <c r="A34" s="498" t="s">
        <v>628</v>
      </c>
      <c r="B34" s="139">
        <v>1340000</v>
      </c>
      <c r="C34" s="139">
        <v>1425000</v>
      </c>
      <c r="D34" s="367">
        <v>1413350</v>
      </c>
      <c r="E34" s="365">
        <f t="shared" si="0"/>
        <v>99.182456140350865</v>
      </c>
    </row>
    <row r="35" spans="1:5" s="60" customFormat="1" ht="34.5" customHeight="1" x14ac:dyDescent="0.3">
      <c r="A35" s="1017" t="s">
        <v>630</v>
      </c>
      <c r="B35" s="139">
        <v>1490</v>
      </c>
      <c r="C35" s="139">
        <v>1490</v>
      </c>
      <c r="D35" s="368">
        <v>1484</v>
      </c>
      <c r="E35" s="365">
        <f t="shared" si="0"/>
        <v>99.597315436241601</v>
      </c>
    </row>
    <row r="36" spans="1:5" s="60" customFormat="1" ht="33" customHeight="1" x14ac:dyDescent="0.3">
      <c r="A36" s="1017" t="s">
        <v>307</v>
      </c>
      <c r="B36" s="139">
        <v>225196</v>
      </c>
      <c r="C36" s="139">
        <v>226330</v>
      </c>
      <c r="D36" s="368">
        <f>21464+58096+100927+38884</f>
        <v>219371</v>
      </c>
      <c r="E36" s="365">
        <f t="shared" si="0"/>
        <v>96.925286086687578</v>
      </c>
    </row>
    <row r="37" spans="1:5" s="60" customFormat="1" ht="23.25" customHeight="1" x14ac:dyDescent="0.3">
      <c r="A37" s="1049" t="s">
        <v>270</v>
      </c>
      <c r="B37" s="330">
        <v>2943193</v>
      </c>
      <c r="C37" s="330">
        <v>2943193</v>
      </c>
      <c r="D37" s="168">
        <v>2943193</v>
      </c>
      <c r="E37" s="365">
        <f t="shared" si="0"/>
        <v>100</v>
      </c>
    </row>
    <row r="38" spans="1:5" s="60" customFormat="1" ht="23.25" customHeight="1" x14ac:dyDescent="0.3">
      <c r="A38" s="1049" t="s">
        <v>629</v>
      </c>
      <c r="B38" s="330"/>
      <c r="C38" s="330">
        <v>4700</v>
      </c>
      <c r="D38" s="370">
        <v>4700</v>
      </c>
      <c r="E38" s="365">
        <f t="shared" si="0"/>
        <v>100</v>
      </c>
    </row>
    <row r="39" spans="1:5" s="60" customFormat="1" ht="31.15" customHeight="1" x14ac:dyDescent="0.3">
      <c r="A39" s="1049" t="s">
        <v>577</v>
      </c>
      <c r="B39" s="330"/>
      <c r="C39" s="330">
        <v>1905</v>
      </c>
      <c r="D39" s="367">
        <v>1905</v>
      </c>
      <c r="E39" s="365">
        <f t="shared" si="0"/>
        <v>100</v>
      </c>
    </row>
    <row r="40" spans="1:5" s="60" customFormat="1" ht="23.25" customHeight="1" x14ac:dyDescent="0.3">
      <c r="A40" s="1050" t="s">
        <v>383</v>
      </c>
      <c r="B40" s="330"/>
      <c r="C40" s="330"/>
      <c r="D40" s="367"/>
      <c r="E40" s="365"/>
    </row>
    <row r="41" spans="1:5" s="60" customFormat="1" ht="23.25" customHeight="1" x14ac:dyDescent="0.3">
      <c r="A41" s="498" t="s">
        <v>384</v>
      </c>
      <c r="B41" s="139">
        <v>99000</v>
      </c>
      <c r="C41" s="139">
        <v>129000</v>
      </c>
      <c r="D41" s="139">
        <v>126000</v>
      </c>
      <c r="E41" s="365">
        <f t="shared" si="0"/>
        <v>97.674418604651152</v>
      </c>
    </row>
    <row r="42" spans="1:5" s="60" customFormat="1" ht="36" customHeight="1" x14ac:dyDescent="0.3">
      <c r="A42" s="1017" t="s">
        <v>493</v>
      </c>
      <c r="B42" s="139">
        <v>70000</v>
      </c>
      <c r="C42" s="139">
        <v>92182</v>
      </c>
      <c r="D42" s="363">
        <v>87974</v>
      </c>
      <c r="E42" s="365">
        <f t="shared" si="0"/>
        <v>95.435117484975379</v>
      </c>
    </row>
    <row r="43" spans="1:5" s="60" customFormat="1" ht="23.25" customHeight="1" x14ac:dyDescent="0.3">
      <c r="A43" s="1050" t="s">
        <v>356</v>
      </c>
      <c r="B43" s="330"/>
      <c r="C43" s="330"/>
      <c r="D43" s="367"/>
      <c r="E43" s="365"/>
    </row>
    <row r="44" spans="1:5" s="60" customFormat="1" ht="23.25" customHeight="1" x14ac:dyDescent="0.3">
      <c r="A44" s="498" t="s">
        <v>481</v>
      </c>
      <c r="B44" s="139"/>
      <c r="C44" s="139">
        <v>1200</v>
      </c>
      <c r="D44" s="363">
        <v>350</v>
      </c>
      <c r="E44" s="365">
        <f t="shared" si="0"/>
        <v>29.166666666666668</v>
      </c>
    </row>
    <row r="45" spans="1:5" s="60" customFormat="1" ht="23.25" customHeight="1" x14ac:dyDescent="0.3">
      <c r="A45" s="498" t="s">
        <v>180</v>
      </c>
      <c r="B45" s="139">
        <v>6000</v>
      </c>
      <c r="C45" s="139">
        <v>8000</v>
      </c>
      <c r="D45" s="363">
        <v>8000</v>
      </c>
      <c r="E45" s="365">
        <f t="shared" si="0"/>
        <v>100</v>
      </c>
    </row>
    <row r="46" spans="1:5" s="60" customFormat="1" ht="23.25" customHeight="1" x14ac:dyDescent="0.3">
      <c r="A46" s="1017" t="s">
        <v>224</v>
      </c>
      <c r="B46" s="139">
        <v>2000</v>
      </c>
      <c r="C46" s="139">
        <v>2000</v>
      </c>
      <c r="D46" s="363">
        <v>2000</v>
      </c>
      <c r="E46" s="365">
        <f t="shared" si="0"/>
        <v>100</v>
      </c>
    </row>
    <row r="47" spans="1:5" s="60" customFormat="1" ht="23.25" customHeight="1" x14ac:dyDescent="0.3">
      <c r="A47" s="1018" t="s">
        <v>631</v>
      </c>
      <c r="B47" s="330">
        <v>2000</v>
      </c>
      <c r="C47" s="330">
        <v>2000</v>
      </c>
      <c r="D47" s="367">
        <v>2000</v>
      </c>
      <c r="E47" s="365">
        <f t="shared" si="0"/>
        <v>100</v>
      </c>
    </row>
    <row r="48" spans="1:5" s="60" customFormat="1" ht="23.25" customHeight="1" x14ac:dyDescent="0.3">
      <c r="A48" s="1018" t="s">
        <v>457</v>
      </c>
      <c r="B48" s="330">
        <v>4000</v>
      </c>
      <c r="C48" s="330">
        <v>4000</v>
      </c>
      <c r="D48" s="370">
        <v>4000</v>
      </c>
      <c r="E48" s="365">
        <f t="shared" si="0"/>
        <v>100</v>
      </c>
    </row>
    <row r="49" spans="1:5" s="60" customFormat="1" ht="23.25" customHeight="1" x14ac:dyDescent="0.3">
      <c r="A49" s="1051" t="s">
        <v>385</v>
      </c>
      <c r="B49" s="139"/>
      <c r="C49" s="139"/>
      <c r="D49" s="368"/>
      <c r="E49" s="369"/>
    </row>
    <row r="50" spans="1:5" s="60" customFormat="1" ht="23.25" customHeight="1" x14ac:dyDescent="0.3">
      <c r="A50" s="1019" t="s">
        <v>357</v>
      </c>
      <c r="B50" s="139">
        <v>130000</v>
      </c>
      <c r="C50" s="139">
        <v>130000</v>
      </c>
      <c r="D50" s="368">
        <v>130000</v>
      </c>
      <c r="E50" s="365">
        <f t="shared" si="0"/>
        <v>100</v>
      </c>
    </row>
    <row r="51" spans="1:5" s="60" customFormat="1" ht="34.5" customHeight="1" x14ac:dyDescent="0.3">
      <c r="A51" s="1051" t="s">
        <v>386</v>
      </c>
      <c r="B51" s="139"/>
      <c r="C51" s="139"/>
      <c r="D51" s="368"/>
      <c r="E51" s="369"/>
    </row>
    <row r="52" spans="1:5" s="60" customFormat="1" ht="23.25" customHeight="1" x14ac:dyDescent="0.3">
      <c r="A52" s="1036" t="s">
        <v>578</v>
      </c>
      <c r="B52" s="267">
        <v>6000</v>
      </c>
      <c r="C52" s="267">
        <v>13183</v>
      </c>
      <c r="D52" s="360">
        <v>11505</v>
      </c>
      <c r="E52" s="320">
        <f t="shared" si="0"/>
        <v>87.271486004703021</v>
      </c>
    </row>
    <row r="53" spans="1:5" s="60" customFormat="1" ht="27" customHeight="1" x14ac:dyDescent="0.3">
      <c r="A53" s="1036" t="s">
        <v>159</v>
      </c>
      <c r="B53" s="267">
        <v>34852</v>
      </c>
      <c r="C53" s="267">
        <v>50092</v>
      </c>
      <c r="D53" s="360">
        <v>36027</v>
      </c>
      <c r="E53" s="320">
        <f t="shared" si="0"/>
        <v>71.921664137986113</v>
      </c>
    </row>
    <row r="54" spans="1:5" s="60" customFormat="1" ht="23.25" customHeight="1" x14ac:dyDescent="0.3">
      <c r="A54" s="498" t="s">
        <v>376</v>
      </c>
      <c r="B54" s="139">
        <v>4482</v>
      </c>
      <c r="C54" s="139">
        <v>4482</v>
      </c>
      <c r="D54" s="371">
        <v>4482</v>
      </c>
      <c r="E54" s="365">
        <f t="shared" si="0"/>
        <v>100</v>
      </c>
    </row>
    <row r="55" spans="1:5" s="60" customFormat="1" ht="23.25" customHeight="1" x14ac:dyDescent="0.3">
      <c r="A55" s="498" t="s">
        <v>233</v>
      </c>
      <c r="B55" s="139">
        <v>20000</v>
      </c>
      <c r="C55" s="139">
        <v>22714</v>
      </c>
      <c r="D55" s="368">
        <v>10370</v>
      </c>
      <c r="E55" s="365">
        <f t="shared" si="0"/>
        <v>45.654662322796511</v>
      </c>
    </row>
    <row r="56" spans="1:5" s="60" customFormat="1" ht="23.25" customHeight="1" x14ac:dyDescent="0.3">
      <c r="A56" s="498" t="s">
        <v>458</v>
      </c>
      <c r="B56" s="139"/>
      <c r="C56" s="139">
        <v>1145</v>
      </c>
      <c r="D56" s="368">
        <v>1145</v>
      </c>
      <c r="E56" s="365">
        <f t="shared" si="0"/>
        <v>100</v>
      </c>
    </row>
    <row r="57" spans="1:5" s="60" customFormat="1" ht="23.25" customHeight="1" x14ac:dyDescent="0.3">
      <c r="A57" s="1019" t="s">
        <v>377</v>
      </c>
      <c r="B57" s="330">
        <v>5500</v>
      </c>
      <c r="C57" s="330">
        <v>19062</v>
      </c>
      <c r="D57" s="367">
        <v>1195</v>
      </c>
      <c r="E57" s="365">
        <f t="shared" si="0"/>
        <v>6.2690168922463538</v>
      </c>
    </row>
    <row r="58" spans="1:5" s="60" customFormat="1" ht="23.25" customHeight="1" x14ac:dyDescent="0.3">
      <c r="A58" s="1019" t="s">
        <v>459</v>
      </c>
      <c r="B58" s="330">
        <v>3300</v>
      </c>
      <c r="C58" s="330">
        <v>3300</v>
      </c>
      <c r="D58" s="367"/>
      <c r="E58" s="365">
        <f t="shared" si="0"/>
        <v>0</v>
      </c>
    </row>
    <row r="59" spans="1:5" s="60" customFormat="1" ht="23.25" customHeight="1" x14ac:dyDescent="0.3">
      <c r="A59" s="498" t="s">
        <v>505</v>
      </c>
      <c r="B59" s="139">
        <v>34595</v>
      </c>
      <c r="C59" s="139">
        <v>123829</v>
      </c>
      <c r="D59" s="368">
        <v>97088</v>
      </c>
      <c r="E59" s="365">
        <f t="shared" si="0"/>
        <v>78.404897075806161</v>
      </c>
    </row>
    <row r="60" spans="1:5" s="60" customFormat="1" ht="23.25" customHeight="1" x14ac:dyDescent="0.3">
      <c r="A60" s="498" t="s">
        <v>593</v>
      </c>
      <c r="B60" s="139"/>
      <c r="C60" s="139">
        <v>200000</v>
      </c>
      <c r="D60" s="368">
        <v>200000</v>
      </c>
      <c r="E60" s="365">
        <f t="shared" si="0"/>
        <v>100</v>
      </c>
    </row>
    <row r="61" spans="1:5" s="60" customFormat="1" ht="23.25" customHeight="1" x14ac:dyDescent="0.3">
      <c r="A61" s="498" t="s">
        <v>594</v>
      </c>
      <c r="B61" s="139"/>
      <c r="C61" s="139">
        <v>240000</v>
      </c>
      <c r="D61" s="368"/>
      <c r="E61" s="365">
        <f t="shared" si="0"/>
        <v>0</v>
      </c>
    </row>
    <row r="62" spans="1:5" s="60" customFormat="1" ht="23.25" customHeight="1" x14ac:dyDescent="0.3">
      <c r="A62" s="498" t="s">
        <v>540</v>
      </c>
      <c r="B62" s="139">
        <v>100000</v>
      </c>
      <c r="C62" s="139">
        <v>0</v>
      </c>
      <c r="D62" s="368"/>
      <c r="E62" s="365"/>
    </row>
    <row r="63" spans="1:5" s="60" customFormat="1" ht="23.25" customHeight="1" x14ac:dyDescent="0.3">
      <c r="A63" s="498" t="s">
        <v>541</v>
      </c>
      <c r="B63" s="139">
        <v>18500</v>
      </c>
      <c r="C63" s="139">
        <v>18500</v>
      </c>
      <c r="D63" s="368">
        <v>16764</v>
      </c>
      <c r="E63" s="365">
        <f t="shared" si="0"/>
        <v>90.616216216216216</v>
      </c>
    </row>
    <row r="64" spans="1:5" s="60" customFormat="1" ht="23.25" customHeight="1" x14ac:dyDescent="0.3">
      <c r="A64" s="498" t="s">
        <v>298</v>
      </c>
      <c r="B64" s="139">
        <v>50000</v>
      </c>
      <c r="C64" s="139">
        <v>50000</v>
      </c>
      <c r="D64" s="368">
        <v>50000</v>
      </c>
      <c r="E64" s="365">
        <f t="shared" ref="E64:E101" si="2">+D64/C64*100</f>
        <v>100</v>
      </c>
    </row>
    <row r="65" spans="1:5" s="60" customFormat="1" ht="23.25" customHeight="1" x14ac:dyDescent="0.3">
      <c r="A65" s="498" t="s">
        <v>542</v>
      </c>
      <c r="B65" s="139">
        <v>700000</v>
      </c>
      <c r="C65" s="139">
        <v>0</v>
      </c>
      <c r="D65" s="368"/>
      <c r="E65" s="365"/>
    </row>
    <row r="66" spans="1:5" s="60" customFormat="1" ht="23.25" customHeight="1" x14ac:dyDescent="0.3">
      <c r="A66" s="498" t="s">
        <v>559</v>
      </c>
      <c r="B66" s="139"/>
      <c r="C66" s="139">
        <v>4575</v>
      </c>
      <c r="D66" s="368">
        <v>4575</v>
      </c>
      <c r="E66" s="365">
        <f t="shared" si="2"/>
        <v>100</v>
      </c>
    </row>
    <row r="67" spans="1:5" s="60" customFormat="1" ht="23.25" customHeight="1" x14ac:dyDescent="0.3">
      <c r="A67" s="498" t="s">
        <v>632</v>
      </c>
      <c r="B67" s="139"/>
      <c r="C67" s="139">
        <v>8495</v>
      </c>
      <c r="D67" s="368">
        <v>8495</v>
      </c>
      <c r="E67" s="365">
        <f t="shared" si="2"/>
        <v>100</v>
      </c>
    </row>
    <row r="68" spans="1:5" s="60" customFormat="1" ht="23.25" customHeight="1" x14ac:dyDescent="0.3">
      <c r="A68" s="498" t="s">
        <v>633</v>
      </c>
      <c r="B68" s="139"/>
      <c r="C68" s="139">
        <v>1118</v>
      </c>
      <c r="D68" s="368"/>
      <c r="E68" s="365">
        <f t="shared" si="2"/>
        <v>0</v>
      </c>
    </row>
    <row r="69" spans="1:5" s="60" customFormat="1" ht="23.25" customHeight="1" x14ac:dyDescent="0.3">
      <c r="A69" s="1051" t="s">
        <v>17</v>
      </c>
      <c r="B69" s="139"/>
      <c r="C69" s="139"/>
      <c r="D69" s="368"/>
      <c r="E69" s="365"/>
    </row>
    <row r="70" spans="1:5" s="60" customFormat="1" ht="37.5" customHeight="1" x14ac:dyDescent="0.3">
      <c r="A70" s="1052" t="s">
        <v>1199</v>
      </c>
      <c r="B70" s="380">
        <v>6500</v>
      </c>
      <c r="C70" s="380">
        <v>7378</v>
      </c>
      <c r="D70" s="281">
        <v>7068</v>
      </c>
      <c r="E70" s="343">
        <f t="shared" si="2"/>
        <v>95.798319327731093</v>
      </c>
    </row>
    <row r="71" spans="1:5" s="60" customFormat="1" ht="23.25" customHeight="1" x14ac:dyDescent="0.3">
      <c r="A71" s="1018" t="s">
        <v>225</v>
      </c>
      <c r="B71" s="330">
        <v>25500</v>
      </c>
      <c r="C71" s="330">
        <v>25500</v>
      </c>
      <c r="D71" s="367">
        <v>25418</v>
      </c>
      <c r="E71" s="365">
        <f t="shared" si="2"/>
        <v>99.678431372549014</v>
      </c>
    </row>
    <row r="72" spans="1:5" s="60" customFormat="1" ht="23.25" customHeight="1" x14ac:dyDescent="0.3">
      <c r="A72" s="1053" t="s">
        <v>128</v>
      </c>
      <c r="B72" s="330">
        <v>6500</v>
      </c>
      <c r="C72" s="330">
        <v>6500</v>
      </c>
      <c r="D72" s="367">
        <v>5494</v>
      </c>
      <c r="E72" s="365">
        <f t="shared" si="2"/>
        <v>84.523076923076928</v>
      </c>
    </row>
    <row r="73" spans="1:5" s="60" customFormat="1" ht="23.25" customHeight="1" x14ac:dyDescent="0.3">
      <c r="A73" s="1053" t="s">
        <v>634</v>
      </c>
      <c r="B73" s="139">
        <v>27500</v>
      </c>
      <c r="C73" s="139">
        <v>32025</v>
      </c>
      <c r="D73" s="368">
        <v>28145</v>
      </c>
      <c r="E73" s="365">
        <f t="shared" si="2"/>
        <v>87.88446526151445</v>
      </c>
    </row>
    <row r="74" spans="1:5" s="60" customFormat="1" ht="23.25" customHeight="1" x14ac:dyDescent="0.3">
      <c r="A74" s="1053" t="s">
        <v>84</v>
      </c>
      <c r="B74" s="139">
        <v>600</v>
      </c>
      <c r="C74" s="139">
        <v>600</v>
      </c>
      <c r="D74" s="367">
        <v>600</v>
      </c>
      <c r="E74" s="365">
        <f t="shared" si="2"/>
        <v>100</v>
      </c>
    </row>
    <row r="75" spans="1:5" s="60" customFormat="1" ht="23.25" customHeight="1" x14ac:dyDescent="0.3">
      <c r="A75" s="498" t="s">
        <v>129</v>
      </c>
      <c r="B75" s="139">
        <v>7000</v>
      </c>
      <c r="C75" s="139">
        <v>8715</v>
      </c>
      <c r="D75" s="168">
        <v>6858</v>
      </c>
      <c r="E75" s="365">
        <f t="shared" si="2"/>
        <v>78.691910499139411</v>
      </c>
    </row>
    <row r="76" spans="1:5" s="60" customFormat="1" ht="27" customHeight="1" x14ac:dyDescent="0.3">
      <c r="A76" s="1017" t="s">
        <v>294</v>
      </c>
      <c r="B76" s="139">
        <v>3300</v>
      </c>
      <c r="C76" s="139">
        <v>3300</v>
      </c>
      <c r="D76" s="371">
        <v>3185</v>
      </c>
      <c r="E76" s="365">
        <f t="shared" si="2"/>
        <v>96.515151515151516</v>
      </c>
    </row>
    <row r="77" spans="1:5" s="60" customFormat="1" ht="23.25" customHeight="1" x14ac:dyDescent="0.3">
      <c r="A77" s="498" t="s">
        <v>424</v>
      </c>
      <c r="B77" s="139">
        <v>3810</v>
      </c>
      <c r="C77" s="139">
        <v>3810</v>
      </c>
      <c r="D77" s="370">
        <v>3810</v>
      </c>
      <c r="E77" s="365">
        <f t="shared" si="2"/>
        <v>100</v>
      </c>
    </row>
    <row r="78" spans="1:5" s="60" customFormat="1" ht="23.25" customHeight="1" x14ac:dyDescent="0.3">
      <c r="A78" s="498" t="s">
        <v>358</v>
      </c>
      <c r="B78" s="139">
        <v>500</v>
      </c>
      <c r="C78" s="139">
        <v>500</v>
      </c>
      <c r="D78" s="368">
        <v>161</v>
      </c>
      <c r="E78" s="365">
        <f t="shared" si="2"/>
        <v>32.200000000000003</v>
      </c>
    </row>
    <row r="79" spans="1:5" s="60" customFormat="1" ht="23.25" customHeight="1" x14ac:dyDescent="0.3">
      <c r="A79" s="1041" t="s">
        <v>460</v>
      </c>
      <c r="B79" s="139">
        <v>1600</v>
      </c>
      <c r="C79" s="139">
        <v>1600</v>
      </c>
      <c r="D79" s="368"/>
      <c r="E79" s="365">
        <f t="shared" si="2"/>
        <v>0</v>
      </c>
    </row>
    <row r="80" spans="1:5" s="60" customFormat="1" ht="23.25" customHeight="1" x14ac:dyDescent="0.3">
      <c r="A80" s="1054" t="s">
        <v>27</v>
      </c>
      <c r="B80" s="139"/>
      <c r="C80" s="139"/>
      <c r="D80" s="368"/>
      <c r="E80" s="365"/>
    </row>
    <row r="81" spans="1:5" s="60" customFormat="1" ht="23.25" customHeight="1" x14ac:dyDescent="0.3">
      <c r="A81" s="498" t="s">
        <v>461</v>
      </c>
      <c r="B81" s="139">
        <v>20000</v>
      </c>
      <c r="C81" s="139">
        <v>101003</v>
      </c>
      <c r="D81" s="368">
        <v>45661</v>
      </c>
      <c r="E81" s="365">
        <f t="shared" si="2"/>
        <v>45.207568092036873</v>
      </c>
    </row>
    <row r="82" spans="1:5" s="60" customFormat="1" ht="23.25" customHeight="1" x14ac:dyDescent="0.3">
      <c r="A82" s="498" t="s">
        <v>595</v>
      </c>
      <c r="B82" s="139"/>
      <c r="C82" s="139">
        <v>23</v>
      </c>
      <c r="D82" s="368"/>
      <c r="E82" s="365">
        <f t="shared" si="2"/>
        <v>0</v>
      </c>
    </row>
    <row r="83" spans="1:5" s="60" customFormat="1" ht="23.25" customHeight="1" x14ac:dyDescent="0.3">
      <c r="A83" s="498" t="s">
        <v>584</v>
      </c>
      <c r="B83" s="139">
        <v>1500</v>
      </c>
      <c r="C83" s="139">
        <v>1695</v>
      </c>
      <c r="D83" s="368">
        <v>1180</v>
      </c>
      <c r="E83" s="365">
        <f t="shared" si="2"/>
        <v>69.616519174041301</v>
      </c>
    </row>
    <row r="84" spans="1:5" s="60" customFormat="1" ht="23.25" customHeight="1" x14ac:dyDescent="0.3">
      <c r="A84" s="498" t="s">
        <v>462</v>
      </c>
      <c r="B84" s="139">
        <v>1000</v>
      </c>
      <c r="C84" s="139">
        <v>1000</v>
      </c>
      <c r="D84" s="368">
        <v>1000</v>
      </c>
      <c r="E84" s="365">
        <f t="shared" si="2"/>
        <v>100</v>
      </c>
    </row>
    <row r="85" spans="1:5" s="60" customFormat="1" ht="51.75" customHeight="1" x14ac:dyDescent="0.3">
      <c r="A85" s="1017" t="s">
        <v>359</v>
      </c>
      <c r="B85" s="139">
        <v>3500</v>
      </c>
      <c r="C85" s="139">
        <v>3500</v>
      </c>
      <c r="D85" s="168">
        <v>3500</v>
      </c>
      <c r="E85" s="271">
        <f t="shared" si="2"/>
        <v>100</v>
      </c>
    </row>
    <row r="86" spans="1:5" s="60" customFormat="1" ht="30" customHeight="1" x14ac:dyDescent="0.3">
      <c r="A86" s="1054" t="s">
        <v>28</v>
      </c>
      <c r="B86" s="137"/>
      <c r="C86" s="137"/>
      <c r="D86" s="517"/>
      <c r="E86" s="365"/>
    </row>
    <row r="87" spans="1:5" s="60" customFormat="1" ht="39" customHeight="1" thickBot="1" x14ac:dyDescent="0.35">
      <c r="A87" s="1053" t="s">
        <v>482</v>
      </c>
      <c r="B87" s="330"/>
      <c r="C87" s="330">
        <v>40787</v>
      </c>
      <c r="D87" s="370">
        <v>28818</v>
      </c>
      <c r="E87" s="352">
        <f t="shared" si="2"/>
        <v>70.654865520876754</v>
      </c>
    </row>
    <row r="88" spans="1:5" s="60" customFormat="1" ht="23.25" customHeight="1" thickBot="1" x14ac:dyDescent="0.35">
      <c r="A88" s="1055" t="s">
        <v>194</v>
      </c>
      <c r="B88" s="335">
        <f>SUM(B20:B87)</f>
        <v>6225512</v>
      </c>
      <c r="C88" s="335">
        <f>SUM(C20:C87)</f>
        <v>6303157</v>
      </c>
      <c r="D88" s="377">
        <f>SUM(D20:D87)</f>
        <v>5830243</v>
      </c>
      <c r="E88" s="378">
        <f t="shared" si="2"/>
        <v>92.49718831372914</v>
      </c>
    </row>
    <row r="89" spans="1:5" s="60" customFormat="1" ht="23.25" customHeight="1" x14ac:dyDescent="0.3">
      <c r="A89" s="1042" t="s">
        <v>94</v>
      </c>
      <c r="B89" s="161"/>
      <c r="C89" s="372"/>
      <c r="D89" s="373"/>
      <c r="E89" s="374"/>
    </row>
    <row r="90" spans="1:5" s="60" customFormat="1" ht="23.25" customHeight="1" x14ac:dyDescent="0.3">
      <c r="A90" s="1019" t="s">
        <v>378</v>
      </c>
      <c r="B90" s="139">
        <v>25350</v>
      </c>
      <c r="C90" s="139">
        <v>0</v>
      </c>
      <c r="D90" s="375"/>
      <c r="E90" s="369"/>
    </row>
    <row r="91" spans="1:5" s="60" customFormat="1" ht="23.25" customHeight="1" x14ac:dyDescent="0.3">
      <c r="A91" s="1019" t="s">
        <v>249</v>
      </c>
      <c r="B91" s="139"/>
      <c r="C91" s="139">
        <v>200</v>
      </c>
      <c r="D91" s="168">
        <v>200</v>
      </c>
      <c r="E91" s="369">
        <f t="shared" si="2"/>
        <v>100</v>
      </c>
    </row>
    <row r="92" spans="1:5" s="60" customFormat="1" ht="23.25" customHeight="1" x14ac:dyDescent="0.3">
      <c r="A92" s="1019" t="s">
        <v>250</v>
      </c>
      <c r="B92" s="139"/>
      <c r="C92" s="139">
        <v>4400</v>
      </c>
      <c r="D92" s="168">
        <v>4400</v>
      </c>
      <c r="E92" s="140">
        <f t="shared" si="2"/>
        <v>100</v>
      </c>
    </row>
    <row r="93" spans="1:5" s="60" customFormat="1" ht="23.25" customHeight="1" x14ac:dyDescent="0.3">
      <c r="A93" s="1019" t="s">
        <v>562</v>
      </c>
      <c r="B93" s="139"/>
      <c r="C93" s="139">
        <v>187</v>
      </c>
      <c r="D93" s="168">
        <v>187</v>
      </c>
      <c r="E93" s="140">
        <f t="shared" si="2"/>
        <v>100</v>
      </c>
    </row>
    <row r="94" spans="1:5" s="60" customFormat="1" ht="23.25" customHeight="1" x14ac:dyDescent="0.3">
      <c r="A94" s="1053" t="s">
        <v>423</v>
      </c>
      <c r="B94" s="330"/>
      <c r="C94" s="330">
        <v>5</v>
      </c>
      <c r="D94" s="370">
        <v>5</v>
      </c>
      <c r="E94" s="369">
        <f t="shared" si="2"/>
        <v>100</v>
      </c>
    </row>
    <row r="95" spans="1:5" s="60" customFormat="1" ht="23.25" customHeight="1" x14ac:dyDescent="0.3">
      <c r="A95" s="1053" t="s">
        <v>635</v>
      </c>
      <c r="B95" s="330"/>
      <c r="C95" s="330">
        <v>41514</v>
      </c>
      <c r="D95" s="370">
        <v>176</v>
      </c>
      <c r="E95" s="369">
        <f t="shared" si="2"/>
        <v>0.42395336512983572</v>
      </c>
    </row>
    <row r="96" spans="1:5" s="60" customFormat="1" ht="23.25" customHeight="1" x14ac:dyDescent="0.3">
      <c r="A96" s="1053" t="s">
        <v>636</v>
      </c>
      <c r="B96" s="330"/>
      <c r="C96" s="330">
        <v>2822</v>
      </c>
      <c r="D96" s="367">
        <v>865</v>
      </c>
      <c r="E96" s="369">
        <f t="shared" si="2"/>
        <v>30.652019844082211</v>
      </c>
    </row>
    <row r="97" spans="1:11" s="60" customFormat="1" ht="23.25" customHeight="1" x14ac:dyDescent="0.3">
      <c r="A97" s="1053" t="s">
        <v>1200</v>
      </c>
      <c r="B97" s="330"/>
      <c r="C97" s="330">
        <v>32258</v>
      </c>
      <c r="D97" s="370">
        <v>1143</v>
      </c>
      <c r="E97" s="140">
        <f t="shared" si="2"/>
        <v>3.5433070866141732</v>
      </c>
    </row>
    <row r="98" spans="1:11" s="60" customFormat="1" ht="23.25" customHeight="1" x14ac:dyDescent="0.3">
      <c r="A98" s="1056" t="s">
        <v>492</v>
      </c>
      <c r="B98" s="270"/>
      <c r="C98" s="270">
        <v>24630</v>
      </c>
      <c r="D98" s="269">
        <v>17021</v>
      </c>
      <c r="E98" s="140">
        <f t="shared" si="2"/>
        <v>69.106780349167678</v>
      </c>
    </row>
    <row r="99" spans="1:11" s="60" customFormat="1" ht="23.25" customHeight="1" thickBot="1" x14ac:dyDescent="0.35">
      <c r="A99" s="975" t="s">
        <v>194</v>
      </c>
      <c r="B99" s="178">
        <f>SUM(B90:B98)</f>
        <v>25350</v>
      </c>
      <c r="C99" s="178">
        <f>SUM(C90:C98)</f>
        <v>106016</v>
      </c>
      <c r="D99" s="178">
        <f>SUM(D90:D98)</f>
        <v>23997</v>
      </c>
      <c r="E99" s="376">
        <f t="shared" si="2"/>
        <v>22.635262601871414</v>
      </c>
    </row>
    <row r="100" spans="1:11" s="60" customFormat="1" ht="23.25" customHeight="1" thickBot="1" x14ac:dyDescent="0.35">
      <c r="A100" s="1057" t="s">
        <v>297</v>
      </c>
      <c r="B100" s="159">
        <f>+B18+B88+B99</f>
        <v>7782840</v>
      </c>
      <c r="C100" s="335">
        <f>+C18+C88+C99</f>
        <v>8105693</v>
      </c>
      <c r="D100" s="377">
        <f>+D18+D88+D99</f>
        <v>7980138</v>
      </c>
      <c r="E100" s="378">
        <f t="shared" si="2"/>
        <v>98.451026951057727</v>
      </c>
      <c r="H100" s="82"/>
      <c r="I100" s="82"/>
      <c r="J100" s="82"/>
      <c r="K100" s="82"/>
    </row>
    <row r="101" spans="1:11" s="76" customFormat="1" ht="36.75" customHeight="1" thickBot="1" x14ac:dyDescent="0.35">
      <c r="A101" s="1058" t="s">
        <v>326</v>
      </c>
      <c r="B101" s="178">
        <f>+B10+B100</f>
        <v>10538442</v>
      </c>
      <c r="C101" s="336">
        <f>+C10+C100</f>
        <v>11120167</v>
      </c>
      <c r="D101" s="336">
        <f>+D10+D100</f>
        <v>10689170</v>
      </c>
      <c r="E101" s="278">
        <f t="shared" si="2"/>
        <v>96.124185904762044</v>
      </c>
    </row>
    <row r="102" spans="1:11" s="60" customFormat="1" ht="15" customHeight="1" x14ac:dyDescent="0.25">
      <c r="A102" s="1001"/>
      <c r="C102" s="82"/>
      <c r="D102" s="82"/>
    </row>
    <row r="103" spans="1:11" s="60" customFormat="1" ht="36" customHeight="1" thickBot="1" x14ac:dyDescent="0.3">
      <c r="A103" s="973" t="s">
        <v>16</v>
      </c>
      <c r="B103" s="64"/>
      <c r="C103" s="64"/>
      <c r="D103" s="64"/>
      <c r="E103" s="64"/>
    </row>
    <row r="104" spans="1:11" s="60" customFormat="1" ht="23.25" customHeight="1" x14ac:dyDescent="0.3">
      <c r="A104" s="974" t="s">
        <v>29</v>
      </c>
      <c r="B104" s="1864" t="s">
        <v>514</v>
      </c>
      <c r="C104" s="1864"/>
      <c r="D104" s="147" t="s">
        <v>305</v>
      </c>
      <c r="E104" s="259" t="s">
        <v>90</v>
      </c>
    </row>
    <row r="105" spans="1:11" s="60" customFormat="1" ht="23.25" customHeight="1" thickBot="1" x14ac:dyDescent="0.35">
      <c r="A105" s="975"/>
      <c r="B105" s="260" t="s">
        <v>184</v>
      </c>
      <c r="C105" s="260" t="s">
        <v>88</v>
      </c>
      <c r="D105" s="261" t="s">
        <v>89</v>
      </c>
      <c r="E105" s="157" t="s">
        <v>91</v>
      </c>
    </row>
    <row r="106" spans="1:11" s="60" customFormat="1" ht="23.25" customHeight="1" x14ac:dyDescent="0.3">
      <c r="A106" s="1059" t="s">
        <v>452</v>
      </c>
      <c r="B106" s="322"/>
      <c r="C106" s="322"/>
      <c r="D106" s="469"/>
      <c r="E106" s="355"/>
    </row>
    <row r="107" spans="1:11" s="60" customFormat="1" ht="23.25" customHeight="1" thickBot="1" x14ac:dyDescent="0.35">
      <c r="A107" s="1018" t="s">
        <v>453</v>
      </c>
      <c r="B107" s="330"/>
      <c r="C107" s="330"/>
      <c r="D107" s="470"/>
      <c r="E107" s="379"/>
    </row>
    <row r="108" spans="1:11" s="76" customFormat="1" ht="23.25" customHeight="1" thickBot="1" x14ac:dyDescent="0.35">
      <c r="A108" s="977" t="s">
        <v>454</v>
      </c>
      <c r="B108" s="159">
        <f>SUM(B106:B107)</f>
        <v>0</v>
      </c>
      <c r="C108" s="159">
        <v>12032</v>
      </c>
      <c r="D108" s="289">
        <v>10762</v>
      </c>
      <c r="E108" s="278">
        <f>+D108/C108*100</f>
        <v>89.444813829787222</v>
      </c>
      <c r="F108" s="75"/>
    </row>
    <row r="109" spans="1:11" s="60" customFormat="1" ht="23.25" customHeight="1" thickBot="1" x14ac:dyDescent="0.35">
      <c r="A109" s="1039" t="s">
        <v>41</v>
      </c>
      <c r="B109" s="137">
        <v>18000</v>
      </c>
      <c r="C109" s="137">
        <v>47002</v>
      </c>
      <c r="D109" s="389">
        <v>40728</v>
      </c>
      <c r="E109" s="352">
        <f t="shared" ref="E109" si="3">+D109/C109*100</f>
        <v>86.65163184545338</v>
      </c>
      <c r="F109" s="82"/>
    </row>
    <row r="110" spans="1:11" s="60" customFormat="1" ht="35.25" customHeight="1" thickBot="1" x14ac:dyDescent="0.35">
      <c r="A110" s="1060" t="s">
        <v>327</v>
      </c>
      <c r="B110" s="159">
        <f>+B108+B109</f>
        <v>18000</v>
      </c>
      <c r="C110" s="159">
        <f t="shared" ref="C110:D110" si="4">+C108+C109</f>
        <v>59034</v>
      </c>
      <c r="D110" s="289">
        <f t="shared" si="4"/>
        <v>51490</v>
      </c>
      <c r="E110" s="278">
        <f>+D110/C110*100</f>
        <v>87.220923535589662</v>
      </c>
      <c r="F110" s="82"/>
    </row>
    <row r="111" spans="1:11" s="60" customFormat="1" ht="15" customHeight="1" thickBot="1" x14ac:dyDescent="0.35">
      <c r="A111" s="1007"/>
      <c r="B111" s="237"/>
      <c r="C111" s="237"/>
      <c r="D111" s="287"/>
      <c r="E111" s="170"/>
    </row>
    <row r="112" spans="1:11" s="60" customFormat="1" ht="36.75" customHeight="1" thickBot="1" x14ac:dyDescent="0.35">
      <c r="A112" s="1060" t="s">
        <v>328</v>
      </c>
      <c r="B112" s="335">
        <f>B101+B110</f>
        <v>10556442</v>
      </c>
      <c r="C112" s="159">
        <f>C101+C110</f>
        <v>11179201</v>
      </c>
      <c r="D112" s="317">
        <f>D101+D110</f>
        <v>10740660</v>
      </c>
      <c r="E112" s="278">
        <f>+D112/C112*100</f>
        <v>96.077170452521614</v>
      </c>
    </row>
    <row r="114" spans="5:5" ht="15" customHeight="1" x14ac:dyDescent="0.2">
      <c r="E114" s="3"/>
    </row>
    <row r="115" spans="5:5" ht="15" customHeight="1" x14ac:dyDescent="0.2">
      <c r="E115" s="3"/>
    </row>
  </sheetData>
  <mergeCells count="4">
    <mergeCell ref="A1:B1"/>
    <mergeCell ref="B4:C4"/>
    <mergeCell ref="B104:C104"/>
    <mergeCell ref="A2:E2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47" orientation="portrait" r:id="rId1"/>
  <headerFooter alignWithMargins="0">
    <oddHeader xml:space="preserve">&amp;R&amp;"Cambria,Félkövér"&amp;12  13. melléklet a 10/2024.(V.31.) önkormányzati rendelethez 
</oddHeader>
  </headerFooter>
  <rowBreaks count="1" manualBreakCount="1">
    <brk id="50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7"/>
  <dimension ref="A1:E25"/>
  <sheetViews>
    <sheetView view="pageLayout" zoomScaleNormal="100" zoomScaleSheetLayoutView="75" workbookViewId="0">
      <selection activeCell="A9" sqref="A9"/>
    </sheetView>
  </sheetViews>
  <sheetFormatPr defaultColWidth="9.33203125" defaultRowHeight="15" customHeight="1" x14ac:dyDescent="0.2"/>
  <cols>
    <col min="1" max="1" width="95.5" style="1" customWidth="1"/>
    <col min="2" max="2" width="27.83203125" style="1" customWidth="1"/>
    <col min="3" max="4" width="27.83203125" style="3" customWidth="1"/>
    <col min="5" max="5" width="23.1640625" style="1" customWidth="1"/>
    <col min="6" max="16384" width="9.33203125" style="1"/>
  </cols>
  <sheetData>
    <row r="1" spans="1:5" s="60" customFormat="1" ht="15" customHeight="1" x14ac:dyDescent="0.25">
      <c r="A1" s="1957"/>
      <c r="B1" s="1957"/>
      <c r="C1" s="82"/>
      <c r="D1" s="82"/>
    </row>
    <row r="2" spans="1:5" s="60" customFormat="1" ht="30" customHeight="1" x14ac:dyDescent="0.25">
      <c r="A2" s="1884" t="s">
        <v>22</v>
      </c>
      <c r="B2" s="1884"/>
      <c r="C2" s="1884"/>
      <c r="D2" s="1884"/>
      <c r="E2" s="1884"/>
    </row>
    <row r="3" spans="1:5" s="60" customFormat="1" ht="14.25" customHeight="1" x14ac:dyDescent="0.25">
      <c r="A3" s="976" t="s">
        <v>52</v>
      </c>
      <c r="C3" s="82"/>
      <c r="D3" s="82"/>
    </row>
    <row r="4" spans="1:5" s="60" customFormat="1" ht="18.75" customHeight="1" thickBot="1" x14ac:dyDescent="0.3">
      <c r="A4" s="1001"/>
      <c r="B4" s="83"/>
      <c r="C4" s="64"/>
      <c r="D4" s="64"/>
      <c r="E4" s="107" t="s">
        <v>15</v>
      </c>
    </row>
    <row r="5" spans="1:5" s="60" customFormat="1" ht="24" customHeight="1" x14ac:dyDescent="0.3">
      <c r="A5" s="974" t="s">
        <v>29</v>
      </c>
      <c r="B5" s="1864" t="s">
        <v>514</v>
      </c>
      <c r="C5" s="1864"/>
      <c r="D5" s="147" t="s">
        <v>305</v>
      </c>
      <c r="E5" s="259" t="s">
        <v>90</v>
      </c>
    </row>
    <row r="6" spans="1:5" s="60" customFormat="1" ht="27.75" customHeight="1" thickBot="1" x14ac:dyDescent="0.35">
      <c r="A6" s="970"/>
      <c r="B6" s="260" t="s">
        <v>184</v>
      </c>
      <c r="C6" s="260" t="s">
        <v>88</v>
      </c>
      <c r="D6" s="261" t="s">
        <v>89</v>
      </c>
      <c r="E6" s="262" t="s">
        <v>91</v>
      </c>
    </row>
    <row r="7" spans="1:5" s="60" customFormat="1" ht="27" customHeight="1" x14ac:dyDescent="0.3">
      <c r="A7" s="1041" t="s">
        <v>487</v>
      </c>
      <c r="B7" s="351">
        <v>370000</v>
      </c>
      <c r="C7" s="351">
        <v>425000</v>
      </c>
      <c r="D7" s="363">
        <v>425000</v>
      </c>
      <c r="E7" s="369">
        <f>+D7/C7*100</f>
        <v>100</v>
      </c>
    </row>
    <row r="8" spans="1:5" s="60" customFormat="1" ht="27" customHeight="1" x14ac:dyDescent="0.3">
      <c r="A8" s="958" t="s">
        <v>47</v>
      </c>
      <c r="B8" s="267">
        <v>18500</v>
      </c>
      <c r="C8" s="267">
        <v>32413</v>
      </c>
      <c r="D8" s="267">
        <v>18224</v>
      </c>
      <c r="E8" s="346">
        <f t="shared" ref="E8:E21" si="0">+D8/C8*100</f>
        <v>56.224354425693392</v>
      </c>
    </row>
    <row r="9" spans="1:5" s="60" customFormat="1" ht="27" customHeight="1" x14ac:dyDescent="0.3">
      <c r="A9" s="498" t="s">
        <v>488</v>
      </c>
      <c r="B9" s="139">
        <v>1089</v>
      </c>
      <c r="C9" s="139">
        <v>1176</v>
      </c>
      <c r="D9" s="511">
        <v>1031</v>
      </c>
      <c r="E9" s="512">
        <f t="shared" si="0"/>
        <v>87.670068027210874</v>
      </c>
    </row>
    <row r="10" spans="1:5" s="60" customFormat="1" ht="41.25" customHeight="1" x14ac:dyDescent="0.3">
      <c r="A10" s="1017" t="s">
        <v>360</v>
      </c>
      <c r="B10" s="139">
        <v>8220</v>
      </c>
      <c r="C10" s="139">
        <v>8220</v>
      </c>
      <c r="D10" s="363">
        <v>8220</v>
      </c>
      <c r="E10" s="364">
        <f t="shared" si="0"/>
        <v>100</v>
      </c>
    </row>
    <row r="11" spans="1:5" s="60" customFormat="1" ht="27" customHeight="1" x14ac:dyDescent="0.3">
      <c r="A11" s="498" t="s">
        <v>463</v>
      </c>
      <c r="B11" s="139">
        <v>40000</v>
      </c>
      <c r="C11" s="139">
        <v>40000</v>
      </c>
      <c r="D11" s="511">
        <v>40000</v>
      </c>
      <c r="E11" s="512">
        <f t="shared" si="0"/>
        <v>100</v>
      </c>
    </row>
    <row r="12" spans="1:5" s="60" customFormat="1" ht="41.25" customHeight="1" x14ac:dyDescent="0.3">
      <c r="A12" s="1017" t="s">
        <v>361</v>
      </c>
      <c r="B12" s="139">
        <v>8268</v>
      </c>
      <c r="C12" s="139">
        <v>8268</v>
      </c>
      <c r="D12" s="363">
        <v>8268</v>
      </c>
      <c r="E12" s="364">
        <f t="shared" si="0"/>
        <v>100</v>
      </c>
    </row>
    <row r="13" spans="1:5" s="60" customFormat="1" ht="27" customHeight="1" x14ac:dyDescent="0.3">
      <c r="A13" s="498" t="s">
        <v>637</v>
      </c>
      <c r="B13" s="139">
        <v>30000</v>
      </c>
      <c r="C13" s="139">
        <v>35000</v>
      </c>
      <c r="D13" s="511">
        <v>20000</v>
      </c>
      <c r="E13" s="512">
        <f t="shared" si="0"/>
        <v>57.142857142857139</v>
      </c>
    </row>
    <row r="14" spans="1:5" s="60" customFormat="1" ht="27" customHeight="1" x14ac:dyDescent="0.3">
      <c r="A14" s="498" t="s">
        <v>375</v>
      </c>
      <c r="B14" s="139">
        <v>70000</v>
      </c>
      <c r="C14" s="139">
        <v>76423</v>
      </c>
      <c r="D14" s="511">
        <v>74905</v>
      </c>
      <c r="E14" s="512">
        <f t="shared" si="0"/>
        <v>98.013686979050803</v>
      </c>
    </row>
    <row r="15" spans="1:5" s="60" customFormat="1" ht="27" customHeight="1" x14ac:dyDescent="0.3">
      <c r="A15" s="498" t="s">
        <v>486</v>
      </c>
      <c r="B15" s="139">
        <v>6000</v>
      </c>
      <c r="C15" s="139">
        <v>6000</v>
      </c>
      <c r="D15" s="511">
        <v>6000</v>
      </c>
      <c r="E15" s="512">
        <f t="shared" si="0"/>
        <v>100</v>
      </c>
    </row>
    <row r="16" spans="1:5" s="60" customFormat="1" ht="41.25" customHeight="1" x14ac:dyDescent="0.3">
      <c r="A16" s="1017" t="s">
        <v>638</v>
      </c>
      <c r="B16" s="139">
        <v>9300</v>
      </c>
      <c r="C16" s="139">
        <v>15421</v>
      </c>
      <c r="D16" s="363">
        <v>15421</v>
      </c>
      <c r="E16" s="364">
        <f t="shared" si="0"/>
        <v>100</v>
      </c>
    </row>
    <row r="17" spans="1:5" s="60" customFormat="1" ht="27" customHeight="1" x14ac:dyDescent="0.3">
      <c r="A17" s="498" t="s">
        <v>438</v>
      </c>
      <c r="B17" s="139">
        <v>400000</v>
      </c>
      <c r="C17" s="139">
        <v>417000</v>
      </c>
      <c r="D17" s="511">
        <v>400000</v>
      </c>
      <c r="E17" s="512">
        <f t="shared" si="0"/>
        <v>95.923261390887291</v>
      </c>
    </row>
    <row r="18" spans="1:5" s="60" customFormat="1" ht="27" customHeight="1" x14ac:dyDescent="0.3">
      <c r="A18" s="498" t="s">
        <v>464</v>
      </c>
      <c r="B18" s="139">
        <v>5000</v>
      </c>
      <c r="C18" s="139">
        <v>5000</v>
      </c>
      <c r="D18" s="511">
        <v>5000</v>
      </c>
      <c r="E18" s="512">
        <f t="shared" si="0"/>
        <v>100</v>
      </c>
    </row>
    <row r="19" spans="1:5" s="60" customFormat="1" ht="41.25" customHeight="1" x14ac:dyDescent="0.3">
      <c r="A19" s="1017" t="s">
        <v>430</v>
      </c>
      <c r="B19" s="139">
        <v>1400</v>
      </c>
      <c r="C19" s="139">
        <v>1748</v>
      </c>
      <c r="D19" s="363">
        <v>1278</v>
      </c>
      <c r="E19" s="364">
        <f t="shared" si="0"/>
        <v>73.112128146453088</v>
      </c>
    </row>
    <row r="20" spans="1:5" s="60" customFormat="1" ht="27" customHeight="1" x14ac:dyDescent="0.3">
      <c r="A20" s="498" t="s">
        <v>489</v>
      </c>
      <c r="B20" s="139">
        <v>5000</v>
      </c>
      <c r="C20" s="139">
        <v>5000</v>
      </c>
      <c r="D20" s="511">
        <v>5000</v>
      </c>
      <c r="E20" s="512">
        <f t="shared" si="0"/>
        <v>100</v>
      </c>
    </row>
    <row r="21" spans="1:5" s="60" customFormat="1" ht="27" customHeight="1" thickBot="1" x14ac:dyDescent="0.35">
      <c r="A21" s="498" t="s">
        <v>543</v>
      </c>
      <c r="B21" s="139">
        <v>3100</v>
      </c>
      <c r="C21" s="139">
        <v>3100</v>
      </c>
      <c r="D21" s="511">
        <v>3100</v>
      </c>
      <c r="E21" s="512">
        <f t="shared" si="0"/>
        <v>100</v>
      </c>
    </row>
    <row r="22" spans="1:5" s="60" customFormat="1" ht="27" customHeight="1" thickBot="1" x14ac:dyDescent="0.35">
      <c r="A22" s="977" t="s">
        <v>639</v>
      </c>
      <c r="B22" s="335">
        <f>SUM(B7:B21)</f>
        <v>975877</v>
      </c>
      <c r="C22" s="335">
        <f>SUM(C7:C21)</f>
        <v>1079769</v>
      </c>
      <c r="D22" s="335">
        <f>SUM(D7:D21)</f>
        <v>1031447</v>
      </c>
      <c r="E22" s="278">
        <f>+D22/C22*100</f>
        <v>95.524783541664931</v>
      </c>
    </row>
    <row r="23" spans="1:5" ht="20.100000000000001" customHeight="1" x14ac:dyDescent="0.2"/>
    <row r="24" spans="1:5" ht="15" customHeight="1" x14ac:dyDescent="0.25">
      <c r="B24" s="3"/>
      <c r="C24" s="82"/>
      <c r="D24" s="82"/>
      <c r="E24" s="60"/>
    </row>
    <row r="25" spans="1:5" ht="15" customHeight="1" x14ac:dyDescent="0.25">
      <c r="C25" s="82"/>
      <c r="D25" s="82"/>
      <c r="E25" s="60"/>
    </row>
  </sheetData>
  <mergeCells count="3">
    <mergeCell ref="A1:B1"/>
    <mergeCell ref="B5:C5"/>
    <mergeCell ref="A2:E2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0" orientation="portrait" r:id="rId1"/>
  <headerFooter alignWithMargins="0">
    <oddHeader xml:space="preserve">&amp;C
&amp;R&amp;"-,Félkövér"&amp;11 &amp;12 14. melléklet a 10/2024.(V.31.) önkormányzati rendelethez 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5"/>
  <dimension ref="A1:I49"/>
  <sheetViews>
    <sheetView view="pageLayout" zoomScaleNormal="100" workbookViewId="0">
      <selection activeCell="D9" sqref="D9"/>
    </sheetView>
  </sheetViews>
  <sheetFormatPr defaultColWidth="9.33203125" defaultRowHeight="15" customHeight="1" x14ac:dyDescent="0.2"/>
  <cols>
    <col min="1" max="1" width="5.33203125" style="1" customWidth="1"/>
    <col min="2" max="2" width="9.33203125" style="1"/>
    <col min="3" max="3" width="15.83203125" style="1" customWidth="1"/>
    <col min="4" max="4" width="25.83203125" style="1" customWidth="1"/>
    <col min="5" max="5" width="29.83203125" style="1" customWidth="1"/>
    <col min="6" max="8" width="26.33203125" style="1" customWidth="1"/>
    <col min="9" max="9" width="22.6640625" style="1" customWidth="1"/>
    <col min="10" max="16384" width="9.33203125" style="1"/>
  </cols>
  <sheetData>
    <row r="1" spans="1:9" s="60" customFormat="1" ht="15" customHeight="1" x14ac:dyDescent="0.25">
      <c r="A1" s="1957"/>
      <c r="B1" s="1957"/>
      <c r="C1" s="1957"/>
      <c r="D1" s="1957"/>
      <c r="E1" s="1957"/>
      <c r="F1" s="1957"/>
    </row>
    <row r="2" spans="1:9" s="60" customFormat="1" ht="23.25" customHeight="1" x14ac:dyDescent="0.25">
      <c r="A2" s="1884" t="s">
        <v>82</v>
      </c>
      <c r="B2" s="1884"/>
      <c r="C2" s="1884"/>
      <c r="D2" s="1884"/>
      <c r="E2" s="1884"/>
      <c r="F2" s="1884"/>
      <c r="G2" s="1884"/>
      <c r="H2" s="1884"/>
      <c r="I2" s="1884"/>
    </row>
    <row r="3" spans="1:9" s="60" customFormat="1" ht="15" customHeight="1" x14ac:dyDescent="0.25">
      <c r="A3" s="1001"/>
      <c r="B3" s="1001"/>
      <c r="C3" s="1001"/>
      <c r="D3" s="1001"/>
      <c r="E3" s="1001"/>
    </row>
    <row r="4" spans="1:9" s="60" customFormat="1" ht="15" customHeight="1" thickBot="1" x14ac:dyDescent="0.3">
      <c r="A4" s="1061"/>
      <c r="B4" s="1061"/>
      <c r="C4" s="1061"/>
      <c r="D4" s="1061"/>
      <c r="E4" s="1001"/>
      <c r="F4" s="83"/>
      <c r="G4" s="83"/>
      <c r="H4" s="83"/>
      <c r="I4" s="83" t="s">
        <v>15</v>
      </c>
    </row>
    <row r="5" spans="1:9" s="60" customFormat="1" ht="24" customHeight="1" x14ac:dyDescent="0.3">
      <c r="A5" s="1968" t="s">
        <v>29</v>
      </c>
      <c r="B5" s="1969"/>
      <c r="C5" s="1969"/>
      <c r="D5" s="1969"/>
      <c r="E5" s="1969"/>
      <c r="F5" s="1864" t="s">
        <v>514</v>
      </c>
      <c r="G5" s="1864"/>
      <c r="H5" s="147" t="s">
        <v>305</v>
      </c>
      <c r="I5" s="332" t="s">
        <v>90</v>
      </c>
    </row>
    <row r="6" spans="1:9" s="60" customFormat="1" ht="43.5" customHeight="1" thickBot="1" x14ac:dyDescent="0.35">
      <c r="A6" s="975"/>
      <c r="B6" s="1063"/>
      <c r="C6" s="1063"/>
      <c r="D6" s="1063"/>
      <c r="E6" s="1063"/>
      <c r="F6" s="260" t="s">
        <v>184</v>
      </c>
      <c r="G6" s="260" t="s">
        <v>88</v>
      </c>
      <c r="H6" s="261" t="s">
        <v>89</v>
      </c>
      <c r="I6" s="262" t="s">
        <v>91</v>
      </c>
    </row>
    <row r="7" spans="1:9" s="60" customFormat="1" ht="24" customHeight="1" x14ac:dyDescent="0.3">
      <c r="A7" s="1043" t="s">
        <v>640</v>
      </c>
      <c r="B7" s="1064"/>
      <c r="C7" s="1064"/>
      <c r="D7" s="1064"/>
      <c r="E7" s="1065"/>
      <c r="F7" s="526">
        <v>581388</v>
      </c>
      <c r="G7" s="526">
        <v>603129</v>
      </c>
      <c r="H7" s="527">
        <v>559966</v>
      </c>
      <c r="I7" s="528">
        <f>H7/G7*100</f>
        <v>92.843487877386096</v>
      </c>
    </row>
    <row r="8" spans="1:9" s="60" customFormat="1" ht="24" customHeight="1" x14ac:dyDescent="0.3">
      <c r="A8" s="958" t="s">
        <v>641</v>
      </c>
      <c r="B8" s="1066"/>
      <c r="C8" s="1066"/>
      <c r="D8" s="1066"/>
      <c r="E8" s="1067"/>
      <c r="F8" s="380">
        <v>530000</v>
      </c>
      <c r="G8" s="380">
        <v>622359</v>
      </c>
      <c r="H8" s="281">
        <v>573707</v>
      </c>
      <c r="I8" s="343">
        <f t="shared" ref="I8:I26" si="0">H8/G8*100</f>
        <v>92.182646993134185</v>
      </c>
    </row>
    <row r="9" spans="1:9" s="60" customFormat="1" ht="24" customHeight="1" x14ac:dyDescent="0.3">
      <c r="A9" s="958" t="s">
        <v>299</v>
      </c>
      <c r="B9" s="1066"/>
      <c r="C9" s="1066"/>
      <c r="D9" s="1066"/>
      <c r="E9" s="1067"/>
      <c r="F9" s="380"/>
      <c r="G9" s="380">
        <v>4027</v>
      </c>
      <c r="H9" s="281">
        <v>94</v>
      </c>
      <c r="I9" s="343">
        <f t="shared" si="0"/>
        <v>2.3342438539855972</v>
      </c>
    </row>
    <row r="10" spans="1:9" s="60" customFormat="1" ht="24" customHeight="1" x14ac:dyDescent="0.3">
      <c r="A10" s="958" t="s">
        <v>274</v>
      </c>
      <c r="B10" s="1066"/>
      <c r="C10" s="1066"/>
      <c r="D10" s="1066"/>
      <c r="E10" s="1067"/>
      <c r="F10" s="380">
        <v>10000</v>
      </c>
      <c r="G10" s="380">
        <v>1636</v>
      </c>
      <c r="H10" s="281">
        <v>1636</v>
      </c>
      <c r="I10" s="343">
        <f t="shared" si="0"/>
        <v>100</v>
      </c>
    </row>
    <row r="11" spans="1:9" s="60" customFormat="1" ht="24" customHeight="1" x14ac:dyDescent="0.3">
      <c r="A11" s="958" t="s">
        <v>379</v>
      </c>
      <c r="B11" s="1066"/>
      <c r="C11" s="1066"/>
      <c r="D11" s="1066"/>
      <c r="E11" s="1067"/>
      <c r="F11" s="380">
        <v>600000</v>
      </c>
      <c r="G11" s="380">
        <v>678826</v>
      </c>
      <c r="H11" s="281">
        <v>618927</v>
      </c>
      <c r="I11" s="343">
        <f t="shared" si="0"/>
        <v>91.176089307127313</v>
      </c>
    </row>
    <row r="12" spans="1:9" s="60" customFormat="1" ht="24" customHeight="1" x14ac:dyDescent="0.3">
      <c r="A12" s="479" t="s">
        <v>1201</v>
      </c>
      <c r="B12" s="1068"/>
      <c r="C12" s="1068"/>
      <c r="D12" s="1068"/>
      <c r="E12" s="1069"/>
      <c r="F12" s="500">
        <v>15000</v>
      </c>
      <c r="G12" s="500">
        <v>16125</v>
      </c>
      <c r="H12" s="501">
        <v>7683</v>
      </c>
      <c r="I12" s="504">
        <f t="shared" si="0"/>
        <v>47.646511627906982</v>
      </c>
    </row>
    <row r="13" spans="1:9" s="60" customFormat="1" ht="24" customHeight="1" x14ac:dyDescent="0.3">
      <c r="A13" s="958" t="s">
        <v>642</v>
      </c>
      <c r="B13" s="1066"/>
      <c r="C13" s="1066"/>
      <c r="D13" s="1066"/>
      <c r="E13" s="1067"/>
      <c r="F13" s="380">
        <v>1200</v>
      </c>
      <c r="G13" s="380">
        <v>1964</v>
      </c>
      <c r="H13" s="281">
        <v>918</v>
      </c>
      <c r="I13" s="343">
        <f t="shared" si="0"/>
        <v>46.741344195519346</v>
      </c>
    </row>
    <row r="14" spans="1:9" s="60" customFormat="1" ht="24" customHeight="1" x14ac:dyDescent="0.3">
      <c r="A14" s="958" t="s">
        <v>126</v>
      </c>
      <c r="B14" s="1066"/>
      <c r="C14" s="1066"/>
      <c r="D14" s="1066"/>
      <c r="E14" s="1067"/>
      <c r="F14" s="380">
        <v>2400</v>
      </c>
      <c r="G14" s="380">
        <v>3721</v>
      </c>
      <c r="H14" s="281">
        <v>1785</v>
      </c>
      <c r="I14" s="343">
        <f t="shared" si="0"/>
        <v>47.970975544208542</v>
      </c>
    </row>
    <row r="15" spans="1:9" s="60" customFormat="1" ht="24" customHeight="1" x14ac:dyDescent="0.3">
      <c r="A15" s="958" t="s">
        <v>87</v>
      </c>
      <c r="B15" s="1066"/>
      <c r="C15" s="1066"/>
      <c r="D15" s="1066"/>
      <c r="E15" s="1067"/>
      <c r="F15" s="380">
        <v>3000</v>
      </c>
      <c r="G15" s="380">
        <v>4873</v>
      </c>
      <c r="H15" s="281">
        <v>2324</v>
      </c>
      <c r="I15" s="343">
        <f t="shared" si="0"/>
        <v>47.691360558177713</v>
      </c>
    </row>
    <row r="16" spans="1:9" s="60" customFormat="1" ht="24" customHeight="1" x14ac:dyDescent="0.3">
      <c r="A16" s="958" t="s">
        <v>285</v>
      </c>
      <c r="B16" s="1066"/>
      <c r="C16" s="1066"/>
      <c r="D16" s="1066"/>
      <c r="E16" s="1067"/>
      <c r="F16" s="380">
        <v>3500</v>
      </c>
      <c r="G16" s="380">
        <v>6462</v>
      </c>
      <c r="H16" s="281">
        <v>6066</v>
      </c>
      <c r="I16" s="343">
        <f t="shared" si="0"/>
        <v>93.871866295264624</v>
      </c>
    </row>
    <row r="17" spans="1:9" s="60" customFormat="1" ht="24" customHeight="1" x14ac:dyDescent="0.3">
      <c r="A17" s="958" t="s">
        <v>181</v>
      </c>
      <c r="B17" s="1066"/>
      <c r="C17" s="1066"/>
      <c r="D17" s="1066"/>
      <c r="E17" s="1067"/>
      <c r="F17" s="382">
        <v>4000</v>
      </c>
      <c r="G17" s="382">
        <v>13860</v>
      </c>
      <c r="H17" s="267">
        <v>460</v>
      </c>
      <c r="I17" s="343">
        <f t="shared" si="0"/>
        <v>3.318903318903319</v>
      </c>
    </row>
    <row r="18" spans="1:9" s="60" customFormat="1" ht="24" customHeight="1" x14ac:dyDescent="0.3">
      <c r="A18" s="1070" t="s">
        <v>58</v>
      </c>
      <c r="B18" s="1071"/>
      <c r="C18" s="1071"/>
      <c r="D18" s="1071"/>
      <c r="E18" s="1072"/>
      <c r="F18" s="380">
        <v>60000</v>
      </c>
      <c r="G18" s="380">
        <v>109818</v>
      </c>
      <c r="H18" s="383">
        <v>97718</v>
      </c>
      <c r="I18" s="343">
        <f t="shared" si="0"/>
        <v>88.981769837367281</v>
      </c>
    </row>
    <row r="19" spans="1:9" s="60" customFormat="1" ht="24" customHeight="1" thickBot="1" x14ac:dyDescent="0.35">
      <c r="A19" s="498" t="s">
        <v>362</v>
      </c>
      <c r="B19" s="1073"/>
      <c r="C19" s="1073"/>
      <c r="D19" s="1073"/>
      <c r="E19" s="1074"/>
      <c r="F19" s="381"/>
      <c r="G19" s="381">
        <v>50</v>
      </c>
      <c r="H19" s="139"/>
      <c r="I19" s="503">
        <f t="shared" si="0"/>
        <v>0</v>
      </c>
    </row>
    <row r="20" spans="1:9" s="60" customFormat="1" ht="24" customHeight="1" thickBot="1" x14ac:dyDescent="0.35">
      <c r="A20" s="1965" t="s">
        <v>98</v>
      </c>
      <c r="B20" s="1966"/>
      <c r="C20" s="1966"/>
      <c r="D20" s="1966"/>
      <c r="E20" s="1967"/>
      <c r="F20" s="335">
        <f>SUM(F7:F19)</f>
        <v>1810488</v>
      </c>
      <c r="G20" s="335">
        <f>SUM(G7:G19)</f>
        <v>2066850</v>
      </c>
      <c r="H20" s="335">
        <f>SUM(H7:H19)</f>
        <v>1871284</v>
      </c>
      <c r="I20" s="278">
        <f t="shared" si="0"/>
        <v>90.537968406028497</v>
      </c>
    </row>
    <row r="21" spans="1:9" s="60" customFormat="1" ht="24" customHeight="1" x14ac:dyDescent="0.3">
      <c r="A21" s="1038" t="s">
        <v>97</v>
      </c>
      <c r="B21" s="1076"/>
      <c r="C21" s="1076"/>
      <c r="D21" s="1076"/>
      <c r="E21" s="1076"/>
      <c r="F21" s="385">
        <v>1000</v>
      </c>
      <c r="G21" s="385">
        <v>1550</v>
      </c>
      <c r="H21" s="385">
        <v>310</v>
      </c>
      <c r="I21" s="138">
        <f t="shared" si="0"/>
        <v>20</v>
      </c>
    </row>
    <row r="22" spans="1:9" s="60" customFormat="1" ht="24" customHeight="1" x14ac:dyDescent="0.3">
      <c r="A22" s="1041" t="s">
        <v>425</v>
      </c>
      <c r="B22" s="1077"/>
      <c r="C22" s="1077"/>
      <c r="D22" s="1077"/>
      <c r="E22" s="1077"/>
      <c r="F22" s="386">
        <v>100</v>
      </c>
      <c r="G22" s="386">
        <v>0</v>
      </c>
      <c r="H22" s="386"/>
      <c r="I22" s="140"/>
    </row>
    <row r="23" spans="1:9" s="60" customFormat="1" ht="24" customHeight="1" x14ac:dyDescent="0.3">
      <c r="A23" s="1041" t="s">
        <v>477</v>
      </c>
      <c r="B23" s="1077"/>
      <c r="C23" s="1077"/>
      <c r="D23" s="1077"/>
      <c r="E23" s="1077"/>
      <c r="F23" s="386"/>
      <c r="G23" s="386">
        <v>5000</v>
      </c>
      <c r="H23" s="386">
        <v>4115</v>
      </c>
      <c r="I23" s="140">
        <f t="shared" si="0"/>
        <v>82.3</v>
      </c>
    </row>
    <row r="24" spans="1:9" s="60" customFormat="1" ht="24" customHeight="1" x14ac:dyDescent="0.3">
      <c r="A24" s="498" t="s">
        <v>478</v>
      </c>
      <c r="B24" s="1073"/>
      <c r="C24" s="1073"/>
      <c r="D24" s="1073"/>
      <c r="E24" s="1073"/>
      <c r="F24" s="387"/>
      <c r="G24" s="387">
        <v>5194</v>
      </c>
      <c r="H24" s="387">
        <v>2257</v>
      </c>
      <c r="I24" s="140">
        <f t="shared" si="0"/>
        <v>43.453985367732002</v>
      </c>
    </row>
    <row r="25" spans="1:9" s="60" customFormat="1" ht="24" customHeight="1" thickBot="1" x14ac:dyDescent="0.35">
      <c r="A25" s="1039" t="s">
        <v>208</v>
      </c>
      <c r="B25" s="1001"/>
      <c r="C25" s="1001"/>
      <c r="D25" s="1001"/>
      <c r="E25" s="1001"/>
      <c r="F25" s="388">
        <v>1900</v>
      </c>
      <c r="G25" s="388">
        <v>3738</v>
      </c>
      <c r="H25" s="388">
        <v>188</v>
      </c>
      <c r="I25" s="502">
        <f t="shared" si="0"/>
        <v>5.0294275013376142</v>
      </c>
    </row>
    <row r="26" spans="1:9" s="60" customFormat="1" ht="47.25" customHeight="1" thickBot="1" x14ac:dyDescent="0.35">
      <c r="A26" s="1962" t="s">
        <v>330</v>
      </c>
      <c r="B26" s="1963"/>
      <c r="C26" s="1963"/>
      <c r="D26" s="1963"/>
      <c r="E26" s="1964"/>
      <c r="F26" s="159">
        <f>+F20+F21+F25+F22+F23+F24</f>
        <v>1813488</v>
      </c>
      <c r="G26" s="159">
        <f t="shared" ref="G26:H26" si="1">+G20+G21+G25+G22+G23+G24</f>
        <v>2082332</v>
      </c>
      <c r="H26" s="159">
        <f t="shared" si="1"/>
        <v>1878154</v>
      </c>
      <c r="I26" s="278">
        <f t="shared" si="0"/>
        <v>90.194743201372304</v>
      </c>
    </row>
    <row r="28" spans="1:9" ht="15" customHeight="1" x14ac:dyDescent="0.2">
      <c r="G28" s="3"/>
      <c r="H28" s="3"/>
    </row>
    <row r="29" spans="1:9" ht="15" customHeight="1" x14ac:dyDescent="0.2">
      <c r="G29" s="3"/>
      <c r="H29" s="3"/>
    </row>
    <row r="30" spans="1:9" ht="15" customHeight="1" x14ac:dyDescent="0.2">
      <c r="H30" s="3"/>
    </row>
    <row r="31" spans="1:9" ht="15" customHeight="1" x14ac:dyDescent="0.2">
      <c r="H31" s="3"/>
    </row>
    <row r="32" spans="1:9" ht="15" customHeight="1" x14ac:dyDescent="0.2">
      <c r="H32" s="3"/>
    </row>
    <row r="48" spans="6:6" ht="15" customHeight="1" x14ac:dyDescent="0.2">
      <c r="F48" s="15"/>
    </row>
    <row r="49" spans="6:6" ht="15" customHeight="1" x14ac:dyDescent="0.2">
      <c r="F49" s="15"/>
    </row>
  </sheetData>
  <mergeCells count="6">
    <mergeCell ref="A26:E26"/>
    <mergeCell ref="A20:E20"/>
    <mergeCell ref="A1:F1"/>
    <mergeCell ref="A5:E5"/>
    <mergeCell ref="F5:G5"/>
    <mergeCell ref="A2:I2"/>
  </mergeCells>
  <phoneticPr fontId="0" type="noConversion"/>
  <printOptions horizontalCentered="1" verticalCentered="1"/>
  <pageMargins left="0.27559055118110237" right="0" top="0.59055118110236227" bottom="0.59055118110236227" header="0.31496062992125984" footer="0.31496062992125984"/>
  <pageSetup paperSize="9" scale="60" orientation="portrait" r:id="rId1"/>
  <headerFooter alignWithMargins="0">
    <oddHeader xml:space="preserve">&amp;L
&amp;R&amp;"Calibri,Félkövér"&amp;11 &amp;12 15. melléklet a 10/2024.(V.31.) önkormányzati rendelethez 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/>
  <dimension ref="A1:E153"/>
  <sheetViews>
    <sheetView tabSelected="1" view="pageLayout" zoomScaleNormal="100" workbookViewId="0">
      <selection activeCell="G4" sqref="G4"/>
    </sheetView>
  </sheetViews>
  <sheetFormatPr defaultColWidth="12" defaultRowHeight="15" customHeight="1" x14ac:dyDescent="0.2"/>
  <cols>
    <col min="1" max="1" width="93" style="1" customWidth="1"/>
    <col min="2" max="2" width="26.33203125" style="1" customWidth="1"/>
    <col min="3" max="4" width="26.33203125" style="3" customWidth="1"/>
    <col min="5" max="5" width="22.6640625" style="1" customWidth="1"/>
    <col min="6" max="16384" width="12" style="1"/>
  </cols>
  <sheetData>
    <row r="1" spans="1:5" s="60" customFormat="1" ht="22.5" customHeight="1" x14ac:dyDescent="0.25">
      <c r="A1" s="1957"/>
      <c r="B1" s="1957"/>
      <c r="C1" s="82"/>
      <c r="D1" s="82"/>
    </row>
    <row r="2" spans="1:5" s="60" customFormat="1" ht="24" customHeight="1" x14ac:dyDescent="0.25">
      <c r="A2" s="1884" t="s">
        <v>275</v>
      </c>
      <c r="B2" s="1884"/>
      <c r="C2" s="1884"/>
      <c r="D2" s="1884"/>
      <c r="E2" s="1884"/>
    </row>
    <row r="3" spans="1:5" s="60" customFormat="1" ht="12" customHeight="1" x14ac:dyDescent="0.25">
      <c r="A3" s="967"/>
      <c r="B3" s="59"/>
      <c r="C3" s="82"/>
      <c r="D3" s="82"/>
    </row>
    <row r="4" spans="1:5" s="60" customFormat="1" ht="15" customHeight="1" thickBot="1" x14ac:dyDescent="0.3">
      <c r="A4" s="1078"/>
      <c r="B4" s="83"/>
      <c r="C4" s="64"/>
      <c r="D4" s="64"/>
      <c r="E4" s="83" t="s">
        <v>15</v>
      </c>
    </row>
    <row r="5" spans="1:5" s="60" customFormat="1" ht="24" customHeight="1" x14ac:dyDescent="0.3">
      <c r="A5" s="1079" t="s">
        <v>29</v>
      </c>
      <c r="B5" s="1864" t="s">
        <v>514</v>
      </c>
      <c r="C5" s="1864"/>
      <c r="D5" s="147" t="s">
        <v>305</v>
      </c>
      <c r="E5" s="106" t="s">
        <v>90</v>
      </c>
    </row>
    <row r="6" spans="1:5" s="60" customFormat="1" ht="36" customHeight="1" thickBot="1" x14ac:dyDescent="0.35">
      <c r="A6" s="1080"/>
      <c r="B6" s="260" t="s">
        <v>184</v>
      </c>
      <c r="C6" s="260" t="s">
        <v>88</v>
      </c>
      <c r="D6" s="261" t="s">
        <v>89</v>
      </c>
      <c r="E6" s="85" t="s">
        <v>91</v>
      </c>
    </row>
    <row r="7" spans="1:5" s="60" customFormat="1" ht="24" customHeight="1" x14ac:dyDescent="0.3">
      <c r="A7" s="959" t="s">
        <v>59</v>
      </c>
      <c r="B7" s="382">
        <v>40000</v>
      </c>
      <c r="C7" s="382">
        <v>40844</v>
      </c>
      <c r="D7" s="267">
        <v>40844</v>
      </c>
      <c r="E7" s="343">
        <f>+D7/C7*100</f>
        <v>100</v>
      </c>
    </row>
    <row r="8" spans="1:5" s="60" customFormat="1" ht="24" customHeight="1" x14ac:dyDescent="0.3">
      <c r="A8" s="1081" t="s">
        <v>185</v>
      </c>
      <c r="B8" s="382">
        <v>25000</v>
      </c>
      <c r="C8" s="382">
        <v>0</v>
      </c>
      <c r="D8" s="267"/>
      <c r="E8" s="343"/>
    </row>
    <row r="9" spans="1:5" s="60" customFormat="1" ht="24" customHeight="1" x14ac:dyDescent="0.3">
      <c r="A9" s="1081" t="s">
        <v>186</v>
      </c>
      <c r="B9" s="382">
        <v>17000</v>
      </c>
      <c r="C9" s="382">
        <v>14847</v>
      </c>
      <c r="D9" s="267">
        <v>14847</v>
      </c>
      <c r="E9" s="343">
        <f t="shared" ref="E9:E40" si="0">+D9/C9*100</f>
        <v>100</v>
      </c>
    </row>
    <row r="10" spans="1:5" s="60" customFormat="1" ht="24" customHeight="1" x14ac:dyDescent="0.3">
      <c r="A10" s="1081" t="s">
        <v>38</v>
      </c>
      <c r="B10" s="382">
        <v>8000</v>
      </c>
      <c r="C10" s="382">
        <v>1</v>
      </c>
      <c r="D10" s="267"/>
      <c r="E10" s="343">
        <f t="shared" si="0"/>
        <v>0</v>
      </c>
    </row>
    <row r="11" spans="1:5" s="60" customFormat="1" ht="24" customHeight="1" x14ac:dyDescent="0.3">
      <c r="A11" s="1081" t="s">
        <v>308</v>
      </c>
      <c r="B11" s="382">
        <v>118700</v>
      </c>
      <c r="C11" s="382">
        <v>119055</v>
      </c>
      <c r="D11" s="267">
        <v>66298</v>
      </c>
      <c r="E11" s="343">
        <f t="shared" si="0"/>
        <v>55.686867414220323</v>
      </c>
    </row>
    <row r="12" spans="1:5" s="60" customFormat="1" ht="24" customHeight="1" x14ac:dyDescent="0.3">
      <c r="A12" s="1081" t="s">
        <v>286</v>
      </c>
      <c r="B12" s="382">
        <v>25000</v>
      </c>
      <c r="C12" s="382">
        <v>4791</v>
      </c>
      <c r="D12" s="267">
        <v>4791</v>
      </c>
      <c r="E12" s="343">
        <f t="shared" si="0"/>
        <v>100</v>
      </c>
    </row>
    <row r="13" spans="1:5" s="60" customFormat="1" ht="24" customHeight="1" x14ac:dyDescent="0.3">
      <c r="A13" s="1081" t="s">
        <v>363</v>
      </c>
      <c r="B13" s="382">
        <v>6000</v>
      </c>
      <c r="C13" s="382">
        <v>13000</v>
      </c>
      <c r="D13" s="267">
        <v>68</v>
      </c>
      <c r="E13" s="343">
        <f t="shared" si="0"/>
        <v>0.52307692307692311</v>
      </c>
    </row>
    <row r="14" spans="1:5" s="60" customFormat="1" ht="24" customHeight="1" x14ac:dyDescent="0.3">
      <c r="A14" s="1081" t="s">
        <v>364</v>
      </c>
      <c r="B14" s="382">
        <v>5000</v>
      </c>
      <c r="C14" s="382">
        <v>0</v>
      </c>
      <c r="D14" s="267"/>
      <c r="E14" s="343"/>
    </row>
    <row r="15" spans="1:5" s="60" customFormat="1" ht="24" customHeight="1" x14ac:dyDescent="0.3">
      <c r="A15" s="1081" t="s">
        <v>96</v>
      </c>
      <c r="B15" s="382">
        <v>800</v>
      </c>
      <c r="C15" s="382">
        <v>1465</v>
      </c>
      <c r="D15" s="267">
        <v>993</v>
      </c>
      <c r="E15" s="343">
        <f t="shared" si="0"/>
        <v>67.781569965870304</v>
      </c>
    </row>
    <row r="16" spans="1:5" s="60" customFormat="1" ht="24" customHeight="1" x14ac:dyDescent="0.3">
      <c r="A16" s="1081" t="s">
        <v>187</v>
      </c>
      <c r="B16" s="382">
        <v>4000</v>
      </c>
      <c r="C16" s="382">
        <v>0</v>
      </c>
      <c r="D16" s="267"/>
      <c r="E16" s="343"/>
    </row>
    <row r="17" spans="1:5" s="60" customFormat="1" ht="24" customHeight="1" x14ac:dyDescent="0.3">
      <c r="A17" s="1081" t="s">
        <v>39</v>
      </c>
      <c r="B17" s="382">
        <v>6000</v>
      </c>
      <c r="C17" s="382">
        <v>994</v>
      </c>
      <c r="D17" s="267">
        <v>994</v>
      </c>
      <c r="E17" s="343">
        <f t="shared" si="0"/>
        <v>100</v>
      </c>
    </row>
    <row r="18" spans="1:5" s="60" customFormat="1" ht="24" customHeight="1" x14ac:dyDescent="0.3">
      <c r="A18" s="1081" t="s">
        <v>49</v>
      </c>
      <c r="B18" s="382"/>
      <c r="C18" s="382">
        <v>2000</v>
      </c>
      <c r="D18" s="267"/>
      <c r="E18" s="343">
        <f t="shared" si="0"/>
        <v>0</v>
      </c>
    </row>
    <row r="19" spans="1:5" s="60" customFormat="1" ht="24" customHeight="1" x14ac:dyDescent="0.3">
      <c r="A19" s="1081" t="s">
        <v>188</v>
      </c>
      <c r="B19" s="382">
        <v>130000</v>
      </c>
      <c r="C19" s="382">
        <v>180321</v>
      </c>
      <c r="D19" s="267">
        <v>92187</v>
      </c>
      <c r="E19" s="343">
        <f t="shared" si="0"/>
        <v>51.123829171311165</v>
      </c>
    </row>
    <row r="20" spans="1:5" s="60" customFormat="1" ht="24" customHeight="1" x14ac:dyDescent="0.3">
      <c r="A20" s="1081" t="s">
        <v>623</v>
      </c>
      <c r="B20" s="382">
        <v>46000</v>
      </c>
      <c r="C20" s="382">
        <v>55656</v>
      </c>
      <c r="D20" s="267">
        <v>45639</v>
      </c>
      <c r="E20" s="343">
        <f t="shared" si="0"/>
        <v>82.001940491591213</v>
      </c>
    </row>
    <row r="21" spans="1:5" s="60" customFormat="1" ht="24" customHeight="1" x14ac:dyDescent="0.3">
      <c r="A21" s="1081" t="s">
        <v>95</v>
      </c>
      <c r="B21" s="382">
        <v>18000</v>
      </c>
      <c r="C21" s="382">
        <v>18000</v>
      </c>
      <c r="D21" s="267">
        <v>18000</v>
      </c>
      <c r="E21" s="343">
        <f t="shared" si="0"/>
        <v>100</v>
      </c>
    </row>
    <row r="22" spans="1:5" s="60" customFormat="1" ht="41.25" customHeight="1" x14ac:dyDescent="0.3">
      <c r="A22" s="1082" t="s">
        <v>643</v>
      </c>
      <c r="B22" s="382">
        <v>6000</v>
      </c>
      <c r="C22" s="382">
        <v>6438</v>
      </c>
      <c r="D22" s="267">
        <v>3452</v>
      </c>
      <c r="E22" s="343">
        <f t="shared" si="0"/>
        <v>53.619136377757073</v>
      </c>
    </row>
    <row r="23" spans="1:5" s="60" customFormat="1" ht="24" customHeight="1" x14ac:dyDescent="0.3">
      <c r="A23" s="1081" t="s">
        <v>624</v>
      </c>
      <c r="B23" s="382">
        <v>4000</v>
      </c>
      <c r="C23" s="382">
        <v>35935</v>
      </c>
      <c r="D23" s="267">
        <v>24893</v>
      </c>
      <c r="E23" s="343">
        <f t="shared" si="0"/>
        <v>69.272297203283699</v>
      </c>
    </row>
    <row r="24" spans="1:5" s="60" customFormat="1" ht="24" customHeight="1" x14ac:dyDescent="0.3">
      <c r="A24" s="1081" t="s">
        <v>625</v>
      </c>
      <c r="B24" s="382"/>
      <c r="C24" s="382">
        <v>4464</v>
      </c>
      <c r="D24" s="267"/>
      <c r="E24" s="343">
        <f t="shared" si="0"/>
        <v>0</v>
      </c>
    </row>
    <row r="25" spans="1:5" s="60" customFormat="1" ht="41.25" customHeight="1" x14ac:dyDescent="0.3">
      <c r="A25" s="1082" t="s">
        <v>287</v>
      </c>
      <c r="B25" s="382">
        <v>3000</v>
      </c>
      <c r="C25" s="382">
        <v>3151</v>
      </c>
      <c r="D25" s="267"/>
      <c r="E25" s="343">
        <f t="shared" si="0"/>
        <v>0</v>
      </c>
    </row>
    <row r="26" spans="1:5" s="60" customFormat="1" ht="24" customHeight="1" x14ac:dyDescent="0.3">
      <c r="A26" s="1081" t="s">
        <v>242</v>
      </c>
      <c r="B26" s="382">
        <v>20000</v>
      </c>
      <c r="C26" s="382">
        <v>53199</v>
      </c>
      <c r="D26" s="267">
        <v>41304</v>
      </c>
      <c r="E26" s="343">
        <f t="shared" si="0"/>
        <v>77.640557153329951</v>
      </c>
    </row>
    <row r="27" spans="1:5" s="60" customFormat="1" ht="24" customHeight="1" x14ac:dyDescent="0.3">
      <c r="A27" s="1081" t="s">
        <v>544</v>
      </c>
      <c r="B27" s="382">
        <v>50000</v>
      </c>
      <c r="C27" s="382">
        <v>50000</v>
      </c>
      <c r="D27" s="267">
        <v>23933</v>
      </c>
      <c r="E27" s="343">
        <f t="shared" si="0"/>
        <v>47.866</v>
      </c>
    </row>
    <row r="28" spans="1:5" s="60" customFormat="1" ht="24" customHeight="1" x14ac:dyDescent="0.3">
      <c r="A28" s="1081" t="s">
        <v>657</v>
      </c>
      <c r="B28" s="382">
        <v>1500</v>
      </c>
      <c r="C28" s="382">
        <v>2133</v>
      </c>
      <c r="D28" s="267">
        <v>17</v>
      </c>
      <c r="E28" s="343">
        <f t="shared" si="0"/>
        <v>0.79699953117674627</v>
      </c>
    </row>
    <row r="29" spans="1:5" s="60" customFormat="1" ht="24" customHeight="1" x14ac:dyDescent="0.3">
      <c r="A29" s="1081" t="s">
        <v>431</v>
      </c>
      <c r="B29" s="382"/>
      <c r="C29" s="382">
        <v>10000</v>
      </c>
      <c r="D29" s="267">
        <v>10000</v>
      </c>
      <c r="E29" s="343">
        <f t="shared" si="0"/>
        <v>100</v>
      </c>
    </row>
    <row r="30" spans="1:5" s="60" customFormat="1" ht="24" customHeight="1" x14ac:dyDescent="0.3">
      <c r="A30" s="1081" t="s">
        <v>548</v>
      </c>
      <c r="B30" s="382"/>
      <c r="C30" s="382">
        <v>22300</v>
      </c>
      <c r="D30" s="267"/>
      <c r="E30" s="343">
        <f t="shared" si="0"/>
        <v>0</v>
      </c>
    </row>
    <row r="31" spans="1:5" s="60" customFormat="1" ht="24" customHeight="1" x14ac:dyDescent="0.3">
      <c r="A31" s="1081" t="s">
        <v>506</v>
      </c>
      <c r="B31" s="382"/>
      <c r="C31" s="382">
        <v>25000</v>
      </c>
      <c r="D31" s="267">
        <v>25000</v>
      </c>
      <c r="E31" s="343">
        <f t="shared" si="0"/>
        <v>100</v>
      </c>
    </row>
    <row r="32" spans="1:5" s="60" customFormat="1" ht="24" customHeight="1" x14ac:dyDescent="0.3">
      <c r="A32" s="1081" t="s">
        <v>511</v>
      </c>
      <c r="B32" s="382"/>
      <c r="C32" s="382">
        <v>21000</v>
      </c>
      <c r="D32" s="267">
        <v>21000</v>
      </c>
      <c r="E32" s="343">
        <f t="shared" si="0"/>
        <v>100</v>
      </c>
    </row>
    <row r="33" spans="1:5" s="60" customFormat="1" ht="24" customHeight="1" x14ac:dyDescent="0.3">
      <c r="A33" s="1081" t="s">
        <v>512</v>
      </c>
      <c r="B33" s="382"/>
      <c r="C33" s="382">
        <v>120414</v>
      </c>
      <c r="D33" s="267">
        <v>120414</v>
      </c>
      <c r="E33" s="343">
        <f t="shared" si="0"/>
        <v>100</v>
      </c>
    </row>
    <row r="34" spans="1:5" s="60" customFormat="1" ht="24" customHeight="1" x14ac:dyDescent="0.3">
      <c r="A34" s="1081" t="s">
        <v>563</v>
      </c>
      <c r="B34" s="382"/>
      <c r="C34" s="382">
        <v>28000</v>
      </c>
      <c r="D34" s="267"/>
      <c r="E34" s="343">
        <f t="shared" si="0"/>
        <v>0</v>
      </c>
    </row>
    <row r="35" spans="1:5" s="60" customFormat="1" ht="24" customHeight="1" x14ac:dyDescent="0.3">
      <c r="A35" s="1081" t="s">
        <v>579</v>
      </c>
      <c r="B35" s="382"/>
      <c r="C35" s="382">
        <v>29586</v>
      </c>
      <c r="D35" s="267">
        <v>27159</v>
      </c>
      <c r="E35" s="343">
        <f t="shared" si="0"/>
        <v>91.796795781788688</v>
      </c>
    </row>
    <row r="36" spans="1:5" s="60" customFormat="1" ht="41.25" customHeight="1" x14ac:dyDescent="0.3">
      <c r="A36" s="1082" t="s">
        <v>591</v>
      </c>
      <c r="B36" s="382"/>
      <c r="C36" s="382">
        <v>99000</v>
      </c>
      <c r="D36" s="267"/>
      <c r="E36" s="343">
        <f t="shared" si="0"/>
        <v>0</v>
      </c>
    </row>
    <row r="37" spans="1:5" s="60" customFormat="1" ht="24" customHeight="1" x14ac:dyDescent="0.3">
      <c r="A37" s="1070" t="s">
        <v>545</v>
      </c>
      <c r="B37" s="380">
        <v>6000</v>
      </c>
      <c r="C37" s="380">
        <v>6000</v>
      </c>
      <c r="D37" s="266"/>
      <c r="E37" s="343">
        <f t="shared" si="0"/>
        <v>0</v>
      </c>
    </row>
    <row r="38" spans="1:5" s="60" customFormat="1" ht="24" customHeight="1" x14ac:dyDescent="0.3">
      <c r="A38" s="1070" t="s">
        <v>592</v>
      </c>
      <c r="B38" s="380"/>
      <c r="C38" s="380">
        <v>400000</v>
      </c>
      <c r="D38" s="266"/>
      <c r="E38" s="343">
        <f t="shared" si="0"/>
        <v>0</v>
      </c>
    </row>
    <row r="39" spans="1:5" s="60" customFormat="1" ht="24" customHeight="1" thickBot="1" x14ac:dyDescent="0.35">
      <c r="A39" s="1070" t="s">
        <v>491</v>
      </c>
      <c r="B39" s="380">
        <v>10000</v>
      </c>
      <c r="C39" s="380">
        <v>11999</v>
      </c>
      <c r="D39" s="266">
        <v>271</v>
      </c>
      <c r="E39" s="343">
        <f t="shared" si="0"/>
        <v>2.258521543461955</v>
      </c>
    </row>
    <row r="40" spans="1:5" s="60" customFormat="1" ht="24" customHeight="1" thickBot="1" x14ac:dyDescent="0.35">
      <c r="A40" s="1083" t="s">
        <v>331</v>
      </c>
      <c r="B40" s="335">
        <f>SUM(B7:B39)</f>
        <v>550000</v>
      </c>
      <c r="C40" s="335">
        <f>SUM(C7:C39)</f>
        <v>1379593</v>
      </c>
      <c r="D40" s="335">
        <f>SUM(D7:D39)</f>
        <v>582104</v>
      </c>
      <c r="E40" s="278">
        <f t="shared" si="0"/>
        <v>42.193893416391646</v>
      </c>
    </row>
    <row r="41" spans="1:5" ht="15" customHeight="1" x14ac:dyDescent="0.2">
      <c r="B41" s="5"/>
    </row>
    <row r="42" spans="1:5" ht="15" hidden="1" customHeight="1" x14ac:dyDescent="0.2"/>
    <row r="44" spans="1:5" ht="15" customHeight="1" x14ac:dyDescent="0.2">
      <c r="B44" s="3"/>
    </row>
    <row r="45" spans="1:5" ht="15" customHeight="1" x14ac:dyDescent="0.2">
      <c r="B45" s="3"/>
    </row>
    <row r="46" spans="1:5" ht="15" customHeight="1" x14ac:dyDescent="0.2">
      <c r="B46" s="3"/>
    </row>
    <row r="47" spans="1:5" ht="15" customHeight="1" x14ac:dyDescent="0.2">
      <c r="B47" s="3"/>
    </row>
    <row r="48" spans="1:5" ht="15" customHeight="1" x14ac:dyDescent="0.2">
      <c r="B48" s="3"/>
    </row>
    <row r="49" spans="2:2" ht="15" customHeight="1" x14ac:dyDescent="0.2">
      <c r="B49" s="3"/>
    </row>
    <row r="50" spans="2:2" ht="15" customHeight="1" x14ac:dyDescent="0.2">
      <c r="B50" s="3"/>
    </row>
    <row r="51" spans="2:2" ht="15" customHeight="1" x14ac:dyDescent="0.2">
      <c r="B51" s="3"/>
    </row>
    <row r="52" spans="2:2" ht="15" customHeight="1" x14ac:dyDescent="0.2">
      <c r="B52" s="3"/>
    </row>
    <row r="53" spans="2:2" ht="15" customHeight="1" x14ac:dyDescent="0.2">
      <c r="B53" s="3"/>
    </row>
    <row r="54" spans="2:2" ht="15" customHeight="1" x14ac:dyDescent="0.2">
      <c r="B54" s="3"/>
    </row>
    <row r="55" spans="2:2" ht="15" customHeight="1" x14ac:dyDescent="0.2">
      <c r="B55" s="3"/>
    </row>
    <row r="56" spans="2:2" ht="15" customHeight="1" x14ac:dyDescent="0.2">
      <c r="B56" s="3"/>
    </row>
    <row r="57" spans="2:2" ht="15" customHeight="1" x14ac:dyDescent="0.2">
      <c r="B57" s="3"/>
    </row>
    <row r="58" spans="2:2" ht="15" customHeight="1" x14ac:dyDescent="0.2">
      <c r="B58" s="3"/>
    </row>
    <row r="59" spans="2:2" ht="15" customHeight="1" x14ac:dyDescent="0.2">
      <c r="B59" s="3"/>
    </row>
    <row r="60" spans="2:2" ht="15" customHeight="1" x14ac:dyDescent="0.2">
      <c r="B60" s="3"/>
    </row>
    <row r="61" spans="2:2" ht="15" customHeight="1" x14ac:dyDescent="0.2">
      <c r="B61" s="3"/>
    </row>
    <row r="62" spans="2:2" ht="15" customHeight="1" x14ac:dyDescent="0.2">
      <c r="B62" s="3"/>
    </row>
    <row r="63" spans="2:2" ht="15" customHeight="1" x14ac:dyDescent="0.2">
      <c r="B63" s="3"/>
    </row>
    <row r="64" spans="2:2" ht="15" customHeight="1" x14ac:dyDescent="0.2">
      <c r="B64" s="3"/>
    </row>
    <row r="65" spans="2:2" ht="15" customHeight="1" x14ac:dyDescent="0.2">
      <c r="B65" s="3"/>
    </row>
    <row r="66" spans="2:2" ht="15" customHeight="1" x14ac:dyDescent="0.2">
      <c r="B66" s="3"/>
    </row>
    <row r="67" spans="2:2" ht="15" customHeight="1" x14ac:dyDescent="0.2">
      <c r="B67" s="3"/>
    </row>
    <row r="68" spans="2:2" ht="15" customHeight="1" x14ac:dyDescent="0.2">
      <c r="B68" s="3"/>
    </row>
    <row r="69" spans="2:2" ht="15" customHeight="1" x14ac:dyDescent="0.2">
      <c r="B69" s="3"/>
    </row>
    <row r="70" spans="2:2" ht="15" customHeight="1" x14ac:dyDescent="0.2">
      <c r="B70" s="3"/>
    </row>
    <row r="71" spans="2:2" ht="15" customHeight="1" x14ac:dyDescent="0.2">
      <c r="B71" s="3"/>
    </row>
    <row r="72" spans="2:2" ht="15" customHeight="1" x14ac:dyDescent="0.2">
      <c r="B72" s="3"/>
    </row>
    <row r="73" spans="2:2" ht="15" customHeight="1" x14ac:dyDescent="0.2">
      <c r="B73" s="3"/>
    </row>
    <row r="74" spans="2:2" ht="15" customHeight="1" x14ac:dyDescent="0.2">
      <c r="B74" s="3"/>
    </row>
    <row r="75" spans="2:2" ht="15" customHeight="1" x14ac:dyDescent="0.2">
      <c r="B75" s="3"/>
    </row>
    <row r="76" spans="2:2" ht="15" customHeight="1" x14ac:dyDescent="0.2">
      <c r="B76" s="3"/>
    </row>
    <row r="77" spans="2:2" ht="15" customHeight="1" x14ac:dyDescent="0.2">
      <c r="B77" s="3"/>
    </row>
    <row r="78" spans="2:2" ht="15" customHeight="1" x14ac:dyDescent="0.2">
      <c r="B78" s="3"/>
    </row>
    <row r="79" spans="2:2" ht="15" customHeight="1" x14ac:dyDescent="0.2">
      <c r="B79" s="3"/>
    </row>
    <row r="80" spans="2:2" ht="15" customHeight="1" x14ac:dyDescent="0.2">
      <c r="B80" s="3"/>
    </row>
    <row r="81" spans="2:2" ht="15" customHeight="1" x14ac:dyDescent="0.2">
      <c r="B81" s="3"/>
    </row>
    <row r="82" spans="2:2" ht="15" customHeight="1" x14ac:dyDescent="0.2">
      <c r="B82" s="3"/>
    </row>
    <row r="83" spans="2:2" ht="15" customHeight="1" x14ac:dyDescent="0.2">
      <c r="B83" s="3"/>
    </row>
    <row r="84" spans="2:2" ht="15" customHeight="1" x14ac:dyDescent="0.2">
      <c r="B84" s="3"/>
    </row>
    <row r="85" spans="2:2" ht="15" customHeight="1" x14ac:dyDescent="0.2">
      <c r="B85" s="3"/>
    </row>
    <row r="86" spans="2:2" ht="15" customHeight="1" x14ac:dyDescent="0.2">
      <c r="B86" s="3"/>
    </row>
    <row r="87" spans="2:2" ht="15" customHeight="1" x14ac:dyDescent="0.2">
      <c r="B87" s="3"/>
    </row>
    <row r="88" spans="2:2" ht="15" customHeight="1" x14ac:dyDescent="0.2">
      <c r="B88" s="3"/>
    </row>
    <row r="89" spans="2:2" ht="15" customHeight="1" x14ac:dyDescent="0.2">
      <c r="B89" s="3"/>
    </row>
    <row r="90" spans="2:2" ht="15" customHeight="1" x14ac:dyDescent="0.2">
      <c r="B90" s="3"/>
    </row>
    <row r="91" spans="2:2" ht="15" customHeight="1" x14ac:dyDescent="0.2">
      <c r="B91" s="3"/>
    </row>
    <row r="92" spans="2:2" ht="15" customHeight="1" x14ac:dyDescent="0.2">
      <c r="B92" s="3"/>
    </row>
    <row r="93" spans="2:2" ht="15" customHeight="1" x14ac:dyDescent="0.2">
      <c r="B93" s="3"/>
    </row>
    <row r="94" spans="2:2" ht="15" customHeight="1" x14ac:dyDescent="0.2">
      <c r="B94" s="3"/>
    </row>
    <row r="95" spans="2:2" ht="15" customHeight="1" x14ac:dyDescent="0.2">
      <c r="B95" s="3"/>
    </row>
    <row r="96" spans="2:2" ht="15" customHeight="1" x14ac:dyDescent="0.2">
      <c r="B96" s="3"/>
    </row>
    <row r="97" spans="2:2" ht="15" customHeight="1" x14ac:dyDescent="0.2">
      <c r="B97" s="3"/>
    </row>
    <row r="98" spans="2:2" ht="15" customHeight="1" x14ac:dyDescent="0.2">
      <c r="B98" s="3"/>
    </row>
    <row r="99" spans="2:2" ht="15" customHeight="1" x14ac:dyDescent="0.2">
      <c r="B99" s="3"/>
    </row>
    <row r="100" spans="2:2" ht="15" customHeight="1" x14ac:dyDescent="0.2">
      <c r="B100" s="3"/>
    </row>
    <row r="101" spans="2:2" ht="15" customHeight="1" x14ac:dyDescent="0.2">
      <c r="B101" s="3"/>
    </row>
    <row r="102" spans="2:2" ht="15" customHeight="1" x14ac:dyDescent="0.2">
      <c r="B102" s="3"/>
    </row>
    <row r="103" spans="2:2" ht="15" customHeight="1" x14ac:dyDescent="0.2">
      <c r="B103" s="3"/>
    </row>
    <row r="104" spans="2:2" ht="15" customHeight="1" x14ac:dyDescent="0.2">
      <c r="B104" s="3"/>
    </row>
    <row r="105" spans="2:2" ht="15" customHeight="1" x14ac:dyDescent="0.2">
      <c r="B105" s="3"/>
    </row>
    <row r="106" spans="2:2" ht="15" customHeight="1" x14ac:dyDescent="0.2">
      <c r="B106" s="3"/>
    </row>
    <row r="107" spans="2:2" ht="15" customHeight="1" x14ac:dyDescent="0.2">
      <c r="B107" s="3"/>
    </row>
    <row r="108" spans="2:2" ht="15" customHeight="1" x14ac:dyDescent="0.2">
      <c r="B108" s="3"/>
    </row>
    <row r="109" spans="2:2" ht="15" customHeight="1" x14ac:dyDescent="0.2">
      <c r="B109" s="3"/>
    </row>
    <row r="110" spans="2:2" ht="15" customHeight="1" x14ac:dyDescent="0.2">
      <c r="B110" s="3"/>
    </row>
    <row r="111" spans="2:2" ht="15" customHeight="1" x14ac:dyDescent="0.2">
      <c r="B111" s="3"/>
    </row>
    <row r="112" spans="2:2" ht="15" customHeight="1" x14ac:dyDescent="0.2">
      <c r="B112" s="3"/>
    </row>
    <row r="113" spans="2:2" ht="15" customHeight="1" x14ac:dyDescent="0.2">
      <c r="B113" s="3"/>
    </row>
    <row r="114" spans="2:2" ht="15" customHeight="1" x14ac:dyDescent="0.2">
      <c r="B114" s="3"/>
    </row>
    <row r="115" spans="2:2" ht="15" customHeight="1" x14ac:dyDescent="0.2">
      <c r="B115" s="3"/>
    </row>
    <row r="116" spans="2:2" ht="15" customHeight="1" x14ac:dyDescent="0.2">
      <c r="B116" s="3"/>
    </row>
    <row r="117" spans="2:2" ht="15" customHeight="1" x14ac:dyDescent="0.2">
      <c r="B117" s="3"/>
    </row>
    <row r="118" spans="2:2" ht="15" customHeight="1" x14ac:dyDescent="0.2">
      <c r="B118" s="3"/>
    </row>
    <row r="119" spans="2:2" ht="15" customHeight="1" x14ac:dyDescent="0.2">
      <c r="B119" s="3"/>
    </row>
    <row r="120" spans="2:2" ht="15" customHeight="1" x14ac:dyDescent="0.2">
      <c r="B120" s="3"/>
    </row>
    <row r="121" spans="2:2" ht="15" customHeight="1" x14ac:dyDescent="0.2">
      <c r="B121" s="3"/>
    </row>
    <row r="122" spans="2:2" ht="15" customHeight="1" x14ac:dyDescent="0.2">
      <c r="B122" s="3"/>
    </row>
    <row r="123" spans="2:2" ht="15" customHeight="1" x14ac:dyDescent="0.2">
      <c r="B123" s="3"/>
    </row>
    <row r="124" spans="2:2" ht="15" customHeight="1" x14ac:dyDescent="0.2">
      <c r="B124" s="3"/>
    </row>
    <row r="125" spans="2:2" ht="15" customHeight="1" x14ac:dyDescent="0.2">
      <c r="B125" s="3"/>
    </row>
    <row r="126" spans="2:2" ht="15" customHeight="1" x14ac:dyDescent="0.2">
      <c r="B126" s="3"/>
    </row>
    <row r="127" spans="2:2" ht="15" customHeight="1" x14ac:dyDescent="0.2">
      <c r="B127" s="3"/>
    </row>
    <row r="128" spans="2:2" ht="15" customHeight="1" x14ac:dyDescent="0.2">
      <c r="B128" s="3"/>
    </row>
    <row r="129" spans="2:2" ht="15" customHeight="1" x14ac:dyDescent="0.2">
      <c r="B129" s="3"/>
    </row>
    <row r="130" spans="2:2" ht="15" customHeight="1" x14ac:dyDescent="0.2">
      <c r="B130" s="3"/>
    </row>
    <row r="131" spans="2:2" ht="15" customHeight="1" x14ac:dyDescent="0.2">
      <c r="B131" s="3"/>
    </row>
    <row r="132" spans="2:2" ht="15" customHeight="1" x14ac:dyDescent="0.2">
      <c r="B132" s="3"/>
    </row>
    <row r="133" spans="2:2" ht="15" customHeight="1" x14ac:dyDescent="0.2">
      <c r="B133" s="3"/>
    </row>
    <row r="134" spans="2:2" ht="15" customHeight="1" x14ac:dyDescent="0.2">
      <c r="B134" s="3"/>
    </row>
    <row r="135" spans="2:2" ht="15" customHeight="1" x14ac:dyDescent="0.2">
      <c r="B135" s="3"/>
    </row>
    <row r="136" spans="2:2" ht="15" customHeight="1" x14ac:dyDescent="0.2">
      <c r="B136" s="3"/>
    </row>
    <row r="137" spans="2:2" ht="15" customHeight="1" x14ac:dyDescent="0.2">
      <c r="B137" s="3"/>
    </row>
    <row r="138" spans="2:2" ht="15" customHeight="1" x14ac:dyDescent="0.2">
      <c r="B138" s="3"/>
    </row>
    <row r="139" spans="2:2" ht="15" customHeight="1" x14ac:dyDescent="0.2">
      <c r="B139" s="3"/>
    </row>
    <row r="140" spans="2:2" ht="15" customHeight="1" x14ac:dyDescent="0.2">
      <c r="B140" s="3"/>
    </row>
    <row r="141" spans="2:2" ht="15" customHeight="1" x14ac:dyDescent="0.2">
      <c r="B141" s="3"/>
    </row>
    <row r="142" spans="2:2" ht="15" customHeight="1" x14ac:dyDescent="0.2">
      <c r="B142" s="3"/>
    </row>
    <row r="143" spans="2:2" ht="15" customHeight="1" x14ac:dyDescent="0.2">
      <c r="B143" s="3"/>
    </row>
    <row r="144" spans="2:2" ht="15" customHeight="1" x14ac:dyDescent="0.2">
      <c r="B144" s="3"/>
    </row>
    <row r="145" spans="2:2" ht="15" customHeight="1" x14ac:dyDescent="0.2">
      <c r="B145" s="3"/>
    </row>
    <row r="146" spans="2:2" ht="15" customHeight="1" x14ac:dyDescent="0.2">
      <c r="B146" s="3"/>
    </row>
    <row r="147" spans="2:2" ht="15" customHeight="1" x14ac:dyDescent="0.2">
      <c r="B147" s="3"/>
    </row>
    <row r="148" spans="2:2" ht="15" customHeight="1" x14ac:dyDescent="0.2">
      <c r="B148" s="3"/>
    </row>
    <row r="149" spans="2:2" ht="15" customHeight="1" x14ac:dyDescent="0.2">
      <c r="B149" s="3"/>
    </row>
    <row r="150" spans="2:2" ht="15" customHeight="1" x14ac:dyDescent="0.2">
      <c r="B150" s="3"/>
    </row>
    <row r="151" spans="2:2" ht="15" customHeight="1" x14ac:dyDescent="0.2">
      <c r="B151" s="3"/>
    </row>
    <row r="152" spans="2:2" ht="15" customHeight="1" x14ac:dyDescent="0.2">
      <c r="B152" s="3"/>
    </row>
    <row r="153" spans="2:2" ht="15" customHeight="1" x14ac:dyDescent="0.2">
      <c r="B153" s="3"/>
    </row>
  </sheetData>
  <mergeCells count="3">
    <mergeCell ref="A1:B1"/>
    <mergeCell ref="B5:C5"/>
    <mergeCell ref="A2:E2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2" orientation="portrait" r:id="rId1"/>
  <headerFooter alignWithMargins="0">
    <oddHeader xml:space="preserve">&amp;R&amp;"Times New Roman CE,Félkövér"&amp;16 &amp;"-,Félkövér"&amp;12 16. melléklet a 10/2024.(V.31.) önkormányzati rendelethez 
</oddHeader>
    <oddFooter xml:space="preserve">&amp;C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7"/>
  <sheetViews>
    <sheetView view="pageLayout" zoomScaleNormal="100" workbookViewId="0">
      <selection activeCell="I30" sqref="I30"/>
    </sheetView>
  </sheetViews>
  <sheetFormatPr defaultColWidth="10.6640625" defaultRowHeight="15" x14ac:dyDescent="0.2"/>
  <cols>
    <col min="1" max="1" width="6" style="8" customWidth="1"/>
    <col min="2" max="2" width="104.33203125" style="8" customWidth="1"/>
    <col min="3" max="5" width="26.33203125" style="8" customWidth="1"/>
    <col min="6" max="6" width="20.83203125" style="8" customWidth="1"/>
    <col min="7" max="16384" width="10.6640625" style="8"/>
  </cols>
  <sheetData>
    <row r="1" spans="1:6" s="104" customFormat="1" ht="22.5" customHeight="1" x14ac:dyDescent="0.25">
      <c r="A1" s="1970" t="s">
        <v>341</v>
      </c>
      <c r="B1" s="1970"/>
      <c r="C1" s="1970"/>
      <c r="D1" s="1970"/>
      <c r="E1" s="1970"/>
      <c r="F1" s="1970"/>
    </row>
    <row r="2" spans="1:6" s="104" customFormat="1" ht="16.5" thickBot="1" x14ac:dyDescent="0.3">
      <c r="B2" s="1084"/>
      <c r="C2" s="110"/>
      <c r="F2" s="110" t="s">
        <v>15</v>
      </c>
    </row>
    <row r="3" spans="1:6" s="104" customFormat="1" ht="22.5" customHeight="1" thickBot="1" x14ac:dyDescent="0.35">
      <c r="A3" s="111"/>
      <c r="B3" s="1085" t="s">
        <v>29</v>
      </c>
      <c r="C3" s="1973" t="s">
        <v>514</v>
      </c>
      <c r="D3" s="1974"/>
      <c r="E3" s="147" t="s">
        <v>305</v>
      </c>
      <c r="F3" s="248" t="s">
        <v>90</v>
      </c>
    </row>
    <row r="4" spans="1:6" s="104" customFormat="1" ht="22.5" customHeight="1" thickBot="1" x14ac:dyDescent="0.35">
      <c r="A4" s="112"/>
      <c r="B4" s="1086"/>
      <c r="C4" s="467" t="s">
        <v>184</v>
      </c>
      <c r="D4" s="468" t="s">
        <v>88</v>
      </c>
      <c r="E4" s="446" t="s">
        <v>89</v>
      </c>
      <c r="F4" s="291" t="s">
        <v>91</v>
      </c>
    </row>
    <row r="5" spans="1:6" s="104" customFormat="1" ht="19.5" customHeight="1" x14ac:dyDescent="0.3">
      <c r="A5" s="113" t="s">
        <v>253</v>
      </c>
      <c r="B5" s="1087"/>
      <c r="C5" s="292"/>
      <c r="D5" s="292"/>
      <c r="E5" s="292"/>
      <c r="F5" s="292"/>
    </row>
    <row r="6" spans="1:6" s="104" customFormat="1" ht="19.5" customHeight="1" x14ac:dyDescent="0.3">
      <c r="A6" s="116"/>
      <c r="B6" s="1088"/>
      <c r="C6" s="390"/>
      <c r="D6" s="390"/>
      <c r="E6" s="522"/>
      <c r="F6" s="394"/>
    </row>
    <row r="7" spans="1:6" s="114" customFormat="1" ht="19.5" customHeight="1" x14ac:dyDescent="0.3">
      <c r="A7" s="115"/>
      <c r="B7" s="1089" t="s">
        <v>106</v>
      </c>
      <c r="C7" s="393">
        <f>SUM(C6:C6)</f>
        <v>0</v>
      </c>
      <c r="D7" s="393">
        <f>SUM(D6:D6)</f>
        <v>0</v>
      </c>
      <c r="E7" s="393">
        <f>SUM(E6:E6)</f>
        <v>0</v>
      </c>
      <c r="F7" s="394"/>
    </row>
    <row r="8" spans="1:6" s="114" customFormat="1" ht="19.5" customHeight="1" x14ac:dyDescent="0.3">
      <c r="A8" s="115"/>
      <c r="B8" s="1090"/>
      <c r="C8" s="395"/>
      <c r="D8" s="395"/>
      <c r="E8" s="395"/>
      <c r="F8" s="396"/>
    </row>
    <row r="9" spans="1:6" s="117" customFormat="1" ht="32.25" x14ac:dyDescent="0.3">
      <c r="A9" s="118"/>
      <c r="B9" s="1091" t="s">
        <v>125</v>
      </c>
      <c r="C9" s="397">
        <f>SUM(C8)</f>
        <v>0</v>
      </c>
      <c r="D9" s="397">
        <f t="shared" ref="D9:E9" si="0">SUM(D8)</f>
        <v>0</v>
      </c>
      <c r="E9" s="397">
        <f t="shared" si="0"/>
        <v>0</v>
      </c>
      <c r="F9" s="398"/>
    </row>
    <row r="10" spans="1:6" s="104" customFormat="1" ht="19.5" customHeight="1" x14ac:dyDescent="0.3">
      <c r="A10" s="116"/>
      <c r="B10" s="1092" t="s">
        <v>251</v>
      </c>
      <c r="C10" s="390"/>
      <c r="D10" s="390">
        <v>186246</v>
      </c>
      <c r="E10" s="458">
        <v>186246</v>
      </c>
      <c r="F10" s="391">
        <f t="shared" ref="F10:F13" si="1">+E10/D10*100</f>
        <v>100</v>
      </c>
    </row>
    <row r="11" spans="1:6" s="104" customFormat="1" ht="19.5" customHeight="1" x14ac:dyDescent="0.3">
      <c r="A11" s="116"/>
      <c r="B11" s="1093" t="s">
        <v>367</v>
      </c>
      <c r="C11" s="390"/>
      <c r="D11" s="390">
        <v>430312</v>
      </c>
      <c r="E11" s="458">
        <v>430312</v>
      </c>
      <c r="F11" s="391">
        <f t="shared" si="1"/>
        <v>100</v>
      </c>
    </row>
    <row r="12" spans="1:6" s="104" customFormat="1" ht="19.5" customHeight="1" x14ac:dyDescent="0.3">
      <c r="A12" s="116"/>
      <c r="B12" s="1093" t="s">
        <v>394</v>
      </c>
      <c r="C12" s="390"/>
      <c r="D12" s="390">
        <v>1000</v>
      </c>
      <c r="E12" s="471">
        <v>1000</v>
      </c>
      <c r="F12" s="400">
        <f t="shared" si="1"/>
        <v>100</v>
      </c>
    </row>
    <row r="13" spans="1:6" s="104" customFormat="1" ht="19.5" customHeight="1" x14ac:dyDescent="0.3">
      <c r="A13" s="116"/>
      <c r="B13" s="1093" t="s">
        <v>420</v>
      </c>
      <c r="C13" s="390"/>
      <c r="D13" s="390">
        <v>6023</v>
      </c>
      <c r="E13" s="471">
        <v>6023</v>
      </c>
      <c r="F13" s="400">
        <f t="shared" si="1"/>
        <v>100</v>
      </c>
    </row>
    <row r="14" spans="1:6" s="104" customFormat="1" ht="37.5" customHeight="1" x14ac:dyDescent="0.3">
      <c r="A14" s="116"/>
      <c r="B14" s="1093" t="s">
        <v>571</v>
      </c>
      <c r="C14" s="390"/>
      <c r="D14" s="390">
        <v>72</v>
      </c>
      <c r="E14" s="458">
        <v>72</v>
      </c>
      <c r="F14" s="400">
        <f t="shared" ref="F14:F15" si="2">+E14/D14*100</f>
        <v>100</v>
      </c>
    </row>
    <row r="15" spans="1:6" s="104" customFormat="1" ht="37.5" customHeight="1" x14ac:dyDescent="0.3">
      <c r="A15" s="116"/>
      <c r="B15" s="1093" t="s">
        <v>572</v>
      </c>
      <c r="C15" s="390"/>
      <c r="D15" s="390">
        <v>480</v>
      </c>
      <c r="E15" s="458">
        <v>480</v>
      </c>
      <c r="F15" s="400">
        <f t="shared" si="2"/>
        <v>100</v>
      </c>
    </row>
    <row r="16" spans="1:6" s="104" customFormat="1" ht="19.5" customHeight="1" x14ac:dyDescent="0.3">
      <c r="A16" s="116"/>
      <c r="B16" s="1093" t="s">
        <v>370</v>
      </c>
      <c r="C16" s="390"/>
      <c r="D16" s="390">
        <v>110144</v>
      </c>
      <c r="E16" s="458">
        <v>110144</v>
      </c>
      <c r="F16" s="400">
        <f>+E16/D16*100</f>
        <v>100</v>
      </c>
    </row>
    <row r="17" spans="1:6" s="104" customFormat="1" ht="37.5" customHeight="1" x14ac:dyDescent="0.3">
      <c r="A17" s="116"/>
      <c r="B17" s="1093" t="s">
        <v>479</v>
      </c>
      <c r="C17" s="390"/>
      <c r="D17" s="390">
        <v>568871</v>
      </c>
      <c r="E17" s="458"/>
      <c r="F17" s="400">
        <f>+E17/D17*100</f>
        <v>0</v>
      </c>
    </row>
    <row r="18" spans="1:6" s="104" customFormat="1" ht="19.5" customHeight="1" x14ac:dyDescent="0.3">
      <c r="A18" s="116"/>
      <c r="B18" s="1094" t="s">
        <v>107</v>
      </c>
      <c r="C18" s="401">
        <f>SUM(C10:C13)</f>
        <v>0</v>
      </c>
      <c r="D18" s="401">
        <f>SUM(D10:D17)</f>
        <v>1303148</v>
      </c>
      <c r="E18" s="401">
        <f>SUM(E10:E17)</f>
        <v>734277</v>
      </c>
      <c r="F18" s="402">
        <f t="shared" ref="F18:F25" si="3">+E18/D18*100</f>
        <v>56.346401176228646</v>
      </c>
    </row>
    <row r="19" spans="1:6" s="104" customFormat="1" ht="19.5" customHeight="1" x14ac:dyDescent="0.3">
      <c r="A19" s="119" t="s">
        <v>247</v>
      </c>
      <c r="B19" s="1095"/>
      <c r="C19" s="403">
        <f>+C18+C9+C7</f>
        <v>0</v>
      </c>
      <c r="D19" s="403">
        <f>+D18+D9+D7</f>
        <v>1303148</v>
      </c>
      <c r="E19" s="403">
        <f>+E18+E9+E7</f>
        <v>734277</v>
      </c>
      <c r="F19" s="404">
        <f t="shared" si="3"/>
        <v>56.346401176228646</v>
      </c>
    </row>
    <row r="20" spans="1:6" s="104" customFormat="1" ht="19.5" customHeight="1" x14ac:dyDescent="0.3">
      <c r="A20" s="113" t="s">
        <v>244</v>
      </c>
      <c r="B20" s="1096"/>
      <c r="C20" s="292"/>
      <c r="D20" s="292"/>
      <c r="E20" s="292"/>
      <c r="F20" s="292"/>
    </row>
    <row r="21" spans="1:6" s="104" customFormat="1" ht="19.5" customHeight="1" x14ac:dyDescent="0.3">
      <c r="A21" s="116"/>
      <c r="B21" s="1093" t="s">
        <v>220</v>
      </c>
      <c r="C21" s="390">
        <v>666911</v>
      </c>
      <c r="D21" s="390">
        <v>1162247</v>
      </c>
      <c r="E21" s="390">
        <v>1162247</v>
      </c>
      <c r="F21" s="400">
        <f t="shared" si="3"/>
        <v>100</v>
      </c>
    </row>
    <row r="22" spans="1:6" s="104" customFormat="1" ht="19.5" customHeight="1" x14ac:dyDescent="0.3">
      <c r="A22" s="116"/>
      <c r="B22" s="1092" t="s">
        <v>644</v>
      </c>
      <c r="C22" s="405"/>
      <c r="D22" s="405">
        <v>32600</v>
      </c>
      <c r="E22" s="405">
        <v>32600</v>
      </c>
      <c r="F22" s="406">
        <f t="shared" si="3"/>
        <v>100</v>
      </c>
    </row>
    <row r="23" spans="1:6" s="104" customFormat="1" ht="19.5" customHeight="1" x14ac:dyDescent="0.3">
      <c r="A23" s="116"/>
      <c r="B23" s="1092" t="s">
        <v>417</v>
      </c>
      <c r="C23" s="405"/>
      <c r="D23" s="405">
        <v>2700</v>
      </c>
      <c r="E23" s="405">
        <v>2700</v>
      </c>
      <c r="F23" s="406">
        <f t="shared" si="3"/>
        <v>100</v>
      </c>
    </row>
    <row r="24" spans="1:6" s="104" customFormat="1" ht="19.5" customHeight="1" x14ac:dyDescent="0.3">
      <c r="A24" s="116"/>
      <c r="B24" s="1097" t="s">
        <v>580</v>
      </c>
      <c r="C24" s="407"/>
      <c r="D24" s="407">
        <v>5000</v>
      </c>
      <c r="E24" s="407">
        <v>4000</v>
      </c>
      <c r="F24" s="406">
        <f t="shared" si="3"/>
        <v>80</v>
      </c>
    </row>
    <row r="25" spans="1:6" s="104" customFormat="1" ht="19.5" customHeight="1" thickBot="1" x14ac:dyDescent="0.35">
      <c r="A25" s="116"/>
      <c r="B25" s="1098" t="s">
        <v>581</v>
      </c>
      <c r="C25" s="519"/>
      <c r="D25" s="519">
        <v>1940</v>
      </c>
      <c r="E25" s="519">
        <v>1940</v>
      </c>
      <c r="F25" s="406">
        <f t="shared" si="3"/>
        <v>100</v>
      </c>
    </row>
    <row r="26" spans="1:6" s="104" customFormat="1" ht="19.5" customHeight="1" thickBot="1" x14ac:dyDescent="0.35">
      <c r="A26" s="120" t="s">
        <v>245</v>
      </c>
      <c r="B26" s="1099"/>
      <c r="C26" s="408">
        <f>SUM(C21:C25)</f>
        <v>666911</v>
      </c>
      <c r="D26" s="408">
        <f>SUM(D21:D25)</f>
        <v>1204487</v>
      </c>
      <c r="E26" s="408">
        <f>SUM(E21:E25)</f>
        <v>1203487</v>
      </c>
      <c r="F26" s="409">
        <f>+E26/D26*100</f>
        <v>99.916977103115272</v>
      </c>
    </row>
    <row r="27" spans="1:6" s="104" customFormat="1" ht="19.5" customHeight="1" x14ac:dyDescent="0.3">
      <c r="A27" s="121" t="s">
        <v>248</v>
      </c>
      <c r="B27" s="1100"/>
      <c r="C27" s="410"/>
      <c r="D27" s="410"/>
      <c r="E27" s="410"/>
      <c r="F27" s="410"/>
    </row>
    <row r="28" spans="1:6" s="104" customFormat="1" ht="33.75" customHeight="1" x14ac:dyDescent="0.3">
      <c r="A28" s="121"/>
      <c r="B28" s="1101" t="s">
        <v>78</v>
      </c>
      <c r="C28" s="411"/>
      <c r="D28" s="411"/>
      <c r="E28" s="411"/>
      <c r="F28" s="411"/>
    </row>
    <row r="29" spans="1:6" s="104" customFormat="1" ht="19.5" customHeight="1" x14ac:dyDescent="0.3">
      <c r="A29" s="116"/>
      <c r="B29" s="1098" t="s">
        <v>213</v>
      </c>
      <c r="C29" s="405">
        <v>10000</v>
      </c>
      <c r="D29" s="405">
        <v>8999</v>
      </c>
      <c r="E29" s="529">
        <v>9848</v>
      </c>
      <c r="F29" s="406">
        <f t="shared" ref="F29:F35" si="4">+E29/D29*100</f>
        <v>109.43438159795534</v>
      </c>
    </row>
    <row r="30" spans="1:6" s="104" customFormat="1" ht="19.5" customHeight="1" x14ac:dyDescent="0.3">
      <c r="A30" s="116"/>
      <c r="B30" s="1098" t="s">
        <v>36</v>
      </c>
      <c r="C30" s="405">
        <v>1000</v>
      </c>
      <c r="D30" s="405">
        <v>984</v>
      </c>
      <c r="E30" s="405">
        <v>984</v>
      </c>
      <c r="F30" s="406">
        <f t="shared" si="4"/>
        <v>100</v>
      </c>
    </row>
    <row r="31" spans="1:6" s="104" customFormat="1" ht="19.5" customHeight="1" x14ac:dyDescent="0.3">
      <c r="A31" s="116"/>
      <c r="B31" s="1102" t="s">
        <v>108</v>
      </c>
      <c r="C31" s="405"/>
      <c r="D31" s="405"/>
      <c r="E31" s="405"/>
      <c r="F31" s="406"/>
    </row>
    <row r="32" spans="1:6" s="104" customFormat="1" ht="19.5" customHeight="1" x14ac:dyDescent="0.3">
      <c r="A32" s="116"/>
      <c r="B32" s="1103" t="s">
        <v>428</v>
      </c>
      <c r="C32" s="407"/>
      <c r="D32" s="407">
        <v>112376</v>
      </c>
      <c r="E32" s="407">
        <v>8513</v>
      </c>
      <c r="F32" s="412">
        <f t="shared" si="4"/>
        <v>7.5754609525165524</v>
      </c>
    </row>
    <row r="33" spans="1:6" s="104" customFormat="1" ht="19.5" customHeight="1" x14ac:dyDescent="0.3">
      <c r="A33" s="116"/>
      <c r="B33" s="1098" t="s">
        <v>645</v>
      </c>
      <c r="C33" s="405"/>
      <c r="D33" s="405">
        <v>1859</v>
      </c>
      <c r="E33" s="405">
        <v>1859</v>
      </c>
      <c r="F33" s="406">
        <f t="shared" si="4"/>
        <v>100</v>
      </c>
    </row>
    <row r="34" spans="1:6" s="104" customFormat="1" ht="19.5" customHeight="1" x14ac:dyDescent="0.3">
      <c r="A34" s="116"/>
      <c r="B34" s="1098" t="s">
        <v>587</v>
      </c>
      <c r="C34" s="405"/>
      <c r="D34" s="405">
        <v>17950</v>
      </c>
      <c r="E34" s="405">
        <v>17950</v>
      </c>
      <c r="F34" s="406">
        <f t="shared" si="4"/>
        <v>100</v>
      </c>
    </row>
    <row r="35" spans="1:6" s="104" customFormat="1" ht="19.5" customHeight="1" x14ac:dyDescent="0.3">
      <c r="A35" s="116"/>
      <c r="B35" s="1104" t="s">
        <v>585</v>
      </c>
      <c r="C35" s="407"/>
      <c r="D35" s="407">
        <v>235232</v>
      </c>
      <c r="E35" s="390">
        <v>235232</v>
      </c>
      <c r="F35" s="406">
        <f t="shared" si="4"/>
        <v>100</v>
      </c>
    </row>
    <row r="36" spans="1:6" s="104" customFormat="1" ht="21.95" customHeight="1" x14ac:dyDescent="0.3">
      <c r="A36" s="1971" t="s">
        <v>0</v>
      </c>
      <c r="B36" s="1972"/>
      <c r="C36" s="403">
        <f>SUM(C29:C35)</f>
        <v>11000</v>
      </c>
      <c r="D36" s="403">
        <f>SUM(D29:D35)</f>
        <v>377400</v>
      </c>
      <c r="E36" s="403">
        <f>SUM(E29:E35)</f>
        <v>274386</v>
      </c>
      <c r="F36" s="413">
        <f>+E36/D36*100</f>
        <v>72.704292527821934</v>
      </c>
    </row>
    <row r="37" spans="1:6" s="104" customFormat="1" ht="21.95" customHeight="1" x14ac:dyDescent="0.3">
      <c r="A37" s="74" t="s">
        <v>239</v>
      </c>
      <c r="B37" s="1105"/>
      <c r="C37" s="410"/>
      <c r="D37" s="410"/>
      <c r="E37" s="410"/>
      <c r="F37" s="410"/>
    </row>
    <row r="38" spans="1:6" s="104" customFormat="1" ht="19.5" customHeight="1" x14ac:dyDescent="0.3">
      <c r="A38" s="121"/>
      <c r="B38" s="1106" t="s">
        <v>75</v>
      </c>
      <c r="C38" s="414"/>
      <c r="D38" s="414">
        <v>0</v>
      </c>
      <c r="E38" s="414"/>
      <c r="F38" s="415"/>
    </row>
    <row r="39" spans="1:6" s="104" customFormat="1" ht="19.5" customHeight="1" x14ac:dyDescent="0.3">
      <c r="A39" s="121"/>
      <c r="B39" s="1107" t="s">
        <v>311</v>
      </c>
      <c r="C39" s="405"/>
      <c r="D39" s="405">
        <v>205</v>
      </c>
      <c r="E39" s="405">
        <v>205</v>
      </c>
      <c r="F39" s="406">
        <f t="shared" ref="F39:F45" si="5">+E39/D39*100</f>
        <v>100</v>
      </c>
    </row>
    <row r="40" spans="1:6" s="104" customFormat="1" ht="19.5" customHeight="1" x14ac:dyDescent="0.3">
      <c r="A40" s="121"/>
      <c r="B40" s="1073" t="s">
        <v>214</v>
      </c>
      <c r="C40" s="390"/>
      <c r="D40" s="390"/>
      <c r="E40" s="390"/>
      <c r="F40" s="406"/>
    </row>
    <row r="41" spans="1:6" s="104" customFormat="1" ht="19.5" customHeight="1" x14ac:dyDescent="0.3">
      <c r="A41" s="121"/>
      <c r="B41" s="1073" t="s">
        <v>215</v>
      </c>
      <c r="C41" s="410"/>
      <c r="D41" s="407">
        <v>22480</v>
      </c>
      <c r="E41" s="407">
        <v>22481</v>
      </c>
      <c r="F41" s="406">
        <f t="shared" si="5"/>
        <v>100.00444839857651</v>
      </c>
    </row>
    <row r="42" spans="1:6" s="104" customFormat="1" ht="19.5" customHeight="1" x14ac:dyDescent="0.3">
      <c r="A42" s="121"/>
      <c r="B42" s="1073" t="s">
        <v>240</v>
      </c>
      <c r="C42" s="405"/>
      <c r="D42" s="405">
        <v>12257</v>
      </c>
      <c r="E42" s="405">
        <v>12257</v>
      </c>
      <c r="F42" s="406">
        <f t="shared" si="5"/>
        <v>100</v>
      </c>
    </row>
    <row r="43" spans="1:6" s="104" customFormat="1" ht="19.5" customHeight="1" x14ac:dyDescent="0.3">
      <c r="A43" s="121"/>
      <c r="B43" s="1073" t="s">
        <v>241</v>
      </c>
      <c r="C43" s="410"/>
      <c r="D43" s="407"/>
      <c r="E43" s="410"/>
      <c r="F43" s="406"/>
    </row>
    <row r="44" spans="1:6" s="104" customFormat="1" ht="19.5" customHeight="1" x14ac:dyDescent="0.3">
      <c r="A44" s="121"/>
      <c r="B44" s="1107" t="s">
        <v>42</v>
      </c>
      <c r="C44" s="405"/>
      <c r="D44" s="405"/>
      <c r="E44" s="405"/>
      <c r="F44" s="406"/>
    </row>
    <row r="45" spans="1:6" s="104" customFormat="1" ht="19.5" customHeight="1" x14ac:dyDescent="0.3">
      <c r="A45" s="121"/>
      <c r="B45" s="1107" t="s">
        <v>209</v>
      </c>
      <c r="C45" s="405">
        <v>2995</v>
      </c>
      <c r="D45" s="405">
        <v>3000</v>
      </c>
      <c r="E45" s="405">
        <v>3000</v>
      </c>
      <c r="F45" s="406">
        <f t="shared" si="5"/>
        <v>100</v>
      </c>
    </row>
    <row r="46" spans="1:6" s="104" customFormat="1" ht="19.5" customHeight="1" x14ac:dyDescent="0.3">
      <c r="A46" s="121"/>
      <c r="B46" s="1073" t="s">
        <v>61</v>
      </c>
      <c r="C46" s="410"/>
      <c r="D46" s="407"/>
      <c r="E46" s="410"/>
      <c r="F46" s="406"/>
    </row>
    <row r="47" spans="1:6" s="104" customFormat="1" ht="19.5" customHeight="1" x14ac:dyDescent="0.3">
      <c r="A47" s="121"/>
      <c r="B47" s="1107" t="s">
        <v>62</v>
      </c>
      <c r="C47" s="405"/>
      <c r="D47" s="405"/>
      <c r="E47" s="405"/>
      <c r="F47" s="406"/>
    </row>
    <row r="48" spans="1:6" s="104" customFormat="1" ht="19.5" customHeight="1" x14ac:dyDescent="0.3">
      <c r="A48" s="121"/>
      <c r="B48" s="1108" t="s">
        <v>55</v>
      </c>
      <c r="C48" s="399"/>
      <c r="D48" s="399"/>
      <c r="E48" s="399"/>
      <c r="F48" s="415"/>
    </row>
    <row r="49" spans="1:6" s="104" customFormat="1" ht="19.5" customHeight="1" x14ac:dyDescent="0.3">
      <c r="A49" s="121"/>
      <c r="B49" s="1106" t="s">
        <v>41</v>
      </c>
      <c r="C49" s="392"/>
      <c r="D49" s="392">
        <v>890</v>
      </c>
      <c r="E49" s="392">
        <v>890</v>
      </c>
      <c r="F49" s="406">
        <f t="shared" ref="F49" si="6">+E49/D49*100</f>
        <v>100</v>
      </c>
    </row>
    <row r="50" spans="1:6" s="104" customFormat="1" ht="21.95" customHeight="1" x14ac:dyDescent="0.3">
      <c r="A50" s="1971" t="s">
        <v>92</v>
      </c>
      <c r="B50" s="1972"/>
      <c r="C50" s="403">
        <f>SUM(C38:C49)</f>
        <v>2995</v>
      </c>
      <c r="D50" s="403">
        <f>SUM(D38:D49)</f>
        <v>38832</v>
      </c>
      <c r="E50" s="403">
        <f>SUM(E38:E49)</f>
        <v>38833</v>
      </c>
      <c r="F50" s="413">
        <f>+E50/D50*100</f>
        <v>100.00257519571487</v>
      </c>
    </row>
    <row r="51" spans="1:6" s="104" customFormat="1" ht="21.95" customHeight="1" thickBot="1" x14ac:dyDescent="0.35">
      <c r="A51" s="1977" t="s">
        <v>300</v>
      </c>
      <c r="B51" s="1978"/>
      <c r="C51" s="416">
        <f>+C19+C26+C36+C50</f>
        <v>680906</v>
      </c>
      <c r="D51" s="416">
        <f>+D19+D26+D36+D50</f>
        <v>2923867</v>
      </c>
      <c r="E51" s="416">
        <f>+E19+E26+E36+E50</f>
        <v>2250983</v>
      </c>
      <c r="F51" s="308">
        <f>+E51/D51*100</f>
        <v>76.986504516108283</v>
      </c>
    </row>
    <row r="54" spans="1:6" x14ac:dyDescent="0.2">
      <c r="E54" s="9"/>
    </row>
    <row r="55" spans="1:6" x14ac:dyDescent="0.2">
      <c r="E55" s="9"/>
    </row>
    <row r="57" spans="1:6" x14ac:dyDescent="0.2">
      <c r="E57" s="9"/>
    </row>
    <row r="58" spans="1:6" x14ac:dyDescent="0.2">
      <c r="E58" s="9"/>
    </row>
    <row r="59" spans="1:6" x14ac:dyDescent="0.2">
      <c r="E59" s="9"/>
    </row>
    <row r="60" spans="1:6" x14ac:dyDescent="0.2">
      <c r="E60" s="9"/>
    </row>
    <row r="61" spans="1:6" x14ac:dyDescent="0.2">
      <c r="E61" s="9"/>
    </row>
    <row r="62" spans="1:6" x14ac:dyDescent="0.2">
      <c r="E62" s="9"/>
    </row>
    <row r="63" spans="1:6" x14ac:dyDescent="0.2">
      <c r="E63" s="9"/>
    </row>
    <row r="69" spans="2:6" ht="15.75" x14ac:dyDescent="0.25">
      <c r="B69" s="1975"/>
      <c r="C69" s="1975"/>
      <c r="D69" s="1975"/>
    </row>
    <row r="70" spans="2:6" ht="15.75" x14ac:dyDescent="0.25">
      <c r="C70" s="17"/>
      <c r="D70" s="18"/>
    </row>
    <row r="71" spans="2:6" ht="15.75" x14ac:dyDescent="0.25">
      <c r="C71" s="20"/>
      <c r="D71" s="1976"/>
      <c r="E71" s="1976"/>
      <c r="F71" s="13"/>
    </row>
    <row r="72" spans="2:6" ht="15.75" x14ac:dyDescent="0.25">
      <c r="C72" s="19"/>
      <c r="D72" s="6"/>
      <c r="E72" s="6"/>
      <c r="F72" s="13"/>
    </row>
    <row r="73" spans="2:6" ht="15.75" x14ac:dyDescent="0.25">
      <c r="B73" s="31"/>
      <c r="C73" s="19"/>
      <c r="D73" s="24"/>
      <c r="E73" s="24"/>
      <c r="F73" s="24"/>
    </row>
    <row r="74" spans="2:6" x14ac:dyDescent="0.2">
      <c r="B74" s="32"/>
      <c r="C74" s="29"/>
      <c r="D74" s="33"/>
      <c r="E74" s="33"/>
      <c r="F74" s="33"/>
    </row>
    <row r="75" spans="2:6" x14ac:dyDescent="0.2">
      <c r="B75" s="9"/>
      <c r="C75" s="28"/>
      <c r="D75" s="34"/>
      <c r="E75" s="34"/>
      <c r="F75" s="34"/>
    </row>
    <row r="76" spans="2:6" x14ac:dyDescent="0.2">
      <c r="B76" s="9"/>
      <c r="C76" s="28"/>
      <c r="D76" s="34"/>
      <c r="E76" s="34"/>
      <c r="F76" s="34"/>
    </row>
    <row r="77" spans="2:6" x14ac:dyDescent="0.2">
      <c r="B77" s="9"/>
      <c r="C77" s="28"/>
      <c r="D77" s="34"/>
      <c r="E77" s="34"/>
      <c r="F77" s="34"/>
    </row>
  </sheetData>
  <mergeCells count="7">
    <mergeCell ref="A1:F1"/>
    <mergeCell ref="A36:B36"/>
    <mergeCell ref="C3:D3"/>
    <mergeCell ref="B69:D69"/>
    <mergeCell ref="D71:E71"/>
    <mergeCell ref="A50:B50"/>
    <mergeCell ref="A51:B51"/>
  </mergeCells>
  <phoneticPr fontId="0" type="noConversion"/>
  <printOptions horizontalCentered="1" verticalCentered="1"/>
  <pageMargins left="0.39370078740157483" right="0" top="0.78740157480314965" bottom="0" header="0.51181102362204722" footer="0"/>
  <pageSetup paperSize="9" scale="56" orientation="portrait" r:id="rId1"/>
  <headerFooter alignWithMargins="0">
    <oddHeader xml:space="preserve">&amp;R&amp;"Calibri,Félkövér"&amp;11 &amp;12 17. melléklet a 10/2024.(V.31.) önkormányzati rendelethez 
&amp;11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061"/>
  <sheetViews>
    <sheetView zoomScaleNormal="100" workbookViewId="0">
      <selection activeCell="F93" sqref="F93"/>
    </sheetView>
  </sheetViews>
  <sheetFormatPr defaultColWidth="10.6640625" defaultRowHeight="15" customHeight="1" x14ac:dyDescent="0.2"/>
  <cols>
    <col min="1" max="1" width="21.1640625" style="8" customWidth="1"/>
    <col min="2" max="2" width="5.6640625" style="8" customWidth="1"/>
    <col min="3" max="3" width="119.33203125" style="8" customWidth="1"/>
    <col min="4" max="4" width="26.33203125" style="8" customWidth="1"/>
    <col min="5" max="6" width="26.33203125" style="9" customWidth="1"/>
    <col min="7" max="7" width="23.5" style="8" customWidth="1"/>
    <col min="8" max="8" width="15.6640625" style="8" bestFit="1" customWidth="1"/>
    <col min="9" max="9" width="24.33203125" style="8" customWidth="1"/>
    <col min="10" max="10" width="15.6640625" style="8" bestFit="1" customWidth="1"/>
    <col min="11" max="16384" width="10.6640625" style="8"/>
  </cols>
  <sheetData>
    <row r="1" spans="2:7" s="104" customFormat="1" ht="24" customHeight="1" x14ac:dyDescent="0.25">
      <c r="B1" s="1979"/>
      <c r="C1" s="1979"/>
      <c r="D1" s="1979"/>
      <c r="E1" s="1979"/>
      <c r="F1" s="1979"/>
      <c r="G1" s="1979"/>
    </row>
    <row r="2" spans="2:7" s="104" customFormat="1" ht="24" customHeight="1" x14ac:dyDescent="0.25">
      <c r="B2" s="1982" t="s">
        <v>227</v>
      </c>
      <c r="C2" s="1982"/>
      <c r="D2" s="1982"/>
      <c r="E2" s="1982"/>
      <c r="F2" s="1982"/>
      <c r="G2" s="1982"/>
    </row>
    <row r="3" spans="2:7" s="104" customFormat="1" ht="24.75" customHeight="1" thickBot="1" x14ac:dyDescent="0.3">
      <c r="B3" s="104" t="s">
        <v>52</v>
      </c>
      <c r="C3" s="1109"/>
      <c r="E3" s="117"/>
      <c r="F3" s="117"/>
      <c r="G3" s="122" t="s">
        <v>15</v>
      </c>
    </row>
    <row r="4" spans="2:7" s="104" customFormat="1" ht="26.1" customHeight="1" x14ac:dyDescent="0.3">
      <c r="B4" s="1980" t="s">
        <v>29</v>
      </c>
      <c r="C4" s="1981"/>
      <c r="D4" s="1864" t="s">
        <v>514</v>
      </c>
      <c r="E4" s="1864"/>
      <c r="F4" s="147" t="s">
        <v>305</v>
      </c>
      <c r="G4" s="332" t="s">
        <v>90</v>
      </c>
    </row>
    <row r="5" spans="2:7" s="104" customFormat="1" ht="22.5" customHeight="1" thickBot="1" x14ac:dyDescent="0.35">
      <c r="B5" s="123"/>
      <c r="C5" s="1110"/>
      <c r="D5" s="260" t="s">
        <v>184</v>
      </c>
      <c r="E5" s="260" t="s">
        <v>88</v>
      </c>
      <c r="F5" s="261" t="s">
        <v>89</v>
      </c>
      <c r="G5" s="262" t="s">
        <v>91</v>
      </c>
    </row>
    <row r="6" spans="2:7" s="104" customFormat="1" ht="26.1" customHeight="1" x14ac:dyDescent="0.3">
      <c r="B6" s="124" t="s">
        <v>165</v>
      </c>
      <c r="C6" s="1111" t="s">
        <v>81</v>
      </c>
      <c r="D6" s="417"/>
      <c r="E6" s="418"/>
      <c r="F6" s="418"/>
      <c r="G6" s="744"/>
    </row>
    <row r="7" spans="2:7" s="104" customFormat="1" ht="39.75" customHeight="1" x14ac:dyDescent="0.3">
      <c r="B7" s="116"/>
      <c r="C7" s="1112" t="s">
        <v>494</v>
      </c>
      <c r="D7" s="421"/>
      <c r="E7" s="421">
        <v>1010</v>
      </c>
      <c r="F7" s="426"/>
      <c r="G7" s="465">
        <f t="shared" ref="G7:G9" si="0">+F7/E7*100</f>
        <v>0</v>
      </c>
    </row>
    <row r="8" spans="2:7" s="104" customFormat="1" ht="19.5" customHeight="1" x14ac:dyDescent="0.3">
      <c r="B8" s="116"/>
      <c r="C8" s="1113" t="s">
        <v>646</v>
      </c>
      <c r="D8" s="423"/>
      <c r="E8" s="423">
        <v>43775</v>
      </c>
      <c r="F8" s="420"/>
      <c r="G8" s="465">
        <f>+F8/E8*100</f>
        <v>0</v>
      </c>
    </row>
    <row r="9" spans="2:7" s="104" customFormat="1" ht="19.5" customHeight="1" x14ac:dyDescent="0.3">
      <c r="B9" s="126"/>
      <c r="C9" s="1114" t="s">
        <v>170</v>
      </c>
      <c r="D9" s="424">
        <f>SUM(D7:D7)</f>
        <v>0</v>
      </c>
      <c r="E9" s="424">
        <f>SUM(E7:E8)</f>
        <v>44785</v>
      </c>
      <c r="F9" s="424">
        <f>SUM(F7:F8)</f>
        <v>0</v>
      </c>
      <c r="G9" s="746">
        <f t="shared" si="0"/>
        <v>0</v>
      </c>
    </row>
    <row r="10" spans="2:7" s="104" customFormat="1" ht="19.5" customHeight="1" x14ac:dyDescent="0.3">
      <c r="B10" s="127" t="s">
        <v>33</v>
      </c>
      <c r="C10" s="1115" t="s">
        <v>32</v>
      </c>
      <c r="D10" s="425"/>
      <c r="E10" s="425"/>
      <c r="F10" s="425"/>
      <c r="G10" s="747"/>
    </row>
    <row r="11" spans="2:7" s="104" customFormat="1" ht="19.5" customHeight="1" x14ac:dyDescent="0.3">
      <c r="B11" s="125"/>
      <c r="C11" s="1116" t="s">
        <v>288</v>
      </c>
      <c r="D11" s="420"/>
      <c r="E11" s="420">
        <v>1251</v>
      </c>
      <c r="F11" s="420">
        <v>1251</v>
      </c>
      <c r="G11" s="465">
        <f>+F11/E11*100</f>
        <v>100</v>
      </c>
    </row>
    <row r="12" spans="2:7" s="104" customFormat="1" ht="19.5" customHeight="1" x14ac:dyDescent="0.3">
      <c r="B12" s="126"/>
      <c r="C12" s="1114" t="s">
        <v>130</v>
      </c>
      <c r="D12" s="424">
        <f>SUM(D11:D11)</f>
        <v>0</v>
      </c>
      <c r="E12" s="424">
        <f>SUM(E11:E11)</f>
        <v>1251</v>
      </c>
      <c r="F12" s="424">
        <f>SUM(F11:F11)</f>
        <v>1251</v>
      </c>
      <c r="G12" s="464">
        <f>+F12/E12*100</f>
        <v>100</v>
      </c>
    </row>
    <row r="13" spans="2:7" s="104" customFormat="1" ht="19.5" customHeight="1" x14ac:dyDescent="0.3">
      <c r="B13" s="127" t="s">
        <v>166</v>
      </c>
      <c r="C13" s="1115" t="s">
        <v>164</v>
      </c>
      <c r="D13" s="419"/>
      <c r="E13" s="420"/>
      <c r="F13" s="420"/>
      <c r="G13" s="748"/>
    </row>
    <row r="14" spans="2:7" s="104" customFormat="1" ht="19.5" customHeight="1" x14ac:dyDescent="0.3">
      <c r="B14" s="116"/>
      <c r="C14" s="1117" t="s">
        <v>552</v>
      </c>
      <c r="D14" s="462"/>
      <c r="E14" s="462">
        <v>5000</v>
      </c>
      <c r="F14" s="531">
        <v>5000</v>
      </c>
      <c r="G14" s="745">
        <f>+F14/E14*100</f>
        <v>100</v>
      </c>
    </row>
    <row r="15" spans="2:7" s="104" customFormat="1" ht="19.5" customHeight="1" x14ac:dyDescent="0.3">
      <c r="B15" s="126"/>
      <c r="C15" s="1114" t="s">
        <v>171</v>
      </c>
      <c r="D15" s="424">
        <f>SUM(D14:D14)</f>
        <v>0</v>
      </c>
      <c r="E15" s="424">
        <f>SUM(E14:E14)</f>
        <v>5000</v>
      </c>
      <c r="F15" s="424">
        <f>SUM(F14:F14)</f>
        <v>5000</v>
      </c>
      <c r="G15" s="746">
        <f>+F15/E15*100</f>
        <v>100</v>
      </c>
    </row>
    <row r="16" spans="2:7" s="104" customFormat="1" ht="19.5" customHeight="1" x14ac:dyDescent="0.3">
      <c r="B16" s="125" t="s">
        <v>167</v>
      </c>
      <c r="C16" s="1118" t="s">
        <v>168</v>
      </c>
      <c r="D16" s="419"/>
      <c r="E16" s="420"/>
      <c r="F16" s="420"/>
      <c r="G16" s="749"/>
    </row>
    <row r="17" spans="2:7" s="104" customFormat="1" ht="19.5" customHeight="1" x14ac:dyDescent="0.3">
      <c r="B17" s="116"/>
      <c r="C17" s="1119" t="s">
        <v>121</v>
      </c>
      <c r="D17" s="427"/>
      <c r="E17" s="427">
        <v>758</v>
      </c>
      <c r="F17" s="426">
        <v>27</v>
      </c>
      <c r="G17" s="465">
        <f>+F17/E17*100</f>
        <v>3.5620052770448551</v>
      </c>
    </row>
    <row r="18" spans="2:7" s="104" customFormat="1" ht="19.5" customHeight="1" x14ac:dyDescent="0.3">
      <c r="B18" s="126"/>
      <c r="C18" s="1120" t="s">
        <v>172</v>
      </c>
      <c r="D18" s="424">
        <f>SUM(D17:D17)</f>
        <v>0</v>
      </c>
      <c r="E18" s="424">
        <f>SUM(E17:E17)</f>
        <v>758</v>
      </c>
      <c r="F18" s="424">
        <f>SUM(F17:F17)</f>
        <v>27</v>
      </c>
      <c r="G18" s="746">
        <f t="shared" ref="G18" si="1">+F18/E18*100</f>
        <v>3.5620052770448551</v>
      </c>
    </row>
    <row r="19" spans="2:7" s="104" customFormat="1" ht="19.5" customHeight="1" x14ac:dyDescent="0.3">
      <c r="B19" s="125" t="s">
        <v>169</v>
      </c>
      <c r="C19" s="1118" t="s">
        <v>173</v>
      </c>
      <c r="D19" s="419"/>
      <c r="E19" s="420"/>
      <c r="F19" s="420"/>
      <c r="G19" s="749"/>
    </row>
    <row r="20" spans="2:7" s="104" customFormat="1" ht="19.5" customHeight="1" x14ac:dyDescent="0.3">
      <c r="B20" s="129" t="s">
        <v>162</v>
      </c>
      <c r="C20" s="1121"/>
      <c r="D20" s="419"/>
      <c r="E20" s="420"/>
      <c r="F20" s="420"/>
      <c r="G20" s="749"/>
    </row>
    <row r="21" spans="2:7" s="130" customFormat="1" ht="19.5" customHeight="1" x14ac:dyDescent="0.3">
      <c r="B21" s="116"/>
      <c r="C21" s="1122" t="s">
        <v>342</v>
      </c>
      <c r="D21" s="421"/>
      <c r="E21" s="421">
        <f>98692+11610</f>
        <v>110302</v>
      </c>
      <c r="F21" s="426"/>
      <c r="G21" s="465">
        <f t="shared" ref="G21:G95" si="2">+F21/E21*100</f>
        <v>0</v>
      </c>
    </row>
    <row r="22" spans="2:7" s="104" customFormat="1" ht="19.5" customHeight="1" x14ac:dyDescent="0.3">
      <c r="B22" s="116"/>
      <c r="C22" s="1122" t="s">
        <v>252</v>
      </c>
      <c r="D22" s="421"/>
      <c r="E22" s="421">
        <f>889150-11610</f>
        <v>877540</v>
      </c>
      <c r="F22" s="426">
        <f>473561+24900</f>
        <v>498461</v>
      </c>
      <c r="G22" s="465">
        <f t="shared" si="2"/>
        <v>56.802083095927244</v>
      </c>
    </row>
    <row r="23" spans="2:7" s="104" customFormat="1" ht="19.5" customHeight="1" x14ac:dyDescent="0.3">
      <c r="B23" s="129" t="s">
        <v>161</v>
      </c>
      <c r="C23" s="1123"/>
      <c r="D23" s="421"/>
      <c r="E23" s="421"/>
      <c r="F23" s="426"/>
      <c r="G23" s="465"/>
    </row>
    <row r="24" spans="2:7" s="104" customFormat="1" ht="19.5" customHeight="1" x14ac:dyDescent="0.3">
      <c r="B24" s="116"/>
      <c r="C24" s="1124" t="s">
        <v>465</v>
      </c>
      <c r="D24" s="166">
        <v>174789</v>
      </c>
      <c r="E24" s="166">
        <v>191206</v>
      </c>
      <c r="F24" s="428">
        <v>191206</v>
      </c>
      <c r="G24" s="465">
        <f>+F24/E24*100</f>
        <v>100</v>
      </c>
    </row>
    <row r="25" spans="2:7" s="104" customFormat="1" ht="19.5" customHeight="1" x14ac:dyDescent="0.3">
      <c r="B25" s="116"/>
      <c r="C25" s="1124" t="s">
        <v>560</v>
      </c>
      <c r="D25" s="166"/>
      <c r="E25" s="166">
        <v>49948</v>
      </c>
      <c r="F25" s="428"/>
      <c r="G25" s="465">
        <f>+F25/E25*100</f>
        <v>0</v>
      </c>
    </row>
    <row r="26" spans="2:7" s="104" customFormat="1" ht="19.5" customHeight="1" x14ac:dyDescent="0.3">
      <c r="B26" s="116"/>
      <c r="C26" s="1124" t="s">
        <v>546</v>
      </c>
      <c r="D26" s="166">
        <v>204000</v>
      </c>
      <c r="E26" s="166">
        <v>204000</v>
      </c>
      <c r="F26" s="428"/>
      <c r="G26" s="465">
        <f t="shared" ref="G26:G29" si="3">+F26/E26*100</f>
        <v>0</v>
      </c>
    </row>
    <row r="27" spans="2:7" s="104" customFormat="1" ht="19.5" customHeight="1" x14ac:dyDescent="0.3">
      <c r="B27" s="116"/>
      <c r="C27" s="1124" t="s">
        <v>570</v>
      </c>
      <c r="D27" s="139"/>
      <c r="E27" s="139">
        <v>5100</v>
      </c>
      <c r="F27" s="429"/>
      <c r="G27" s="465">
        <f t="shared" si="3"/>
        <v>0</v>
      </c>
    </row>
    <row r="28" spans="2:7" s="104" customFormat="1" ht="19.5" customHeight="1" x14ac:dyDescent="0.3">
      <c r="B28" s="116"/>
      <c r="C28" s="1124" t="s">
        <v>483</v>
      </c>
      <c r="D28" s="139">
        <v>3000</v>
      </c>
      <c r="E28" s="139">
        <v>3000</v>
      </c>
      <c r="F28" s="429"/>
      <c r="G28" s="465">
        <f t="shared" si="3"/>
        <v>0</v>
      </c>
    </row>
    <row r="29" spans="2:7" s="104" customFormat="1" ht="19.5" customHeight="1" x14ac:dyDescent="0.3">
      <c r="B29" s="116"/>
      <c r="C29" s="1124" t="s">
        <v>553</v>
      </c>
      <c r="D29" s="139"/>
      <c r="E29" s="139">
        <v>28000</v>
      </c>
      <c r="F29" s="429"/>
      <c r="G29" s="465">
        <f t="shared" si="3"/>
        <v>0</v>
      </c>
    </row>
    <row r="30" spans="2:7" s="132" customFormat="1" ht="53.25" customHeight="1" x14ac:dyDescent="0.3">
      <c r="B30" s="131"/>
      <c r="C30" s="1125" t="s">
        <v>647</v>
      </c>
      <c r="D30" s="422"/>
      <c r="E30" s="426">
        <v>267395</v>
      </c>
      <c r="F30" s="429">
        <v>267395</v>
      </c>
      <c r="G30" s="465">
        <f t="shared" ref="G30:G44" si="4">+F30/E30*100</f>
        <v>100</v>
      </c>
    </row>
    <row r="31" spans="2:7" s="132" customFormat="1" ht="53.25" customHeight="1" x14ac:dyDescent="0.3">
      <c r="B31" s="131"/>
      <c r="C31" s="1125" t="s">
        <v>648</v>
      </c>
      <c r="D31" s="422"/>
      <c r="E31" s="426">
        <v>49683</v>
      </c>
      <c r="F31" s="429"/>
      <c r="G31" s="465">
        <f t="shared" si="4"/>
        <v>0</v>
      </c>
    </row>
    <row r="32" spans="2:7" s="132" customFormat="1" ht="53.25" customHeight="1" x14ac:dyDescent="0.3">
      <c r="B32" s="131"/>
      <c r="C32" s="1125" t="s">
        <v>649</v>
      </c>
      <c r="D32" s="422"/>
      <c r="E32" s="426">
        <v>189291</v>
      </c>
      <c r="F32" s="429">
        <v>189165</v>
      </c>
      <c r="G32" s="465">
        <f t="shared" si="4"/>
        <v>99.933435821037449</v>
      </c>
    </row>
    <row r="33" spans="2:7" s="132" customFormat="1" ht="63" customHeight="1" x14ac:dyDescent="0.3">
      <c r="B33" s="131"/>
      <c r="C33" s="1125" t="s">
        <v>650</v>
      </c>
      <c r="D33" s="422"/>
      <c r="E33" s="426">
        <v>61725</v>
      </c>
      <c r="F33" s="429"/>
      <c r="G33" s="465">
        <f t="shared" si="4"/>
        <v>0</v>
      </c>
    </row>
    <row r="34" spans="2:7" s="132" customFormat="1" ht="19.5" customHeight="1" x14ac:dyDescent="0.3">
      <c r="B34" s="131"/>
      <c r="C34" s="1125" t="s">
        <v>426</v>
      </c>
      <c r="D34" s="422"/>
      <c r="E34" s="426">
        <v>233999</v>
      </c>
      <c r="F34" s="537">
        <v>233999</v>
      </c>
      <c r="G34" s="465">
        <f t="shared" si="4"/>
        <v>100</v>
      </c>
    </row>
    <row r="35" spans="2:7" s="132" customFormat="1" ht="19.5" customHeight="1" x14ac:dyDescent="0.3">
      <c r="B35" s="131"/>
      <c r="C35" s="1125" t="s">
        <v>490</v>
      </c>
      <c r="D35" s="430"/>
      <c r="E35" s="428">
        <v>78047</v>
      </c>
      <c r="F35" s="537">
        <v>77447</v>
      </c>
      <c r="G35" s="465">
        <f>+F35/E35*100</f>
        <v>99.231232462490553</v>
      </c>
    </row>
    <row r="36" spans="2:7" s="132" customFormat="1" ht="19.5" customHeight="1" x14ac:dyDescent="0.3">
      <c r="B36" s="131"/>
      <c r="C36" s="1125" t="s">
        <v>1202</v>
      </c>
      <c r="D36" s="430"/>
      <c r="E36" s="428">
        <v>60299</v>
      </c>
      <c r="F36" s="538"/>
      <c r="G36" s="465">
        <f t="shared" si="4"/>
        <v>0</v>
      </c>
    </row>
    <row r="37" spans="2:7" s="132" customFormat="1" ht="19.5" customHeight="1" x14ac:dyDescent="0.3">
      <c r="B37" s="131"/>
      <c r="C37" s="1125" t="s">
        <v>498</v>
      </c>
      <c r="D37" s="430"/>
      <c r="E37" s="428">
        <v>20417</v>
      </c>
      <c r="F37" s="538"/>
      <c r="G37" s="465">
        <f t="shared" si="4"/>
        <v>0</v>
      </c>
    </row>
    <row r="38" spans="2:7" s="132" customFormat="1" ht="19.5" customHeight="1" x14ac:dyDescent="0.3">
      <c r="B38" s="131"/>
      <c r="C38" s="1124" t="s">
        <v>506</v>
      </c>
      <c r="D38" s="430">
        <v>25000</v>
      </c>
      <c r="E38" s="428">
        <v>0</v>
      </c>
      <c r="F38" s="426"/>
      <c r="G38" s="465"/>
    </row>
    <row r="39" spans="2:7" s="132" customFormat="1" ht="19.5" customHeight="1" x14ac:dyDescent="0.3">
      <c r="B39" s="131"/>
      <c r="C39" s="1124" t="s">
        <v>511</v>
      </c>
      <c r="D39" s="430">
        <v>21000</v>
      </c>
      <c r="E39" s="428">
        <v>0</v>
      </c>
      <c r="F39" s="537"/>
      <c r="G39" s="465"/>
    </row>
    <row r="40" spans="2:7" s="132" customFormat="1" ht="19.5" customHeight="1" x14ac:dyDescent="0.3">
      <c r="B40" s="131"/>
      <c r="C40" s="1124" t="s">
        <v>512</v>
      </c>
      <c r="D40" s="430">
        <v>150000</v>
      </c>
      <c r="E40" s="428">
        <v>0</v>
      </c>
      <c r="F40" s="537"/>
      <c r="G40" s="465"/>
    </row>
    <row r="41" spans="2:7" s="132" customFormat="1" ht="30" customHeight="1" x14ac:dyDescent="0.3">
      <c r="B41" s="131"/>
      <c r="C41" s="1124" t="s">
        <v>513</v>
      </c>
      <c r="D41" s="430">
        <v>80000</v>
      </c>
      <c r="E41" s="428">
        <v>113173</v>
      </c>
      <c r="F41" s="537">
        <v>107458</v>
      </c>
      <c r="G41" s="465">
        <f t="shared" si="4"/>
        <v>94.950208972104662</v>
      </c>
    </row>
    <row r="42" spans="2:7" s="132" customFormat="1" ht="36" customHeight="1" x14ac:dyDescent="0.3">
      <c r="B42" s="131"/>
      <c r="C42" s="1125" t="s">
        <v>561</v>
      </c>
      <c r="D42" s="430"/>
      <c r="E42" s="428">
        <v>29517</v>
      </c>
      <c r="F42" s="537"/>
      <c r="G42" s="465">
        <f t="shared" si="4"/>
        <v>0</v>
      </c>
    </row>
    <row r="43" spans="2:7" s="132" customFormat="1" ht="19.5" customHeight="1" x14ac:dyDescent="0.3">
      <c r="B43" s="131"/>
      <c r="C43" s="1125" t="s">
        <v>554</v>
      </c>
      <c r="D43" s="430"/>
      <c r="E43" s="428">
        <v>10628</v>
      </c>
      <c r="F43" s="537">
        <v>3413</v>
      </c>
      <c r="G43" s="465">
        <f t="shared" si="4"/>
        <v>32.113285660519381</v>
      </c>
    </row>
    <row r="44" spans="2:7" s="132" customFormat="1" ht="18.75" x14ac:dyDescent="0.3">
      <c r="B44" s="131"/>
      <c r="C44" s="1125" t="s">
        <v>592</v>
      </c>
      <c r="D44" s="430"/>
      <c r="E44" s="428">
        <v>400000</v>
      </c>
      <c r="F44" s="537"/>
      <c r="G44" s="465">
        <f t="shared" si="4"/>
        <v>0</v>
      </c>
    </row>
    <row r="45" spans="2:7" s="104" customFormat="1" ht="19.5" customHeight="1" x14ac:dyDescent="0.3">
      <c r="B45" s="129" t="s">
        <v>163</v>
      </c>
      <c r="C45" s="1126"/>
      <c r="D45" s="431"/>
      <c r="E45" s="431"/>
      <c r="F45" s="428"/>
      <c r="G45" s="465"/>
    </row>
    <row r="46" spans="2:7" s="104" customFormat="1" ht="19.5" customHeight="1" x14ac:dyDescent="0.3">
      <c r="B46" s="116"/>
      <c r="C46" s="1122" t="s">
        <v>99</v>
      </c>
      <c r="D46" s="421"/>
      <c r="E46" s="421">
        <v>3425</v>
      </c>
      <c r="F46" s="426"/>
      <c r="G46" s="465">
        <f t="shared" ref="G46" si="5">+F46/E46*100</f>
        <v>0</v>
      </c>
    </row>
    <row r="47" spans="2:7" s="104" customFormat="1" ht="19.5" customHeight="1" x14ac:dyDescent="0.3">
      <c r="B47" s="116"/>
      <c r="C47" s="1098" t="s">
        <v>332</v>
      </c>
      <c r="D47" s="421"/>
      <c r="E47" s="421">
        <v>45</v>
      </c>
      <c r="F47" s="426"/>
      <c r="G47" s="465">
        <f t="shared" si="2"/>
        <v>0</v>
      </c>
    </row>
    <row r="48" spans="2:7" s="132" customFormat="1" ht="36" customHeight="1" x14ac:dyDescent="0.3">
      <c r="B48" s="131"/>
      <c r="C48" s="1125" t="s">
        <v>343</v>
      </c>
      <c r="D48" s="430"/>
      <c r="E48" s="428">
        <v>1521</v>
      </c>
      <c r="F48" s="537">
        <v>830</v>
      </c>
      <c r="G48" s="465">
        <f t="shared" si="2"/>
        <v>54.569362261669951</v>
      </c>
    </row>
    <row r="49" spans="2:7" s="104" customFormat="1" ht="19.5" customHeight="1" x14ac:dyDescent="0.3">
      <c r="B49" s="116"/>
      <c r="C49" s="1104" t="s">
        <v>651</v>
      </c>
      <c r="D49" s="421"/>
      <c r="E49" s="421">
        <v>385</v>
      </c>
      <c r="F49" s="429"/>
      <c r="G49" s="465">
        <f t="shared" si="2"/>
        <v>0</v>
      </c>
    </row>
    <row r="50" spans="2:7" s="104" customFormat="1" ht="19.5" customHeight="1" x14ac:dyDescent="0.3">
      <c r="B50" s="116"/>
      <c r="C50" s="1104" t="s">
        <v>289</v>
      </c>
      <c r="D50" s="421"/>
      <c r="E50" s="421">
        <v>89</v>
      </c>
      <c r="F50" s="429">
        <v>89</v>
      </c>
      <c r="G50" s="465">
        <f t="shared" si="2"/>
        <v>100</v>
      </c>
    </row>
    <row r="51" spans="2:7" s="104" customFormat="1" ht="19.5" customHeight="1" x14ac:dyDescent="0.3">
      <c r="B51" s="116"/>
      <c r="C51" s="1104" t="s">
        <v>333</v>
      </c>
      <c r="D51" s="421"/>
      <c r="E51" s="421">
        <v>3998</v>
      </c>
      <c r="F51" s="429"/>
      <c r="G51" s="465">
        <f t="shared" si="2"/>
        <v>0</v>
      </c>
    </row>
    <row r="52" spans="2:7" s="104" customFormat="1" ht="19.5" customHeight="1" x14ac:dyDescent="0.3">
      <c r="B52" s="116"/>
      <c r="C52" s="1104" t="s">
        <v>418</v>
      </c>
      <c r="D52" s="421"/>
      <c r="E52" s="421">
        <v>84</v>
      </c>
      <c r="F52" s="429">
        <v>84</v>
      </c>
      <c r="G52" s="465">
        <f t="shared" si="2"/>
        <v>100</v>
      </c>
    </row>
    <row r="53" spans="2:7" s="104" customFormat="1" ht="19.5" customHeight="1" x14ac:dyDescent="0.3">
      <c r="B53" s="116"/>
      <c r="C53" s="1104" t="s">
        <v>419</v>
      </c>
      <c r="D53" s="421"/>
      <c r="E53" s="421">
        <v>0</v>
      </c>
      <c r="F53" s="429"/>
      <c r="G53" s="465"/>
    </row>
    <row r="54" spans="2:7" s="104" customFormat="1" ht="19.5" customHeight="1" x14ac:dyDescent="0.3">
      <c r="B54" s="116"/>
      <c r="C54" s="1104" t="s">
        <v>427</v>
      </c>
      <c r="D54" s="421"/>
      <c r="E54" s="421">
        <v>18606</v>
      </c>
      <c r="F54" s="429"/>
      <c r="G54" s="465">
        <f t="shared" si="2"/>
        <v>0</v>
      </c>
    </row>
    <row r="55" spans="2:7" s="132" customFormat="1" ht="36" customHeight="1" x14ac:dyDescent="0.3">
      <c r="B55" s="131"/>
      <c r="C55" s="1125" t="s">
        <v>499</v>
      </c>
      <c r="D55" s="430"/>
      <c r="E55" s="428">
        <v>502929</v>
      </c>
      <c r="F55" s="537">
        <v>31857</v>
      </c>
      <c r="G55" s="465">
        <f t="shared" si="2"/>
        <v>6.3342937074616898</v>
      </c>
    </row>
    <row r="56" spans="2:7" s="104" customFormat="1" ht="34.5" customHeight="1" x14ac:dyDescent="0.3">
      <c r="B56" s="116"/>
      <c r="C56" s="1104" t="s">
        <v>582</v>
      </c>
      <c r="D56" s="421"/>
      <c r="E56" s="421">
        <v>80354</v>
      </c>
      <c r="F56" s="429"/>
      <c r="G56" s="465">
        <f t="shared" si="2"/>
        <v>0</v>
      </c>
    </row>
    <row r="57" spans="2:7" s="132" customFormat="1" ht="36" customHeight="1" x14ac:dyDescent="0.3">
      <c r="B57" s="131"/>
      <c r="C57" s="1125" t="s">
        <v>568</v>
      </c>
      <c r="D57" s="430"/>
      <c r="E57" s="428">
        <v>6350</v>
      </c>
      <c r="F57" s="537">
        <v>5080</v>
      </c>
      <c r="G57" s="465">
        <f t="shared" si="2"/>
        <v>80</v>
      </c>
    </row>
    <row r="58" spans="2:7" s="104" customFormat="1" ht="19.5" customHeight="1" x14ac:dyDescent="0.3">
      <c r="B58" s="116"/>
      <c r="C58" s="1122" t="s">
        <v>555</v>
      </c>
      <c r="D58" s="421"/>
      <c r="E58" s="421">
        <v>2512</v>
      </c>
      <c r="F58" s="426">
        <v>2512</v>
      </c>
      <c r="G58" s="465">
        <f t="shared" si="2"/>
        <v>100</v>
      </c>
    </row>
    <row r="59" spans="2:7" s="104" customFormat="1" ht="19.5" customHeight="1" x14ac:dyDescent="0.3">
      <c r="B59" s="113" t="s">
        <v>198</v>
      </c>
      <c r="C59" s="1122"/>
      <c r="D59" s="433"/>
      <c r="E59" s="433"/>
      <c r="F59" s="426"/>
      <c r="G59" s="465"/>
    </row>
    <row r="60" spans="2:7" s="104" customFormat="1" ht="19.5" customHeight="1" x14ac:dyDescent="0.3">
      <c r="B60" s="116"/>
      <c r="C60" s="1122" t="s">
        <v>652</v>
      </c>
      <c r="D60" s="421">
        <v>5000</v>
      </c>
      <c r="E60" s="421">
        <v>56016</v>
      </c>
      <c r="F60" s="426">
        <v>50771</v>
      </c>
      <c r="G60" s="465">
        <f>+F60/D60*100</f>
        <v>1015.42</v>
      </c>
    </row>
    <row r="61" spans="2:7" s="132" customFormat="1" ht="36" customHeight="1" x14ac:dyDescent="0.3">
      <c r="B61" s="131"/>
      <c r="C61" s="1125" t="s">
        <v>466</v>
      </c>
      <c r="D61" s="430"/>
      <c r="E61" s="428">
        <v>1397</v>
      </c>
      <c r="F61" s="537">
        <v>1397</v>
      </c>
      <c r="G61" s="465">
        <f t="shared" si="2"/>
        <v>100</v>
      </c>
    </row>
    <row r="62" spans="2:7" s="104" customFormat="1" ht="19.5" customHeight="1" x14ac:dyDescent="0.3">
      <c r="B62" s="113" t="s">
        <v>18</v>
      </c>
      <c r="C62" s="1116"/>
      <c r="D62" s="432"/>
      <c r="E62" s="432"/>
      <c r="F62" s="426"/>
      <c r="G62" s="465"/>
    </row>
    <row r="63" spans="2:7" s="104" customFormat="1" ht="19.5" customHeight="1" x14ac:dyDescent="0.3">
      <c r="B63" s="113"/>
      <c r="C63" s="1116" t="s">
        <v>564</v>
      </c>
      <c r="D63" s="432"/>
      <c r="E63" s="432">
        <v>4500</v>
      </c>
      <c r="F63" s="426">
        <v>4296</v>
      </c>
      <c r="G63" s="465">
        <f t="shared" si="2"/>
        <v>95.466666666666669</v>
      </c>
    </row>
    <row r="64" spans="2:7" s="104" customFormat="1" ht="19.5" customHeight="1" x14ac:dyDescent="0.3">
      <c r="B64" s="116"/>
      <c r="C64" s="1128" t="s">
        <v>503</v>
      </c>
      <c r="D64" s="421">
        <v>2000</v>
      </c>
      <c r="E64" s="421">
        <v>2000</v>
      </c>
      <c r="F64" s="429">
        <v>1772</v>
      </c>
      <c r="G64" s="465">
        <f>+F64/E64*100</f>
        <v>88.6</v>
      </c>
    </row>
    <row r="65" spans="2:7" s="104" customFormat="1" ht="19.5" customHeight="1" x14ac:dyDescent="0.3">
      <c r="B65" s="116"/>
      <c r="C65" s="1104" t="s">
        <v>467</v>
      </c>
      <c r="D65" s="421">
        <v>5000</v>
      </c>
      <c r="E65" s="421">
        <v>22405</v>
      </c>
      <c r="F65" s="429">
        <v>18792</v>
      </c>
      <c r="G65" s="465">
        <f t="shared" ref="G65:G71" si="6">+F65/E65*100</f>
        <v>83.87413523767016</v>
      </c>
    </row>
    <row r="66" spans="2:7" s="104" customFormat="1" ht="19.5" customHeight="1" x14ac:dyDescent="0.3">
      <c r="B66" s="116"/>
      <c r="C66" s="1129" t="s">
        <v>484</v>
      </c>
      <c r="D66" s="427">
        <v>6000</v>
      </c>
      <c r="E66" s="427">
        <v>14748</v>
      </c>
      <c r="F66" s="434">
        <v>14495</v>
      </c>
      <c r="G66" s="465">
        <f t="shared" si="6"/>
        <v>98.284513154326021</v>
      </c>
    </row>
    <row r="67" spans="2:7" s="104" customFormat="1" ht="19.5" customHeight="1" x14ac:dyDescent="0.3">
      <c r="B67" s="113" t="s">
        <v>34</v>
      </c>
      <c r="C67" s="1130"/>
      <c r="D67" s="427"/>
      <c r="E67" s="427"/>
      <c r="F67" s="432"/>
      <c r="G67" s="465"/>
    </row>
    <row r="68" spans="2:7" s="104" customFormat="1" ht="19.5" customHeight="1" x14ac:dyDescent="0.3">
      <c r="B68" s="113"/>
      <c r="C68" s="1130" t="s">
        <v>382</v>
      </c>
      <c r="D68" s="427">
        <v>2944424</v>
      </c>
      <c r="E68" s="427">
        <v>0</v>
      </c>
      <c r="F68" s="432"/>
      <c r="G68" s="465"/>
    </row>
    <row r="69" spans="2:7" s="132" customFormat="1" ht="19.5" customHeight="1" x14ac:dyDescent="0.3">
      <c r="B69" s="131"/>
      <c r="C69" s="1131" t="s">
        <v>271</v>
      </c>
      <c r="D69" s="435"/>
      <c r="E69" s="432">
        <v>66111</v>
      </c>
      <c r="F69" s="536">
        <v>60198</v>
      </c>
      <c r="G69" s="750">
        <f t="shared" si="6"/>
        <v>91.055951354540085</v>
      </c>
    </row>
    <row r="70" spans="2:7" s="104" customFormat="1" ht="19.5" customHeight="1" x14ac:dyDescent="0.3">
      <c r="B70" s="116"/>
      <c r="C70" s="1132" t="s">
        <v>653</v>
      </c>
      <c r="D70" s="432"/>
      <c r="E70" s="432">
        <v>235232</v>
      </c>
      <c r="F70" s="536">
        <v>235232</v>
      </c>
      <c r="G70" s="750">
        <f t="shared" si="6"/>
        <v>100</v>
      </c>
    </row>
    <row r="71" spans="2:7" s="104" customFormat="1" ht="19.5" customHeight="1" x14ac:dyDescent="0.3">
      <c r="B71" s="116"/>
      <c r="C71" s="1132" t="s">
        <v>654</v>
      </c>
      <c r="D71" s="432"/>
      <c r="E71" s="432">
        <v>18758</v>
      </c>
      <c r="F71" s="472">
        <v>18121</v>
      </c>
      <c r="G71" s="750">
        <f t="shared" si="6"/>
        <v>96.604115577353667</v>
      </c>
    </row>
    <row r="72" spans="2:7" s="104" customFormat="1" ht="33.75" customHeight="1" x14ac:dyDescent="0.3">
      <c r="B72" s="116"/>
      <c r="C72" s="1092" t="s">
        <v>479</v>
      </c>
      <c r="D72" s="432"/>
      <c r="E72" s="432">
        <v>479335</v>
      </c>
      <c r="F72" s="472">
        <f>14534+3063</f>
        <v>17597</v>
      </c>
      <c r="G72" s="750">
        <f>+F72/E72*100</f>
        <v>3.6711277081790392</v>
      </c>
    </row>
    <row r="73" spans="2:7" s="104" customFormat="1" ht="33.75" customHeight="1" x14ac:dyDescent="0.3">
      <c r="B73" s="116"/>
      <c r="C73" s="1092" t="s">
        <v>597</v>
      </c>
      <c r="D73" s="432"/>
      <c r="E73" s="432">
        <v>110899</v>
      </c>
      <c r="F73" s="472"/>
      <c r="G73" s="750">
        <f>+F73/E73*100</f>
        <v>0</v>
      </c>
    </row>
    <row r="74" spans="2:7" s="104" customFormat="1" ht="48" customHeight="1" x14ac:dyDescent="0.3">
      <c r="B74" s="116"/>
      <c r="C74" s="1132" t="s">
        <v>598</v>
      </c>
      <c r="D74" s="426"/>
      <c r="E74" s="426">
        <v>3063</v>
      </c>
      <c r="F74" s="466"/>
      <c r="G74" s="750">
        <f t="shared" si="2"/>
        <v>0</v>
      </c>
    </row>
    <row r="75" spans="2:7" s="132" customFormat="1" ht="36" customHeight="1" x14ac:dyDescent="0.3">
      <c r="B75" s="131"/>
      <c r="C75" s="1125" t="s">
        <v>396</v>
      </c>
      <c r="D75" s="430"/>
      <c r="E75" s="428">
        <v>150</v>
      </c>
      <c r="F75" s="537">
        <v>150</v>
      </c>
      <c r="G75" s="465">
        <f t="shared" si="2"/>
        <v>100</v>
      </c>
    </row>
    <row r="76" spans="2:7" s="132" customFormat="1" ht="36" customHeight="1" x14ac:dyDescent="0.3">
      <c r="B76" s="131"/>
      <c r="C76" s="1125" t="s">
        <v>397</v>
      </c>
      <c r="D76" s="430"/>
      <c r="E76" s="428">
        <v>260</v>
      </c>
      <c r="F76" s="537">
        <v>260</v>
      </c>
      <c r="G76" s="465">
        <f t="shared" si="2"/>
        <v>100</v>
      </c>
    </row>
    <row r="77" spans="2:7" s="132" customFormat="1" ht="36" customHeight="1" x14ac:dyDescent="0.3">
      <c r="B77" s="131"/>
      <c r="C77" s="1125" t="s">
        <v>393</v>
      </c>
      <c r="D77" s="430"/>
      <c r="E77" s="428">
        <v>7801</v>
      </c>
      <c r="F77" s="537">
        <v>7801</v>
      </c>
      <c r="G77" s="465">
        <f t="shared" si="2"/>
        <v>100</v>
      </c>
    </row>
    <row r="78" spans="2:7" s="132" customFormat="1" ht="36" customHeight="1" x14ac:dyDescent="0.3">
      <c r="B78" s="131"/>
      <c r="C78" s="1125" t="s">
        <v>398</v>
      </c>
      <c r="D78" s="430"/>
      <c r="E78" s="428">
        <v>9264</v>
      </c>
      <c r="F78" s="537">
        <v>8813</v>
      </c>
      <c r="G78" s="465">
        <f t="shared" si="2"/>
        <v>95.131692573402418</v>
      </c>
    </row>
    <row r="79" spans="2:7" s="104" customFormat="1" ht="19.5" customHeight="1" x14ac:dyDescent="0.3">
      <c r="B79" s="116"/>
      <c r="C79" s="1132" t="s">
        <v>394</v>
      </c>
      <c r="D79" s="432"/>
      <c r="E79" s="432">
        <v>15748</v>
      </c>
      <c r="F79" s="472">
        <v>15748</v>
      </c>
      <c r="G79" s="750">
        <f t="shared" si="2"/>
        <v>100</v>
      </c>
    </row>
    <row r="80" spans="2:7" s="104" customFormat="1" ht="19.5" customHeight="1" x14ac:dyDescent="0.3">
      <c r="B80" s="116"/>
      <c r="C80" s="1132" t="s">
        <v>507</v>
      </c>
      <c r="D80" s="432"/>
      <c r="E80" s="432">
        <v>4252</v>
      </c>
      <c r="F80" s="472"/>
      <c r="G80" s="750">
        <f t="shared" si="2"/>
        <v>0</v>
      </c>
    </row>
    <row r="81" spans="1:7" s="104" customFormat="1" ht="19.5" customHeight="1" x14ac:dyDescent="0.3">
      <c r="A81" s="133"/>
      <c r="B81" s="116"/>
      <c r="C81" s="1092" t="s">
        <v>399</v>
      </c>
      <c r="D81" s="421"/>
      <c r="E81" s="421">
        <v>9826</v>
      </c>
      <c r="F81" s="466">
        <v>9354</v>
      </c>
      <c r="G81" s="750">
        <f t="shared" si="2"/>
        <v>95.196417667412987</v>
      </c>
    </row>
    <row r="82" spans="1:7" s="132" customFormat="1" ht="36" customHeight="1" x14ac:dyDescent="0.3">
      <c r="B82" s="131"/>
      <c r="C82" s="1125" t="s">
        <v>508</v>
      </c>
      <c r="D82" s="430"/>
      <c r="E82" s="428">
        <v>2340</v>
      </c>
      <c r="F82" s="537"/>
      <c r="G82" s="465">
        <f t="shared" si="2"/>
        <v>0</v>
      </c>
    </row>
    <row r="83" spans="1:7" s="104" customFormat="1" ht="19.5" customHeight="1" x14ac:dyDescent="0.3">
      <c r="B83" s="116"/>
      <c r="C83" s="1092" t="s">
        <v>420</v>
      </c>
      <c r="D83" s="421"/>
      <c r="E83" s="421">
        <v>100574</v>
      </c>
      <c r="F83" s="466">
        <v>100574</v>
      </c>
      <c r="G83" s="750">
        <f t="shared" si="2"/>
        <v>100</v>
      </c>
    </row>
    <row r="84" spans="1:7" s="104" customFormat="1" ht="33" customHeight="1" x14ac:dyDescent="0.3">
      <c r="B84" s="116"/>
      <c r="C84" s="1092" t="s">
        <v>509</v>
      </c>
      <c r="D84" s="427"/>
      <c r="E84" s="427">
        <v>26640</v>
      </c>
      <c r="F84" s="472"/>
      <c r="G84" s="750">
        <f t="shared" si="2"/>
        <v>0</v>
      </c>
    </row>
    <row r="85" spans="1:7" s="132" customFormat="1" ht="30.6" customHeight="1" x14ac:dyDescent="0.3">
      <c r="B85" s="131"/>
      <c r="C85" s="1134" t="s">
        <v>421</v>
      </c>
      <c r="D85" s="435"/>
      <c r="E85" s="432">
        <v>27685</v>
      </c>
      <c r="F85" s="472">
        <v>21203</v>
      </c>
      <c r="G85" s="750">
        <f t="shared" si="2"/>
        <v>76.586599241466502</v>
      </c>
    </row>
    <row r="86" spans="1:7" s="132" customFormat="1" ht="36" customHeight="1" x14ac:dyDescent="0.3">
      <c r="B86" s="131"/>
      <c r="C86" s="1125" t="s">
        <v>510</v>
      </c>
      <c r="D86" s="430"/>
      <c r="E86" s="428">
        <v>5589</v>
      </c>
      <c r="F86" s="537"/>
      <c r="G86" s="465">
        <f t="shared" si="2"/>
        <v>0</v>
      </c>
    </row>
    <row r="87" spans="1:7" s="132" customFormat="1" ht="36" customHeight="1" x14ac:dyDescent="0.3">
      <c r="B87" s="131"/>
      <c r="C87" s="1125" t="s">
        <v>395</v>
      </c>
      <c r="D87" s="430"/>
      <c r="E87" s="428">
        <v>41490</v>
      </c>
      <c r="F87" s="537">
        <v>41460</v>
      </c>
      <c r="G87" s="465">
        <f t="shared" si="2"/>
        <v>99.927693420101221</v>
      </c>
    </row>
    <row r="88" spans="1:7" s="132" customFormat="1" ht="36" customHeight="1" x14ac:dyDescent="0.3">
      <c r="B88" s="131"/>
      <c r="C88" s="1125" t="s">
        <v>596</v>
      </c>
      <c r="D88" s="430"/>
      <c r="E88" s="428">
        <v>11194</v>
      </c>
      <c r="F88" s="537"/>
      <c r="G88" s="465">
        <f t="shared" si="2"/>
        <v>0</v>
      </c>
    </row>
    <row r="89" spans="1:7" s="132" customFormat="1" ht="36" customHeight="1" x14ac:dyDescent="0.3">
      <c r="B89" s="131"/>
      <c r="C89" s="1125" t="s">
        <v>400</v>
      </c>
      <c r="D89" s="430"/>
      <c r="E89" s="428">
        <v>7292</v>
      </c>
      <c r="F89" s="537">
        <v>6559</v>
      </c>
      <c r="G89" s="465">
        <f t="shared" si="2"/>
        <v>89.947888096544162</v>
      </c>
    </row>
    <row r="90" spans="1:7" s="132" customFormat="1" ht="36" customHeight="1" x14ac:dyDescent="0.3">
      <c r="B90" s="131"/>
      <c r="C90" s="1125" t="s">
        <v>1203</v>
      </c>
      <c r="D90" s="430"/>
      <c r="E90" s="428">
        <v>1587</v>
      </c>
      <c r="F90" s="537"/>
      <c r="G90" s="465">
        <f t="shared" si="2"/>
        <v>0</v>
      </c>
    </row>
    <row r="91" spans="1:7" s="104" customFormat="1" ht="19.5" customHeight="1" x14ac:dyDescent="0.3">
      <c r="B91" s="116"/>
      <c r="C91" s="1092" t="s">
        <v>401</v>
      </c>
      <c r="D91" s="421"/>
      <c r="E91" s="421">
        <v>232</v>
      </c>
      <c r="F91" s="466">
        <v>231</v>
      </c>
      <c r="G91" s="750">
        <f t="shared" si="2"/>
        <v>99.568965517241381</v>
      </c>
    </row>
    <row r="92" spans="1:7" s="132" customFormat="1" ht="36" customHeight="1" x14ac:dyDescent="0.3">
      <c r="B92" s="131"/>
      <c r="C92" s="1125" t="s">
        <v>416</v>
      </c>
      <c r="D92" s="430"/>
      <c r="E92" s="428">
        <v>150</v>
      </c>
      <c r="F92" s="537">
        <v>150</v>
      </c>
      <c r="G92" s="465">
        <f t="shared" si="2"/>
        <v>100</v>
      </c>
    </row>
    <row r="93" spans="1:7" s="132" customFormat="1" ht="19.5" customHeight="1" x14ac:dyDescent="0.3">
      <c r="B93" s="131"/>
      <c r="C93" s="1131" t="s">
        <v>485</v>
      </c>
      <c r="D93" s="422">
        <v>40000</v>
      </c>
      <c r="E93" s="426">
        <v>28893</v>
      </c>
      <c r="F93" s="466">
        <v>9714</v>
      </c>
      <c r="G93" s="750">
        <f t="shared" si="2"/>
        <v>33.62060014536393</v>
      </c>
    </row>
    <row r="94" spans="1:7" s="132" customFormat="1" ht="19.5" customHeight="1" x14ac:dyDescent="0.3">
      <c r="B94" s="131"/>
      <c r="C94" s="1125" t="s">
        <v>428</v>
      </c>
      <c r="D94" s="422"/>
      <c r="E94" s="426">
        <v>145800</v>
      </c>
      <c r="F94" s="466">
        <v>4753</v>
      </c>
      <c r="G94" s="750">
        <f t="shared" si="2"/>
        <v>3.2599451303155011</v>
      </c>
    </row>
    <row r="95" spans="1:7" s="132" customFormat="1" ht="19.5" customHeight="1" x14ac:dyDescent="0.3">
      <c r="B95" s="131"/>
      <c r="C95" s="1125" t="s">
        <v>583</v>
      </c>
      <c r="D95" s="422"/>
      <c r="E95" s="426">
        <v>10</v>
      </c>
      <c r="F95" s="466"/>
      <c r="G95" s="750">
        <f t="shared" si="2"/>
        <v>0</v>
      </c>
    </row>
    <row r="96" spans="1:7" s="104" customFormat="1" ht="19.5" customHeight="1" x14ac:dyDescent="0.3">
      <c r="B96" s="116"/>
      <c r="C96" s="1092" t="s">
        <v>344</v>
      </c>
      <c r="D96" s="421"/>
      <c r="E96" s="421">
        <v>23541</v>
      </c>
      <c r="F96" s="466">
        <v>23540</v>
      </c>
      <c r="G96" s="750">
        <f>+F96/E96*100</f>
        <v>99.995752092094648</v>
      </c>
    </row>
    <row r="97" spans="2:7" s="104" customFormat="1" ht="19.5" customHeight="1" x14ac:dyDescent="0.3">
      <c r="B97" s="116"/>
      <c r="C97" s="1092" t="s">
        <v>1204</v>
      </c>
      <c r="D97" s="421"/>
      <c r="E97" s="421">
        <v>625</v>
      </c>
      <c r="F97" s="466">
        <v>606</v>
      </c>
      <c r="G97" s="750">
        <f t="shared" ref="G97:G98" si="7">+F97/E97*100</f>
        <v>96.960000000000008</v>
      </c>
    </row>
    <row r="98" spans="2:7" s="104" customFormat="1" ht="19.5" customHeight="1" x14ac:dyDescent="0.3">
      <c r="B98" s="116"/>
      <c r="C98" s="1092" t="s">
        <v>1205</v>
      </c>
      <c r="D98" s="421"/>
      <c r="E98" s="421">
        <v>49729</v>
      </c>
      <c r="F98" s="466">
        <v>49729</v>
      </c>
      <c r="G98" s="750">
        <f t="shared" si="7"/>
        <v>100</v>
      </c>
    </row>
    <row r="99" spans="2:7" s="104" customFormat="1" ht="19.5" customHeight="1" x14ac:dyDescent="0.3">
      <c r="B99" s="116"/>
      <c r="C99" s="1125" t="s">
        <v>558</v>
      </c>
      <c r="D99" s="421"/>
      <c r="E99" s="421">
        <v>2150</v>
      </c>
      <c r="F99" s="466">
        <v>2150</v>
      </c>
      <c r="G99" s="750">
        <f t="shared" ref="G99:G112" si="8">+F99/E99*100</f>
        <v>100</v>
      </c>
    </row>
    <row r="100" spans="2:7" s="104" customFormat="1" ht="19.5" customHeight="1" x14ac:dyDescent="0.3">
      <c r="B100" s="116"/>
      <c r="C100" s="1125" t="s">
        <v>373</v>
      </c>
      <c r="D100" s="473"/>
      <c r="E100" s="473">
        <v>224578</v>
      </c>
      <c r="F100" s="472">
        <v>224337</v>
      </c>
      <c r="G100" s="750">
        <f t="shared" si="8"/>
        <v>99.892687618555684</v>
      </c>
    </row>
    <row r="101" spans="2:7" s="104" customFormat="1" ht="31.15" customHeight="1" x14ac:dyDescent="0.3">
      <c r="B101" s="116"/>
      <c r="C101" s="1125" t="s">
        <v>406</v>
      </c>
      <c r="D101" s="473"/>
      <c r="E101" s="473">
        <v>50309</v>
      </c>
      <c r="F101" s="472"/>
      <c r="G101" s="750">
        <f t="shared" si="8"/>
        <v>0</v>
      </c>
    </row>
    <row r="102" spans="2:7" s="104" customFormat="1" ht="33.6" customHeight="1" x14ac:dyDescent="0.3">
      <c r="B102" s="116"/>
      <c r="C102" s="1127" t="s">
        <v>372</v>
      </c>
      <c r="D102" s="474"/>
      <c r="E102" s="474">
        <v>16211</v>
      </c>
      <c r="F102" s="466">
        <v>10412</v>
      </c>
      <c r="G102" s="750">
        <f t="shared" si="8"/>
        <v>64.227993337857015</v>
      </c>
    </row>
    <row r="103" spans="2:7" s="132" customFormat="1" ht="36" customHeight="1" x14ac:dyDescent="0.3">
      <c r="B103" s="131"/>
      <c r="C103" s="1125" t="s">
        <v>407</v>
      </c>
      <c r="D103" s="430"/>
      <c r="E103" s="428">
        <v>162</v>
      </c>
      <c r="F103" s="537"/>
      <c r="G103" s="465">
        <f t="shared" si="8"/>
        <v>0</v>
      </c>
    </row>
    <row r="104" spans="2:7" s="104" customFormat="1" ht="33" customHeight="1" x14ac:dyDescent="0.3">
      <c r="B104" s="116"/>
      <c r="C104" s="1133" t="s">
        <v>1394</v>
      </c>
      <c r="D104" s="474"/>
      <c r="E104" s="474">
        <v>3976</v>
      </c>
      <c r="F104" s="466">
        <v>3976</v>
      </c>
      <c r="G104" s="750">
        <f t="shared" si="8"/>
        <v>100</v>
      </c>
    </row>
    <row r="105" spans="2:7" s="132" customFormat="1" ht="36" customHeight="1" x14ac:dyDescent="0.3">
      <c r="B105" s="131"/>
      <c r="C105" s="1125" t="s">
        <v>1395</v>
      </c>
      <c r="D105" s="430"/>
      <c r="E105" s="428">
        <v>8362</v>
      </c>
      <c r="F105" s="537">
        <v>2007</v>
      </c>
      <c r="G105" s="465">
        <f t="shared" si="8"/>
        <v>24.001435063381965</v>
      </c>
    </row>
    <row r="106" spans="2:7" s="132" customFormat="1" ht="36" customHeight="1" x14ac:dyDescent="0.3">
      <c r="B106" s="131"/>
      <c r="C106" s="1125" t="s">
        <v>1396</v>
      </c>
      <c r="D106" s="430"/>
      <c r="E106" s="428">
        <v>11420</v>
      </c>
      <c r="F106" s="537">
        <v>4472</v>
      </c>
      <c r="G106" s="465">
        <f t="shared" si="8"/>
        <v>39.159369527145358</v>
      </c>
    </row>
    <row r="107" spans="2:7" s="132" customFormat="1" ht="36" customHeight="1" x14ac:dyDescent="0.3">
      <c r="B107" s="131"/>
      <c r="C107" s="1125" t="s">
        <v>1397</v>
      </c>
      <c r="D107" s="430"/>
      <c r="E107" s="428">
        <v>7818</v>
      </c>
      <c r="F107" s="537"/>
      <c r="G107" s="465">
        <f t="shared" si="8"/>
        <v>0</v>
      </c>
    </row>
    <row r="108" spans="2:7" s="132" customFormat="1" ht="36" customHeight="1" x14ac:dyDescent="0.3">
      <c r="B108" s="131"/>
      <c r="C108" s="1125" t="s">
        <v>1398</v>
      </c>
      <c r="D108" s="430"/>
      <c r="E108" s="428">
        <v>3717</v>
      </c>
      <c r="F108" s="537">
        <v>2154</v>
      </c>
      <c r="G108" s="465">
        <f t="shared" si="8"/>
        <v>57.949959644874902</v>
      </c>
    </row>
    <row r="109" spans="2:7" s="104" customFormat="1" ht="19.5" customHeight="1" x14ac:dyDescent="0.3">
      <c r="B109" s="116"/>
      <c r="C109" s="1133" t="s">
        <v>439</v>
      </c>
      <c r="D109" s="474"/>
      <c r="E109" s="474">
        <v>560975</v>
      </c>
      <c r="F109" s="466">
        <v>481919</v>
      </c>
      <c r="G109" s="750">
        <f t="shared" si="8"/>
        <v>85.907393377601494</v>
      </c>
    </row>
    <row r="110" spans="2:7" s="104" customFormat="1" ht="31.9" customHeight="1" x14ac:dyDescent="0.3">
      <c r="B110" s="116"/>
      <c r="C110" s="1133" t="s">
        <v>440</v>
      </c>
      <c r="D110" s="474"/>
      <c r="E110" s="474">
        <v>33674</v>
      </c>
      <c r="F110" s="466"/>
      <c r="G110" s="750">
        <f t="shared" si="8"/>
        <v>0</v>
      </c>
    </row>
    <row r="111" spans="2:7" s="104" customFormat="1" ht="30.6" customHeight="1" x14ac:dyDescent="0.3">
      <c r="B111" s="116"/>
      <c r="C111" s="1133" t="s">
        <v>469</v>
      </c>
      <c r="D111" s="474"/>
      <c r="E111" s="474">
        <v>15991</v>
      </c>
      <c r="F111" s="466">
        <v>8918</v>
      </c>
      <c r="G111" s="750">
        <f t="shared" si="8"/>
        <v>55.768869989369016</v>
      </c>
    </row>
    <row r="112" spans="2:7" s="104" customFormat="1" ht="19.5" customHeight="1" x14ac:dyDescent="0.3">
      <c r="B112" s="116"/>
      <c r="C112" s="1133" t="s">
        <v>655</v>
      </c>
      <c r="D112" s="474"/>
      <c r="E112" s="474">
        <v>495</v>
      </c>
      <c r="F112" s="466">
        <v>494</v>
      </c>
      <c r="G112" s="750">
        <f t="shared" si="8"/>
        <v>99.797979797979792</v>
      </c>
    </row>
    <row r="113" spans="2:10" s="104" customFormat="1" ht="19.5" customHeight="1" x14ac:dyDescent="0.3">
      <c r="B113" s="126"/>
      <c r="C113" s="1120" t="s">
        <v>37</v>
      </c>
      <c r="D113" s="436">
        <f>SUM(D21:D112)</f>
        <v>3660213</v>
      </c>
      <c r="E113" s="437">
        <f>SUM(E21:E112)</f>
        <v>6078542</v>
      </c>
      <c r="F113" s="438">
        <f>SUM(F21:F112)</f>
        <v>3073151</v>
      </c>
      <c r="G113" s="746">
        <f>+F113/E113*100</f>
        <v>50.55737050101817</v>
      </c>
      <c r="H113" s="117"/>
      <c r="I113" s="117"/>
      <c r="J113" s="117"/>
    </row>
    <row r="114" spans="2:10" s="104" customFormat="1" ht="19.5" customHeight="1" x14ac:dyDescent="0.3">
      <c r="B114" s="125" t="s">
        <v>345</v>
      </c>
      <c r="C114" s="1118" t="s">
        <v>380</v>
      </c>
      <c r="D114" s="439"/>
      <c r="E114" s="420"/>
      <c r="F114" s="420"/>
      <c r="G114" s="440"/>
    </row>
    <row r="115" spans="2:10" s="104" customFormat="1" ht="15.6" customHeight="1" x14ac:dyDescent="0.3">
      <c r="B115" s="116"/>
      <c r="C115" s="1135"/>
      <c r="D115" s="421"/>
      <c r="E115" s="421"/>
      <c r="F115" s="429"/>
      <c r="G115" s="465"/>
    </row>
    <row r="116" spans="2:10" s="128" customFormat="1" ht="19.5" customHeight="1" x14ac:dyDescent="0.3">
      <c r="B116" s="125"/>
      <c r="C116" s="1118" t="s">
        <v>381</v>
      </c>
      <c r="D116" s="439">
        <f t="shared" ref="D116:G116" si="9">SUM(D115:D115)</f>
        <v>0</v>
      </c>
      <c r="E116" s="439">
        <f t="shared" si="9"/>
        <v>0</v>
      </c>
      <c r="F116" s="439">
        <f t="shared" si="9"/>
        <v>0</v>
      </c>
      <c r="G116" s="751">
        <f t="shared" si="9"/>
        <v>0</v>
      </c>
    </row>
    <row r="117" spans="2:10" s="130" customFormat="1" ht="19.5" customHeight="1" thickBot="1" x14ac:dyDescent="0.35">
      <c r="B117" s="134" t="s">
        <v>346</v>
      </c>
      <c r="C117" s="1136" t="s">
        <v>53</v>
      </c>
      <c r="D117" s="441">
        <v>10000</v>
      </c>
      <c r="E117" s="441">
        <v>10600</v>
      </c>
      <c r="F117" s="530">
        <v>3819</v>
      </c>
      <c r="G117" s="443">
        <f>+F117/E117*100</f>
        <v>36.028301886792455</v>
      </c>
    </row>
    <row r="118" spans="2:10" s="104" customFormat="1" ht="19.5" customHeight="1" thickBot="1" x14ac:dyDescent="0.35">
      <c r="B118" s="135"/>
      <c r="C118" s="1137" t="s">
        <v>656</v>
      </c>
      <c r="D118" s="442">
        <f>D9+D10+D15+D18+D113+D117+D12+D114+D116</f>
        <v>3670213</v>
      </c>
      <c r="E118" s="442">
        <f>E9+E10+E15+E18+E113+E117+E12+E114+E116</f>
        <v>6140936</v>
      </c>
      <c r="F118" s="442">
        <f>F9+F15+F18+F113+F117+F12+F116</f>
        <v>3083248</v>
      </c>
      <c r="G118" s="443">
        <f>+F118/E118*100</f>
        <v>50.208111597320013</v>
      </c>
    </row>
    <row r="119" spans="2:10" ht="19.5" customHeight="1" x14ac:dyDescent="0.25">
      <c r="B119" s="47"/>
      <c r="C119" s="1138"/>
      <c r="D119" s="47"/>
      <c r="E119" s="117"/>
      <c r="F119" s="117"/>
      <c r="G119" s="104"/>
    </row>
    <row r="120" spans="2:10" ht="19.5" customHeight="1" x14ac:dyDescent="0.25">
      <c r="B120" s="47"/>
      <c r="C120" s="1138"/>
      <c r="D120" s="47"/>
      <c r="E120" s="117"/>
      <c r="F120" s="117"/>
      <c r="G120" s="104"/>
    </row>
    <row r="121" spans="2:10" ht="19.5" customHeight="1" x14ac:dyDescent="0.25">
      <c r="B121" s="47"/>
      <c r="C121" s="1138"/>
      <c r="D121" s="47"/>
      <c r="E121" s="136"/>
      <c r="F121" s="136"/>
      <c r="G121" s="104"/>
    </row>
    <row r="122" spans="2:10" ht="19.5" customHeight="1" x14ac:dyDescent="0.25">
      <c r="B122" s="47"/>
      <c r="C122" s="1138"/>
      <c r="D122" s="47"/>
      <c r="E122" s="117"/>
      <c r="F122" s="117"/>
      <c r="G122" s="104"/>
    </row>
    <row r="123" spans="2:10" ht="19.5" customHeight="1" x14ac:dyDescent="0.25">
      <c r="B123" s="47"/>
      <c r="C123" s="1138"/>
      <c r="D123" s="47"/>
      <c r="E123" s="117"/>
      <c r="F123" s="117"/>
      <c r="G123" s="104"/>
    </row>
    <row r="124" spans="2:10" ht="19.5" customHeight="1" x14ac:dyDescent="0.25">
      <c r="B124" s="47"/>
      <c r="C124" s="1138"/>
      <c r="D124" s="47"/>
      <c r="E124" s="117"/>
      <c r="F124" s="117"/>
      <c r="G124" s="104"/>
    </row>
    <row r="125" spans="2:10" ht="19.5" customHeight="1" x14ac:dyDescent="0.25">
      <c r="B125" s="47"/>
      <c r="C125" s="1138"/>
      <c r="D125" s="47"/>
      <c r="E125" s="117"/>
      <c r="F125" s="117"/>
      <c r="G125" s="104"/>
    </row>
    <row r="126" spans="2:10" ht="19.5" customHeight="1" x14ac:dyDescent="0.25">
      <c r="B126" s="47"/>
      <c r="C126" s="1138"/>
      <c r="D126" s="47"/>
      <c r="E126" s="117"/>
      <c r="F126" s="117"/>
      <c r="G126" s="104"/>
    </row>
    <row r="127" spans="2:10" ht="19.5" customHeight="1" x14ac:dyDescent="0.25">
      <c r="B127" s="47"/>
      <c r="C127" s="1138"/>
      <c r="D127" s="47"/>
      <c r="E127" s="117"/>
      <c r="F127" s="117"/>
      <c r="G127" s="104"/>
    </row>
    <row r="128" spans="2:10" ht="19.5" customHeight="1" x14ac:dyDescent="0.25">
      <c r="B128" s="47"/>
      <c r="C128" s="1138"/>
      <c r="D128" s="47"/>
      <c r="E128" s="117"/>
      <c r="F128" s="117"/>
      <c r="G128" s="104"/>
    </row>
    <row r="129" spans="2:7" ht="19.5" customHeight="1" x14ac:dyDescent="0.25">
      <c r="B129" s="47"/>
      <c r="C129" s="1138"/>
      <c r="D129" s="47"/>
      <c r="E129" s="117"/>
      <c r="F129" s="117"/>
      <c r="G129" s="104"/>
    </row>
    <row r="130" spans="2:7" ht="15" customHeight="1" x14ac:dyDescent="0.25">
      <c r="F130" s="48"/>
    </row>
    <row r="133" spans="2:7" ht="15" customHeight="1" x14ac:dyDescent="0.2">
      <c r="G133" s="9"/>
    </row>
    <row r="135" spans="2:7" s="9" customFormat="1" ht="15" customHeight="1" x14ac:dyDescent="0.2">
      <c r="B135" s="8"/>
      <c r="C135" s="8"/>
      <c r="D135" s="8"/>
      <c r="G135" s="8"/>
    </row>
    <row r="136" spans="2:7" s="9" customFormat="1" ht="15" customHeight="1" x14ac:dyDescent="0.2">
      <c r="B136" s="8"/>
      <c r="C136" s="8"/>
      <c r="D136" s="8"/>
      <c r="G136" s="8"/>
    </row>
    <row r="137" spans="2:7" s="9" customFormat="1" ht="15" customHeight="1" x14ac:dyDescent="0.2">
      <c r="B137" s="8"/>
      <c r="C137" s="8"/>
      <c r="D137" s="8"/>
      <c r="G137" s="8"/>
    </row>
    <row r="138" spans="2:7" s="9" customFormat="1" ht="15" customHeight="1" x14ac:dyDescent="0.2">
      <c r="B138" s="8"/>
      <c r="C138" s="8"/>
      <c r="D138" s="8"/>
      <c r="G138" s="8"/>
    </row>
    <row r="139" spans="2:7" s="9" customFormat="1" ht="15" customHeight="1" x14ac:dyDescent="0.2">
      <c r="B139" s="8"/>
      <c r="C139" s="8"/>
      <c r="D139" s="8"/>
      <c r="G139" s="8"/>
    </row>
    <row r="140" spans="2:7" s="9" customFormat="1" ht="15" customHeight="1" x14ac:dyDescent="0.2">
      <c r="B140" s="8"/>
      <c r="C140" s="8"/>
      <c r="D140" s="8"/>
      <c r="G140" s="8"/>
    </row>
    <row r="141" spans="2:7" s="9" customFormat="1" ht="15" customHeight="1" x14ac:dyDescent="0.2">
      <c r="B141" s="8"/>
      <c r="C141" s="8"/>
      <c r="D141" s="8"/>
      <c r="G141" s="8"/>
    </row>
    <row r="142" spans="2:7" s="9" customFormat="1" ht="15" customHeight="1" x14ac:dyDescent="0.2">
      <c r="B142" s="8"/>
      <c r="C142" s="8"/>
      <c r="D142" s="8"/>
      <c r="G142" s="8"/>
    </row>
    <row r="143" spans="2:7" s="9" customFormat="1" ht="15" customHeight="1" x14ac:dyDescent="0.2">
      <c r="B143" s="8"/>
      <c r="C143" s="8"/>
      <c r="D143" s="8"/>
      <c r="G143" s="8"/>
    </row>
    <row r="144" spans="2:7" s="9" customFormat="1" ht="15" customHeight="1" x14ac:dyDescent="0.2">
      <c r="B144" s="8"/>
      <c r="C144" s="8"/>
      <c r="D144" s="8"/>
      <c r="G144" s="8"/>
    </row>
    <row r="145" spans="2:7" s="9" customFormat="1" ht="15" customHeight="1" x14ac:dyDescent="0.2">
      <c r="B145" s="8"/>
      <c r="C145" s="8"/>
      <c r="D145" s="8"/>
      <c r="G145" s="8"/>
    </row>
    <row r="146" spans="2:7" s="9" customFormat="1" ht="15" customHeight="1" x14ac:dyDescent="0.2">
      <c r="B146" s="8"/>
      <c r="C146" s="8"/>
      <c r="D146" s="8"/>
      <c r="G146" s="8"/>
    </row>
    <row r="147" spans="2:7" s="9" customFormat="1" ht="15" customHeight="1" x14ac:dyDescent="0.2">
      <c r="B147" s="8"/>
      <c r="C147" s="8"/>
      <c r="D147" s="8"/>
      <c r="G147" s="8"/>
    </row>
    <row r="148" spans="2:7" s="9" customFormat="1" ht="15" customHeight="1" x14ac:dyDescent="0.2">
      <c r="B148" s="8"/>
      <c r="C148" s="8"/>
      <c r="D148" s="8"/>
      <c r="G148" s="8"/>
    </row>
    <row r="149" spans="2:7" s="9" customFormat="1" ht="15" customHeight="1" x14ac:dyDescent="0.2">
      <c r="B149" s="8"/>
      <c r="C149" s="8"/>
      <c r="D149" s="8"/>
      <c r="G149" s="8"/>
    </row>
    <row r="150" spans="2:7" s="9" customFormat="1" ht="15" customHeight="1" x14ac:dyDescent="0.2">
      <c r="B150" s="8"/>
      <c r="C150" s="8"/>
      <c r="D150" s="8"/>
      <c r="G150" s="8"/>
    </row>
    <row r="151" spans="2:7" s="9" customFormat="1" ht="15" customHeight="1" x14ac:dyDescent="0.2">
      <c r="B151" s="8"/>
      <c r="C151" s="8"/>
      <c r="D151" s="8"/>
      <c r="G151" s="8"/>
    </row>
    <row r="152" spans="2:7" s="9" customFormat="1" ht="15" customHeight="1" x14ac:dyDescent="0.2">
      <c r="B152" s="8"/>
      <c r="C152" s="8"/>
      <c r="D152" s="8"/>
      <c r="G152" s="8"/>
    </row>
    <row r="153" spans="2:7" s="9" customFormat="1" ht="15" customHeight="1" x14ac:dyDescent="0.2">
      <c r="B153" s="8"/>
      <c r="C153" s="8"/>
      <c r="D153" s="8"/>
      <c r="G153" s="8"/>
    </row>
    <row r="154" spans="2:7" s="9" customFormat="1" ht="15" customHeight="1" x14ac:dyDescent="0.2">
      <c r="B154" s="8"/>
      <c r="C154" s="8"/>
      <c r="D154" s="8"/>
      <c r="G154" s="8"/>
    </row>
    <row r="155" spans="2:7" s="9" customFormat="1" ht="15" customHeight="1" x14ac:dyDescent="0.2">
      <c r="B155" s="8"/>
      <c r="C155" s="8"/>
      <c r="D155" s="8"/>
      <c r="G155" s="8"/>
    </row>
    <row r="156" spans="2:7" s="9" customFormat="1" ht="15" customHeight="1" x14ac:dyDescent="0.2">
      <c r="B156" s="8"/>
      <c r="C156" s="8"/>
      <c r="D156" s="8"/>
      <c r="G156" s="8"/>
    </row>
    <row r="157" spans="2:7" s="9" customFormat="1" ht="15" customHeight="1" x14ac:dyDescent="0.2">
      <c r="B157" s="8"/>
      <c r="C157" s="8"/>
      <c r="D157" s="8"/>
      <c r="G157" s="8"/>
    </row>
    <row r="158" spans="2:7" s="9" customFormat="1" ht="15" customHeight="1" x14ac:dyDescent="0.2">
      <c r="B158" s="8"/>
      <c r="C158" s="8"/>
      <c r="D158" s="8"/>
      <c r="G158" s="8"/>
    </row>
    <row r="159" spans="2:7" s="9" customFormat="1" ht="15" customHeight="1" x14ac:dyDescent="0.2">
      <c r="B159" s="8"/>
      <c r="C159" s="8"/>
      <c r="D159" s="8"/>
      <c r="G159" s="8"/>
    </row>
    <row r="160" spans="2:7" s="9" customFormat="1" ht="15" customHeight="1" x14ac:dyDescent="0.2">
      <c r="B160" s="8"/>
      <c r="C160" s="8"/>
      <c r="D160" s="8"/>
      <c r="G160" s="8"/>
    </row>
    <row r="161" spans="2:7" s="9" customFormat="1" ht="15" customHeight="1" x14ac:dyDescent="0.2">
      <c r="B161" s="8"/>
      <c r="C161" s="8"/>
      <c r="D161" s="8"/>
      <c r="G161" s="8"/>
    </row>
    <row r="162" spans="2:7" s="9" customFormat="1" ht="15" customHeight="1" x14ac:dyDescent="0.2">
      <c r="B162" s="8"/>
      <c r="C162" s="8"/>
      <c r="D162" s="8"/>
      <c r="G162" s="8"/>
    </row>
    <row r="163" spans="2:7" s="9" customFormat="1" ht="15" customHeight="1" x14ac:dyDescent="0.2">
      <c r="B163" s="8"/>
      <c r="C163" s="8"/>
      <c r="D163" s="8"/>
      <c r="G163" s="8"/>
    </row>
    <row r="164" spans="2:7" s="9" customFormat="1" ht="15" customHeight="1" x14ac:dyDescent="0.2">
      <c r="B164" s="8"/>
      <c r="C164" s="8"/>
      <c r="D164" s="8"/>
      <c r="G164" s="8"/>
    </row>
    <row r="165" spans="2:7" s="9" customFormat="1" ht="15" customHeight="1" x14ac:dyDescent="0.2">
      <c r="B165" s="8"/>
      <c r="C165" s="8"/>
      <c r="D165" s="8"/>
      <c r="G165" s="8"/>
    </row>
    <row r="166" spans="2:7" s="9" customFormat="1" ht="15" customHeight="1" x14ac:dyDescent="0.2">
      <c r="B166" s="8"/>
      <c r="C166" s="8"/>
      <c r="D166" s="8"/>
      <c r="G166" s="8"/>
    </row>
    <row r="167" spans="2:7" s="9" customFormat="1" ht="15" customHeight="1" x14ac:dyDescent="0.2">
      <c r="B167" s="8"/>
      <c r="C167" s="8"/>
      <c r="D167" s="8"/>
      <c r="G167" s="8"/>
    </row>
    <row r="168" spans="2:7" s="9" customFormat="1" ht="15" customHeight="1" x14ac:dyDescent="0.2">
      <c r="B168" s="8"/>
      <c r="C168" s="8"/>
      <c r="D168" s="8"/>
      <c r="G168" s="8"/>
    </row>
    <row r="169" spans="2:7" s="9" customFormat="1" ht="15" customHeight="1" x14ac:dyDescent="0.2">
      <c r="B169" s="8"/>
      <c r="C169" s="8"/>
      <c r="D169" s="8"/>
      <c r="G169" s="8"/>
    </row>
    <row r="170" spans="2:7" s="9" customFormat="1" ht="15" customHeight="1" x14ac:dyDescent="0.2">
      <c r="B170" s="8"/>
      <c r="C170" s="8"/>
      <c r="D170" s="8"/>
      <c r="G170" s="8"/>
    </row>
    <row r="171" spans="2:7" s="9" customFormat="1" ht="15" customHeight="1" x14ac:dyDescent="0.2">
      <c r="B171" s="8"/>
      <c r="C171" s="8"/>
      <c r="D171" s="8"/>
      <c r="G171" s="8"/>
    </row>
    <row r="172" spans="2:7" s="9" customFormat="1" ht="15" customHeight="1" x14ac:dyDescent="0.2">
      <c r="B172" s="8"/>
      <c r="C172" s="8"/>
      <c r="D172" s="8"/>
      <c r="G172" s="8"/>
    </row>
    <row r="173" spans="2:7" s="9" customFormat="1" ht="15" customHeight="1" x14ac:dyDescent="0.2">
      <c r="B173" s="8"/>
      <c r="C173" s="8"/>
      <c r="D173" s="8"/>
      <c r="G173" s="8"/>
    </row>
    <row r="174" spans="2:7" s="9" customFormat="1" ht="15" customHeight="1" x14ac:dyDescent="0.2">
      <c r="B174" s="8"/>
      <c r="C174" s="8"/>
      <c r="D174" s="8"/>
      <c r="G174" s="8"/>
    </row>
    <row r="175" spans="2:7" s="9" customFormat="1" ht="15" customHeight="1" x14ac:dyDescent="0.2">
      <c r="B175" s="8"/>
      <c r="C175" s="8"/>
      <c r="D175" s="8"/>
      <c r="G175" s="8"/>
    </row>
    <row r="176" spans="2:7" s="9" customFormat="1" ht="15" customHeight="1" x14ac:dyDescent="0.2">
      <c r="B176" s="8"/>
      <c r="C176" s="8"/>
      <c r="D176" s="8"/>
      <c r="G176" s="8"/>
    </row>
    <row r="177" spans="2:7" s="9" customFormat="1" ht="15" customHeight="1" x14ac:dyDescent="0.2">
      <c r="B177" s="8"/>
      <c r="C177" s="8"/>
      <c r="D177" s="8"/>
      <c r="G177" s="8"/>
    </row>
    <row r="178" spans="2:7" s="9" customFormat="1" ht="15" customHeight="1" x14ac:dyDescent="0.2">
      <c r="B178" s="8"/>
      <c r="C178" s="8"/>
      <c r="D178" s="8"/>
      <c r="G178" s="8"/>
    </row>
    <row r="179" spans="2:7" s="9" customFormat="1" ht="15" customHeight="1" x14ac:dyDescent="0.2">
      <c r="B179" s="8"/>
      <c r="C179" s="8"/>
      <c r="D179" s="8"/>
      <c r="G179" s="8"/>
    </row>
    <row r="180" spans="2:7" s="9" customFormat="1" ht="15" customHeight="1" x14ac:dyDescent="0.2">
      <c r="B180" s="8"/>
      <c r="C180" s="8"/>
      <c r="D180" s="8"/>
      <c r="G180" s="8"/>
    </row>
    <row r="181" spans="2:7" s="9" customFormat="1" ht="15" customHeight="1" x14ac:dyDescent="0.2">
      <c r="B181" s="8"/>
      <c r="C181" s="8"/>
      <c r="D181" s="8"/>
      <c r="G181" s="8"/>
    </row>
    <row r="182" spans="2:7" s="9" customFormat="1" ht="15" customHeight="1" x14ac:dyDescent="0.2">
      <c r="B182" s="8"/>
      <c r="C182" s="8"/>
      <c r="D182" s="8"/>
      <c r="G182" s="8"/>
    </row>
    <row r="183" spans="2:7" s="9" customFormat="1" ht="15" customHeight="1" x14ac:dyDescent="0.2">
      <c r="B183" s="8"/>
      <c r="C183" s="8"/>
      <c r="D183" s="8"/>
      <c r="G183" s="8"/>
    </row>
    <row r="184" spans="2:7" s="9" customFormat="1" ht="15" customHeight="1" x14ac:dyDescent="0.2">
      <c r="B184" s="8"/>
      <c r="C184" s="8"/>
      <c r="D184" s="8"/>
      <c r="G184" s="8"/>
    </row>
    <row r="185" spans="2:7" s="9" customFormat="1" ht="15" customHeight="1" x14ac:dyDescent="0.2">
      <c r="B185" s="8"/>
      <c r="C185" s="8"/>
      <c r="D185" s="8"/>
      <c r="G185" s="8"/>
    </row>
    <row r="186" spans="2:7" s="9" customFormat="1" ht="15" customHeight="1" x14ac:dyDescent="0.2">
      <c r="B186" s="8"/>
      <c r="C186" s="8"/>
      <c r="D186" s="8"/>
      <c r="G186" s="8"/>
    </row>
    <row r="187" spans="2:7" s="9" customFormat="1" ht="15" customHeight="1" x14ac:dyDescent="0.2">
      <c r="B187" s="8"/>
      <c r="C187" s="8"/>
      <c r="D187" s="8"/>
      <c r="G187" s="8"/>
    </row>
    <row r="188" spans="2:7" s="9" customFormat="1" ht="15" customHeight="1" x14ac:dyDescent="0.2">
      <c r="B188" s="8"/>
      <c r="C188" s="8"/>
      <c r="D188" s="8"/>
      <c r="G188" s="8"/>
    </row>
    <row r="189" spans="2:7" s="9" customFormat="1" ht="15" customHeight="1" x14ac:dyDescent="0.2">
      <c r="B189" s="8"/>
      <c r="C189" s="8"/>
      <c r="D189" s="8"/>
      <c r="G189" s="8"/>
    </row>
    <row r="190" spans="2:7" s="9" customFormat="1" ht="15" customHeight="1" x14ac:dyDescent="0.2">
      <c r="B190" s="8"/>
      <c r="C190" s="8"/>
      <c r="D190" s="8"/>
      <c r="G190" s="8"/>
    </row>
    <row r="191" spans="2:7" s="9" customFormat="1" ht="15" customHeight="1" x14ac:dyDescent="0.2">
      <c r="B191" s="8"/>
      <c r="C191" s="8"/>
      <c r="D191" s="8"/>
      <c r="G191" s="8"/>
    </row>
    <row r="192" spans="2:7" s="9" customFormat="1" ht="15" customHeight="1" x14ac:dyDescent="0.2">
      <c r="B192" s="8"/>
      <c r="C192" s="8"/>
      <c r="D192" s="8"/>
      <c r="G192" s="8"/>
    </row>
    <row r="193" spans="2:7" s="9" customFormat="1" ht="15" customHeight="1" x14ac:dyDescent="0.2">
      <c r="B193" s="8"/>
      <c r="C193" s="8"/>
      <c r="D193" s="8"/>
      <c r="G193" s="8"/>
    </row>
    <row r="194" spans="2:7" s="9" customFormat="1" ht="15" customHeight="1" x14ac:dyDescent="0.2">
      <c r="B194" s="8"/>
      <c r="C194" s="8"/>
      <c r="D194" s="8"/>
      <c r="G194" s="8"/>
    </row>
    <row r="195" spans="2:7" s="9" customFormat="1" ht="15" customHeight="1" x14ac:dyDescent="0.2">
      <c r="B195" s="8"/>
      <c r="C195" s="8"/>
      <c r="D195" s="8"/>
      <c r="G195" s="8"/>
    </row>
    <row r="196" spans="2:7" s="9" customFormat="1" ht="15" customHeight="1" x14ac:dyDescent="0.2">
      <c r="B196" s="8"/>
      <c r="C196" s="8"/>
      <c r="D196" s="8"/>
      <c r="G196" s="8"/>
    </row>
    <row r="197" spans="2:7" s="9" customFormat="1" ht="15" customHeight="1" x14ac:dyDescent="0.2">
      <c r="B197" s="8"/>
      <c r="C197" s="8"/>
      <c r="D197" s="8"/>
      <c r="G197" s="8"/>
    </row>
    <row r="198" spans="2:7" s="9" customFormat="1" ht="15" customHeight="1" x14ac:dyDescent="0.2">
      <c r="B198" s="8"/>
      <c r="C198" s="8"/>
      <c r="D198" s="8"/>
      <c r="G198" s="8"/>
    </row>
    <row r="199" spans="2:7" s="9" customFormat="1" ht="15" customHeight="1" x14ac:dyDescent="0.2">
      <c r="B199" s="8"/>
      <c r="C199" s="8"/>
      <c r="D199" s="8"/>
      <c r="G199" s="8"/>
    </row>
    <row r="200" spans="2:7" s="9" customFormat="1" ht="15" customHeight="1" x14ac:dyDescent="0.2">
      <c r="B200" s="8"/>
      <c r="C200" s="8"/>
      <c r="D200" s="8"/>
      <c r="G200" s="8"/>
    </row>
    <row r="201" spans="2:7" s="9" customFormat="1" ht="15" customHeight="1" x14ac:dyDescent="0.2">
      <c r="B201" s="8"/>
      <c r="C201" s="8"/>
      <c r="D201" s="8"/>
      <c r="G201" s="8"/>
    </row>
    <row r="202" spans="2:7" s="9" customFormat="1" ht="15" customHeight="1" x14ac:dyDescent="0.2">
      <c r="B202" s="8"/>
      <c r="C202" s="8"/>
      <c r="D202" s="8"/>
      <c r="G202" s="8"/>
    </row>
    <row r="203" spans="2:7" s="9" customFormat="1" ht="15" customHeight="1" x14ac:dyDescent="0.2">
      <c r="B203" s="8"/>
      <c r="C203" s="8"/>
      <c r="D203" s="8"/>
      <c r="G203" s="8"/>
    </row>
    <row r="204" spans="2:7" s="9" customFormat="1" ht="15" customHeight="1" x14ac:dyDescent="0.2">
      <c r="B204" s="8"/>
      <c r="C204" s="8"/>
      <c r="D204" s="8"/>
      <c r="G204" s="8"/>
    </row>
    <row r="205" spans="2:7" s="9" customFormat="1" ht="15" customHeight="1" x14ac:dyDescent="0.2">
      <c r="B205" s="8"/>
      <c r="C205" s="8"/>
      <c r="D205" s="8"/>
      <c r="G205" s="8"/>
    </row>
    <row r="206" spans="2:7" s="9" customFormat="1" ht="15" customHeight="1" x14ac:dyDescent="0.2">
      <c r="B206" s="8"/>
      <c r="C206" s="8"/>
      <c r="D206" s="8"/>
      <c r="G206" s="8"/>
    </row>
    <row r="207" spans="2:7" s="9" customFormat="1" ht="15" customHeight="1" x14ac:dyDescent="0.2">
      <c r="B207" s="8"/>
      <c r="C207" s="8"/>
      <c r="D207" s="8"/>
      <c r="G207" s="8"/>
    </row>
    <row r="208" spans="2:7" s="9" customFormat="1" ht="15" customHeight="1" x14ac:dyDescent="0.2">
      <c r="B208" s="8"/>
      <c r="C208" s="8"/>
      <c r="D208" s="8"/>
      <c r="G208" s="8"/>
    </row>
    <row r="209" spans="2:7" s="9" customFormat="1" ht="15" customHeight="1" x14ac:dyDescent="0.2">
      <c r="B209" s="8"/>
      <c r="C209" s="8"/>
      <c r="D209" s="8"/>
      <c r="G209" s="8"/>
    </row>
    <row r="210" spans="2:7" s="9" customFormat="1" ht="15" customHeight="1" x14ac:dyDescent="0.2">
      <c r="B210" s="8"/>
      <c r="C210" s="8"/>
      <c r="D210" s="8"/>
      <c r="G210" s="8"/>
    </row>
    <row r="211" spans="2:7" s="9" customFormat="1" ht="15" customHeight="1" x14ac:dyDescent="0.2">
      <c r="B211" s="8"/>
      <c r="C211" s="8"/>
      <c r="D211" s="8"/>
      <c r="G211" s="8"/>
    </row>
    <row r="212" spans="2:7" s="9" customFormat="1" ht="15" customHeight="1" x14ac:dyDescent="0.2">
      <c r="B212" s="8"/>
      <c r="C212" s="8"/>
      <c r="D212" s="8"/>
      <c r="G212" s="8"/>
    </row>
    <row r="213" spans="2:7" s="9" customFormat="1" ht="15" customHeight="1" x14ac:dyDescent="0.2">
      <c r="B213" s="8"/>
      <c r="C213" s="8"/>
      <c r="D213" s="8"/>
      <c r="G213" s="8"/>
    </row>
    <row r="214" spans="2:7" s="9" customFormat="1" ht="15" customHeight="1" x14ac:dyDescent="0.2">
      <c r="B214" s="8"/>
      <c r="C214" s="8"/>
      <c r="D214" s="8"/>
      <c r="G214" s="8"/>
    </row>
    <row r="215" spans="2:7" s="9" customFormat="1" ht="15" customHeight="1" x14ac:dyDescent="0.2">
      <c r="B215" s="8"/>
      <c r="C215" s="8"/>
      <c r="D215" s="8"/>
      <c r="G215" s="8"/>
    </row>
    <row r="216" spans="2:7" s="9" customFormat="1" ht="15" customHeight="1" x14ac:dyDescent="0.2">
      <c r="B216" s="8"/>
      <c r="C216" s="8"/>
      <c r="D216" s="8"/>
      <c r="G216" s="8"/>
    </row>
    <row r="217" spans="2:7" s="9" customFormat="1" ht="15" customHeight="1" x14ac:dyDescent="0.2">
      <c r="B217" s="8"/>
      <c r="C217" s="8"/>
      <c r="D217" s="8"/>
      <c r="G217" s="8"/>
    </row>
    <row r="218" spans="2:7" s="9" customFormat="1" ht="15" customHeight="1" x14ac:dyDescent="0.2">
      <c r="B218" s="8"/>
      <c r="C218" s="8"/>
      <c r="D218" s="8"/>
      <c r="G218" s="8"/>
    </row>
    <row r="219" spans="2:7" s="9" customFormat="1" ht="15" customHeight="1" x14ac:dyDescent="0.2">
      <c r="B219" s="8"/>
      <c r="C219" s="8"/>
      <c r="D219" s="8"/>
      <c r="G219" s="8"/>
    </row>
    <row r="220" spans="2:7" s="9" customFormat="1" ht="15" customHeight="1" x14ac:dyDescent="0.2">
      <c r="B220" s="8"/>
      <c r="C220" s="8"/>
      <c r="D220" s="8"/>
      <c r="G220" s="8"/>
    </row>
    <row r="221" spans="2:7" s="9" customFormat="1" ht="15" customHeight="1" x14ac:dyDescent="0.2">
      <c r="B221" s="8"/>
      <c r="C221" s="8"/>
      <c r="D221" s="8"/>
      <c r="G221" s="8"/>
    </row>
    <row r="222" spans="2:7" s="9" customFormat="1" ht="15" customHeight="1" x14ac:dyDescent="0.2">
      <c r="B222" s="8"/>
      <c r="C222" s="8"/>
      <c r="D222" s="8"/>
      <c r="G222" s="8"/>
    </row>
    <row r="223" spans="2:7" s="9" customFormat="1" ht="15" customHeight="1" x14ac:dyDescent="0.2">
      <c r="B223" s="8"/>
      <c r="C223" s="8"/>
      <c r="D223" s="8"/>
      <c r="G223" s="8"/>
    </row>
    <row r="224" spans="2:7" s="9" customFormat="1" ht="15" customHeight="1" x14ac:dyDescent="0.2">
      <c r="B224" s="8"/>
      <c r="C224" s="8"/>
      <c r="D224" s="8"/>
      <c r="G224" s="8"/>
    </row>
    <row r="225" spans="2:7" s="9" customFormat="1" ht="15" customHeight="1" x14ac:dyDescent="0.2">
      <c r="B225" s="8"/>
      <c r="C225" s="8"/>
      <c r="D225" s="8"/>
      <c r="G225" s="8"/>
    </row>
    <row r="226" spans="2:7" s="9" customFormat="1" ht="15" customHeight="1" x14ac:dyDescent="0.2">
      <c r="B226" s="8"/>
      <c r="C226" s="8"/>
      <c r="D226" s="8"/>
      <c r="G226" s="8"/>
    </row>
    <row r="227" spans="2:7" s="9" customFormat="1" ht="15" customHeight="1" x14ac:dyDescent="0.2">
      <c r="B227" s="8"/>
      <c r="C227" s="8"/>
      <c r="D227" s="8"/>
      <c r="G227" s="8"/>
    </row>
    <row r="228" spans="2:7" s="9" customFormat="1" ht="15" customHeight="1" x14ac:dyDescent="0.2">
      <c r="B228" s="8"/>
      <c r="C228" s="8"/>
      <c r="D228" s="8"/>
      <c r="G228" s="8"/>
    </row>
    <row r="229" spans="2:7" s="9" customFormat="1" ht="15" customHeight="1" x14ac:dyDescent="0.2">
      <c r="B229" s="8"/>
      <c r="C229" s="8"/>
      <c r="D229" s="8"/>
      <c r="G229" s="8"/>
    </row>
    <row r="230" spans="2:7" s="9" customFormat="1" ht="15" customHeight="1" x14ac:dyDescent="0.2">
      <c r="B230" s="8"/>
      <c r="C230" s="8"/>
      <c r="D230" s="8"/>
      <c r="G230" s="8"/>
    </row>
    <row r="231" spans="2:7" s="9" customFormat="1" ht="15" customHeight="1" x14ac:dyDescent="0.2">
      <c r="B231" s="8"/>
      <c r="C231" s="8"/>
      <c r="D231" s="8"/>
      <c r="G231" s="8"/>
    </row>
    <row r="232" spans="2:7" s="9" customFormat="1" ht="15" customHeight="1" x14ac:dyDescent="0.2">
      <c r="B232" s="8"/>
      <c r="C232" s="8"/>
      <c r="D232" s="8"/>
      <c r="G232" s="8"/>
    </row>
    <row r="233" spans="2:7" s="9" customFormat="1" ht="15" customHeight="1" x14ac:dyDescent="0.2">
      <c r="B233" s="8"/>
      <c r="C233" s="8"/>
      <c r="D233" s="8"/>
      <c r="G233" s="8"/>
    </row>
    <row r="234" spans="2:7" s="9" customFormat="1" ht="15" customHeight="1" x14ac:dyDescent="0.2">
      <c r="B234" s="8"/>
      <c r="C234" s="8"/>
      <c r="D234" s="8"/>
      <c r="G234" s="8"/>
    </row>
    <row r="235" spans="2:7" s="9" customFormat="1" ht="15" customHeight="1" x14ac:dyDescent="0.2">
      <c r="B235" s="8"/>
      <c r="C235" s="8"/>
      <c r="D235" s="8"/>
      <c r="G235" s="8"/>
    </row>
    <row r="236" spans="2:7" s="9" customFormat="1" ht="15" customHeight="1" x14ac:dyDescent="0.2">
      <c r="B236" s="8"/>
      <c r="C236" s="8"/>
      <c r="D236" s="8"/>
      <c r="G236" s="8"/>
    </row>
    <row r="237" spans="2:7" s="9" customFormat="1" ht="15" customHeight="1" x14ac:dyDescent="0.2">
      <c r="B237" s="8"/>
      <c r="C237" s="8"/>
      <c r="D237" s="8"/>
      <c r="G237" s="8"/>
    </row>
    <row r="238" spans="2:7" s="9" customFormat="1" ht="15" customHeight="1" x14ac:dyDescent="0.2">
      <c r="B238" s="8"/>
      <c r="C238" s="8"/>
      <c r="D238" s="8"/>
      <c r="G238" s="8"/>
    </row>
    <row r="239" spans="2:7" s="9" customFormat="1" ht="15" customHeight="1" x14ac:dyDescent="0.2">
      <c r="B239" s="8"/>
      <c r="C239" s="8"/>
      <c r="D239" s="8"/>
      <c r="G239" s="8"/>
    </row>
    <row r="240" spans="2:7" s="9" customFormat="1" ht="15" customHeight="1" x14ac:dyDescent="0.2">
      <c r="B240" s="8"/>
      <c r="C240" s="8"/>
      <c r="D240" s="8"/>
      <c r="G240" s="8"/>
    </row>
    <row r="241" spans="2:7" s="9" customFormat="1" ht="15" customHeight="1" x14ac:dyDescent="0.2">
      <c r="B241" s="8"/>
      <c r="C241" s="8"/>
      <c r="D241" s="8"/>
      <c r="G241" s="8"/>
    </row>
    <row r="242" spans="2:7" s="9" customFormat="1" ht="15" customHeight="1" x14ac:dyDescent="0.2">
      <c r="B242" s="8"/>
      <c r="C242" s="8"/>
      <c r="D242" s="8"/>
      <c r="G242" s="8"/>
    </row>
    <row r="243" spans="2:7" s="9" customFormat="1" ht="15" customHeight="1" x14ac:dyDescent="0.2">
      <c r="B243" s="8"/>
      <c r="C243" s="8"/>
      <c r="D243" s="8"/>
      <c r="G243" s="8"/>
    </row>
    <row r="244" spans="2:7" s="9" customFormat="1" ht="15" customHeight="1" x14ac:dyDescent="0.2">
      <c r="B244" s="8"/>
      <c r="C244" s="8"/>
      <c r="D244" s="8"/>
      <c r="G244" s="8"/>
    </row>
    <row r="245" spans="2:7" s="9" customFormat="1" ht="15" customHeight="1" x14ac:dyDescent="0.2">
      <c r="B245" s="8"/>
      <c r="C245" s="8"/>
      <c r="D245" s="8"/>
      <c r="G245" s="8"/>
    </row>
    <row r="246" spans="2:7" s="9" customFormat="1" ht="15" customHeight="1" x14ac:dyDescent="0.2">
      <c r="B246" s="8"/>
      <c r="C246" s="8"/>
      <c r="D246" s="8"/>
      <c r="G246" s="8"/>
    </row>
    <row r="247" spans="2:7" s="9" customFormat="1" ht="15" customHeight="1" x14ac:dyDescent="0.2">
      <c r="B247" s="8"/>
      <c r="C247" s="8"/>
      <c r="D247" s="8"/>
      <c r="G247" s="8"/>
    </row>
    <row r="248" spans="2:7" s="9" customFormat="1" ht="15" customHeight="1" x14ac:dyDescent="0.2">
      <c r="B248" s="8"/>
      <c r="C248" s="8"/>
      <c r="D248" s="8"/>
      <c r="G248" s="8"/>
    </row>
    <row r="249" spans="2:7" s="9" customFormat="1" ht="15" customHeight="1" x14ac:dyDescent="0.2">
      <c r="B249" s="8"/>
      <c r="C249" s="8"/>
      <c r="D249" s="8"/>
      <c r="G249" s="8"/>
    </row>
    <row r="250" spans="2:7" s="9" customFormat="1" ht="15" customHeight="1" x14ac:dyDescent="0.2">
      <c r="B250" s="8"/>
      <c r="C250" s="8"/>
      <c r="D250" s="8"/>
      <c r="G250" s="8"/>
    </row>
    <row r="251" spans="2:7" s="9" customFormat="1" ht="15" customHeight="1" x14ac:dyDescent="0.2">
      <c r="B251" s="8"/>
      <c r="C251" s="8"/>
      <c r="D251" s="8"/>
      <c r="G251" s="8"/>
    </row>
    <row r="252" spans="2:7" s="9" customFormat="1" ht="15" customHeight="1" x14ac:dyDescent="0.2">
      <c r="B252" s="8"/>
      <c r="C252" s="8"/>
      <c r="D252" s="8"/>
      <c r="G252" s="8"/>
    </row>
    <row r="253" spans="2:7" s="9" customFormat="1" ht="15" customHeight="1" x14ac:dyDescent="0.2">
      <c r="B253" s="8"/>
      <c r="C253" s="8"/>
      <c r="D253" s="8"/>
      <c r="G253" s="8"/>
    </row>
    <row r="254" spans="2:7" s="9" customFormat="1" ht="15" customHeight="1" x14ac:dyDescent="0.2">
      <c r="B254" s="8"/>
      <c r="C254" s="8"/>
      <c r="D254" s="8"/>
      <c r="G254" s="8"/>
    </row>
    <row r="255" spans="2:7" s="9" customFormat="1" ht="15" customHeight="1" x14ac:dyDescent="0.2">
      <c r="B255" s="8"/>
      <c r="C255" s="8"/>
      <c r="D255" s="8"/>
      <c r="G255" s="8"/>
    </row>
    <row r="256" spans="2:7" s="9" customFormat="1" ht="15" customHeight="1" x14ac:dyDescent="0.2">
      <c r="B256" s="8"/>
      <c r="C256" s="8"/>
      <c r="D256" s="8"/>
      <c r="G256" s="8"/>
    </row>
    <row r="257" spans="2:7" s="9" customFormat="1" ht="15" customHeight="1" x14ac:dyDescent="0.2">
      <c r="B257" s="8"/>
      <c r="C257" s="8"/>
      <c r="D257" s="8"/>
      <c r="G257" s="8"/>
    </row>
    <row r="258" spans="2:7" s="9" customFormat="1" ht="15" customHeight="1" x14ac:dyDescent="0.2">
      <c r="B258" s="8"/>
      <c r="C258" s="8"/>
      <c r="D258" s="8"/>
      <c r="G258" s="8"/>
    </row>
    <row r="259" spans="2:7" s="9" customFormat="1" ht="15" customHeight="1" x14ac:dyDescent="0.2">
      <c r="B259" s="8"/>
      <c r="C259" s="8"/>
      <c r="D259" s="8"/>
      <c r="G259" s="8"/>
    </row>
    <row r="260" spans="2:7" s="9" customFormat="1" ht="15" customHeight="1" x14ac:dyDescent="0.2">
      <c r="B260" s="8"/>
      <c r="C260" s="8"/>
      <c r="D260" s="8"/>
      <c r="G260" s="8"/>
    </row>
    <row r="261" spans="2:7" s="9" customFormat="1" ht="15" customHeight="1" x14ac:dyDescent="0.2">
      <c r="B261" s="8"/>
      <c r="C261" s="8"/>
      <c r="D261" s="8"/>
      <c r="G261" s="8"/>
    </row>
    <row r="262" spans="2:7" s="9" customFormat="1" ht="15" customHeight="1" x14ac:dyDescent="0.2">
      <c r="B262" s="8"/>
      <c r="C262" s="8"/>
      <c r="D262" s="8"/>
      <c r="G262" s="8"/>
    </row>
    <row r="263" spans="2:7" s="9" customFormat="1" ht="15" customHeight="1" x14ac:dyDescent="0.2">
      <c r="B263" s="8"/>
      <c r="C263" s="8"/>
      <c r="D263" s="8"/>
      <c r="G263" s="8"/>
    </row>
    <row r="264" spans="2:7" s="9" customFormat="1" ht="15" customHeight="1" x14ac:dyDescent="0.2">
      <c r="B264" s="8"/>
      <c r="C264" s="8"/>
      <c r="D264" s="8"/>
      <c r="G264" s="8"/>
    </row>
    <row r="265" spans="2:7" s="9" customFormat="1" ht="15" customHeight="1" x14ac:dyDescent="0.2">
      <c r="B265" s="8"/>
      <c r="C265" s="8"/>
      <c r="D265" s="8"/>
      <c r="G265" s="8"/>
    </row>
    <row r="266" spans="2:7" s="9" customFormat="1" ht="15" customHeight="1" x14ac:dyDescent="0.2">
      <c r="B266" s="8"/>
      <c r="C266" s="8"/>
      <c r="D266" s="8"/>
      <c r="G266" s="8"/>
    </row>
    <row r="267" spans="2:7" s="9" customFormat="1" ht="15" customHeight="1" x14ac:dyDescent="0.2">
      <c r="B267" s="8"/>
      <c r="C267" s="8"/>
      <c r="D267" s="8"/>
      <c r="G267" s="8"/>
    </row>
    <row r="268" spans="2:7" s="9" customFormat="1" ht="15" customHeight="1" x14ac:dyDescent="0.2">
      <c r="B268" s="8"/>
      <c r="C268" s="8"/>
      <c r="D268" s="8"/>
      <c r="G268" s="8"/>
    </row>
    <row r="269" spans="2:7" s="9" customFormat="1" ht="15" customHeight="1" x14ac:dyDescent="0.2">
      <c r="B269" s="8"/>
      <c r="C269" s="8"/>
      <c r="D269" s="8"/>
      <c r="G269" s="8"/>
    </row>
    <row r="270" spans="2:7" s="9" customFormat="1" ht="15" customHeight="1" x14ac:dyDescent="0.2">
      <c r="B270" s="8"/>
      <c r="C270" s="8"/>
      <c r="D270" s="8"/>
      <c r="G270" s="8"/>
    </row>
    <row r="271" spans="2:7" s="9" customFormat="1" ht="15" customHeight="1" x14ac:dyDescent="0.2">
      <c r="B271" s="8"/>
      <c r="C271" s="8"/>
      <c r="D271" s="8"/>
      <c r="G271" s="8"/>
    </row>
    <row r="272" spans="2:7" s="9" customFormat="1" ht="15" customHeight="1" x14ac:dyDescent="0.2">
      <c r="B272" s="8"/>
      <c r="C272" s="8"/>
      <c r="D272" s="8"/>
      <c r="G272" s="8"/>
    </row>
    <row r="273" spans="2:7" s="9" customFormat="1" ht="15" customHeight="1" x14ac:dyDescent="0.2">
      <c r="B273" s="8"/>
      <c r="C273" s="8"/>
      <c r="D273" s="8"/>
      <c r="G273" s="8"/>
    </row>
    <row r="274" spans="2:7" s="9" customFormat="1" ht="15" customHeight="1" x14ac:dyDescent="0.2">
      <c r="B274" s="8"/>
      <c r="C274" s="8"/>
      <c r="D274" s="8"/>
      <c r="G274" s="8"/>
    </row>
    <row r="275" spans="2:7" s="9" customFormat="1" ht="15" customHeight="1" x14ac:dyDescent="0.2">
      <c r="B275" s="8"/>
      <c r="C275" s="8"/>
      <c r="D275" s="8"/>
      <c r="G275" s="8"/>
    </row>
    <row r="276" spans="2:7" s="9" customFormat="1" ht="15" customHeight="1" x14ac:dyDescent="0.2">
      <c r="B276" s="8"/>
      <c r="C276" s="8"/>
      <c r="D276" s="8"/>
      <c r="G276" s="8"/>
    </row>
    <row r="277" spans="2:7" s="9" customFormat="1" ht="15" customHeight="1" x14ac:dyDescent="0.2">
      <c r="B277" s="8"/>
      <c r="C277" s="8"/>
      <c r="D277" s="8"/>
      <c r="G277" s="8"/>
    </row>
    <row r="278" spans="2:7" s="9" customFormat="1" ht="15" customHeight="1" x14ac:dyDescent="0.2">
      <c r="B278" s="8"/>
      <c r="C278" s="8"/>
      <c r="D278" s="8"/>
      <c r="G278" s="8"/>
    </row>
    <row r="279" spans="2:7" s="9" customFormat="1" ht="15" customHeight="1" x14ac:dyDescent="0.2">
      <c r="B279" s="8"/>
      <c r="C279" s="8"/>
      <c r="D279" s="8"/>
      <c r="G279" s="8"/>
    </row>
    <row r="280" spans="2:7" s="9" customFormat="1" ht="15" customHeight="1" x14ac:dyDescent="0.2">
      <c r="B280" s="8"/>
      <c r="C280" s="8"/>
      <c r="D280" s="8"/>
      <c r="G280" s="8"/>
    </row>
    <row r="281" spans="2:7" s="9" customFormat="1" ht="15" customHeight="1" x14ac:dyDescent="0.2">
      <c r="B281" s="8"/>
      <c r="C281" s="8"/>
      <c r="D281" s="8"/>
      <c r="G281" s="8"/>
    </row>
    <row r="282" spans="2:7" s="9" customFormat="1" ht="15" customHeight="1" x14ac:dyDescent="0.2">
      <c r="B282" s="8"/>
      <c r="C282" s="8"/>
      <c r="D282" s="8"/>
      <c r="G282" s="8"/>
    </row>
    <row r="283" spans="2:7" s="9" customFormat="1" ht="15" customHeight="1" x14ac:dyDescent="0.2">
      <c r="B283" s="8"/>
      <c r="C283" s="8"/>
      <c r="D283" s="8"/>
      <c r="G283" s="8"/>
    </row>
    <row r="284" spans="2:7" s="9" customFormat="1" ht="15" customHeight="1" x14ac:dyDescent="0.2">
      <c r="B284" s="8"/>
      <c r="C284" s="8"/>
      <c r="D284" s="8"/>
      <c r="G284" s="8"/>
    </row>
    <row r="285" spans="2:7" s="9" customFormat="1" ht="15" customHeight="1" x14ac:dyDescent="0.2">
      <c r="B285" s="8"/>
      <c r="C285" s="8"/>
      <c r="D285" s="8"/>
      <c r="G285" s="8"/>
    </row>
    <row r="286" spans="2:7" s="9" customFormat="1" ht="15" customHeight="1" x14ac:dyDescent="0.2">
      <c r="B286" s="8"/>
      <c r="C286" s="8"/>
      <c r="D286" s="8"/>
      <c r="G286" s="8"/>
    </row>
    <row r="287" spans="2:7" s="9" customFormat="1" ht="15" customHeight="1" x14ac:dyDescent="0.2">
      <c r="B287" s="8"/>
      <c r="C287" s="8"/>
      <c r="D287" s="8"/>
      <c r="G287" s="8"/>
    </row>
    <row r="288" spans="2:7" s="9" customFormat="1" ht="15" customHeight="1" x14ac:dyDescent="0.2">
      <c r="B288" s="8"/>
      <c r="C288" s="8"/>
      <c r="D288" s="8"/>
      <c r="G288" s="8"/>
    </row>
    <row r="289" spans="2:7" s="9" customFormat="1" ht="15" customHeight="1" x14ac:dyDescent="0.2">
      <c r="B289" s="8"/>
      <c r="C289" s="8"/>
      <c r="D289" s="8"/>
      <c r="G289" s="8"/>
    </row>
    <row r="290" spans="2:7" s="9" customFormat="1" ht="15" customHeight="1" x14ac:dyDescent="0.2">
      <c r="B290" s="8"/>
      <c r="C290" s="8"/>
      <c r="D290" s="8"/>
      <c r="G290" s="8"/>
    </row>
    <row r="291" spans="2:7" s="9" customFormat="1" ht="15" customHeight="1" x14ac:dyDescent="0.2">
      <c r="B291" s="8"/>
      <c r="C291" s="8"/>
      <c r="D291" s="8"/>
      <c r="G291" s="8"/>
    </row>
    <row r="292" spans="2:7" s="9" customFormat="1" ht="15" customHeight="1" x14ac:dyDescent="0.2">
      <c r="B292" s="8"/>
      <c r="C292" s="8"/>
      <c r="D292" s="8"/>
      <c r="G292" s="8"/>
    </row>
    <row r="293" spans="2:7" s="9" customFormat="1" ht="15" customHeight="1" x14ac:dyDescent="0.2">
      <c r="B293" s="8"/>
      <c r="C293" s="8"/>
      <c r="D293" s="8"/>
      <c r="G293" s="8"/>
    </row>
    <row r="294" spans="2:7" s="9" customFormat="1" ht="15" customHeight="1" x14ac:dyDescent="0.2">
      <c r="B294" s="8"/>
      <c r="C294" s="8"/>
      <c r="D294" s="8"/>
      <c r="G294" s="8"/>
    </row>
    <row r="295" spans="2:7" s="9" customFormat="1" ht="15" customHeight="1" x14ac:dyDescent="0.2">
      <c r="B295" s="8"/>
      <c r="C295" s="8"/>
      <c r="D295" s="8"/>
      <c r="G295" s="8"/>
    </row>
    <row r="296" spans="2:7" s="9" customFormat="1" ht="15" customHeight="1" x14ac:dyDescent="0.2">
      <c r="B296" s="8"/>
      <c r="C296" s="8"/>
      <c r="D296" s="8"/>
      <c r="G296" s="8"/>
    </row>
    <row r="297" spans="2:7" s="9" customFormat="1" ht="15" customHeight="1" x14ac:dyDescent="0.2">
      <c r="B297" s="8"/>
      <c r="C297" s="8"/>
      <c r="D297" s="8"/>
      <c r="G297" s="8"/>
    </row>
    <row r="298" spans="2:7" s="9" customFormat="1" ht="15" customHeight="1" x14ac:dyDescent="0.2">
      <c r="B298" s="8"/>
      <c r="C298" s="8"/>
      <c r="D298" s="8"/>
      <c r="G298" s="8"/>
    </row>
    <row r="299" spans="2:7" s="9" customFormat="1" ht="15" customHeight="1" x14ac:dyDescent="0.2">
      <c r="B299" s="8"/>
      <c r="C299" s="8"/>
      <c r="D299" s="8"/>
      <c r="G299" s="8"/>
    </row>
    <row r="300" spans="2:7" s="9" customFormat="1" ht="15" customHeight="1" x14ac:dyDescent="0.2">
      <c r="B300" s="8"/>
      <c r="C300" s="8"/>
      <c r="D300" s="8"/>
      <c r="G300" s="8"/>
    </row>
    <row r="301" spans="2:7" s="9" customFormat="1" ht="15" customHeight="1" x14ac:dyDescent="0.2">
      <c r="B301" s="8"/>
      <c r="C301" s="8"/>
      <c r="D301" s="8"/>
      <c r="G301" s="8"/>
    </row>
    <row r="302" spans="2:7" s="9" customFormat="1" ht="15" customHeight="1" x14ac:dyDescent="0.2">
      <c r="B302" s="8"/>
      <c r="C302" s="8"/>
      <c r="D302" s="8"/>
      <c r="G302" s="8"/>
    </row>
    <row r="303" spans="2:7" s="9" customFormat="1" ht="15" customHeight="1" x14ac:dyDescent="0.2">
      <c r="B303" s="8"/>
      <c r="C303" s="8"/>
      <c r="D303" s="8"/>
      <c r="G303" s="8"/>
    </row>
    <row r="304" spans="2:7" s="9" customFormat="1" ht="15" customHeight="1" x14ac:dyDescent="0.2">
      <c r="B304" s="8"/>
      <c r="C304" s="8"/>
      <c r="D304" s="8"/>
      <c r="G304" s="8"/>
    </row>
    <row r="305" spans="2:7" s="9" customFormat="1" ht="15" customHeight="1" x14ac:dyDescent="0.2">
      <c r="B305" s="8"/>
      <c r="C305" s="8"/>
      <c r="D305" s="8"/>
      <c r="G305" s="8"/>
    </row>
    <row r="306" spans="2:7" s="9" customFormat="1" ht="15" customHeight="1" x14ac:dyDescent="0.2">
      <c r="B306" s="8"/>
      <c r="C306" s="8"/>
      <c r="D306" s="8"/>
      <c r="G306" s="8"/>
    </row>
    <row r="307" spans="2:7" s="9" customFormat="1" ht="15" customHeight="1" x14ac:dyDescent="0.2">
      <c r="B307" s="8"/>
      <c r="C307" s="8"/>
      <c r="D307" s="8"/>
      <c r="G307" s="8"/>
    </row>
    <row r="308" spans="2:7" s="9" customFormat="1" ht="15" customHeight="1" x14ac:dyDescent="0.2">
      <c r="B308" s="8"/>
      <c r="C308" s="8"/>
      <c r="D308" s="8"/>
      <c r="G308" s="8"/>
    </row>
    <row r="309" spans="2:7" s="9" customFormat="1" ht="15" customHeight="1" x14ac:dyDescent="0.2">
      <c r="B309" s="8"/>
      <c r="C309" s="8"/>
      <c r="D309" s="8"/>
      <c r="G309" s="8"/>
    </row>
    <row r="310" spans="2:7" s="9" customFormat="1" ht="15" customHeight="1" x14ac:dyDescent="0.2">
      <c r="B310" s="8"/>
      <c r="C310" s="8"/>
      <c r="D310" s="8"/>
      <c r="G310" s="8"/>
    </row>
    <row r="311" spans="2:7" s="9" customFormat="1" ht="15" customHeight="1" x14ac:dyDescent="0.2">
      <c r="B311" s="8"/>
      <c r="C311" s="8"/>
      <c r="D311" s="8"/>
      <c r="G311" s="8"/>
    </row>
    <row r="312" spans="2:7" s="9" customFormat="1" ht="15" customHeight="1" x14ac:dyDescent="0.2">
      <c r="B312" s="8"/>
      <c r="C312" s="8"/>
      <c r="D312" s="8"/>
      <c r="G312" s="8"/>
    </row>
    <row r="313" spans="2:7" s="9" customFormat="1" ht="15" customHeight="1" x14ac:dyDescent="0.2">
      <c r="B313" s="8"/>
      <c r="C313" s="8"/>
      <c r="D313" s="8"/>
      <c r="G313" s="8"/>
    </row>
    <row r="314" spans="2:7" s="9" customFormat="1" ht="15" customHeight="1" x14ac:dyDescent="0.2">
      <c r="B314" s="8"/>
      <c r="C314" s="8"/>
      <c r="D314" s="8"/>
      <c r="G314" s="8"/>
    </row>
    <row r="315" spans="2:7" s="9" customFormat="1" ht="15" customHeight="1" x14ac:dyDescent="0.2">
      <c r="B315" s="8"/>
      <c r="C315" s="8"/>
      <c r="D315" s="8"/>
      <c r="G315" s="8"/>
    </row>
    <row r="316" spans="2:7" s="9" customFormat="1" ht="15" customHeight="1" x14ac:dyDescent="0.2">
      <c r="B316" s="8"/>
      <c r="C316" s="8"/>
      <c r="D316" s="8"/>
      <c r="G316" s="8"/>
    </row>
    <row r="317" spans="2:7" s="9" customFormat="1" ht="15" customHeight="1" x14ac:dyDescent="0.2">
      <c r="B317" s="8"/>
      <c r="C317" s="8"/>
      <c r="D317" s="8"/>
      <c r="G317" s="8"/>
    </row>
    <row r="318" spans="2:7" s="9" customFormat="1" ht="15" customHeight="1" x14ac:dyDescent="0.2">
      <c r="B318" s="8"/>
      <c r="C318" s="8"/>
      <c r="D318" s="8"/>
      <c r="G318" s="8"/>
    </row>
    <row r="319" spans="2:7" s="9" customFormat="1" ht="15" customHeight="1" x14ac:dyDescent="0.2">
      <c r="B319" s="8"/>
      <c r="C319" s="8"/>
      <c r="D319" s="8"/>
      <c r="G319" s="8"/>
    </row>
    <row r="320" spans="2:7" s="9" customFormat="1" ht="15" customHeight="1" x14ac:dyDescent="0.2">
      <c r="B320" s="8"/>
      <c r="C320" s="8"/>
      <c r="D320" s="8"/>
      <c r="G320" s="8"/>
    </row>
    <row r="321" spans="2:7" s="9" customFormat="1" ht="15" customHeight="1" x14ac:dyDescent="0.2">
      <c r="B321" s="8"/>
      <c r="C321" s="8"/>
      <c r="D321" s="8"/>
      <c r="G321" s="8"/>
    </row>
    <row r="322" spans="2:7" s="9" customFormat="1" ht="15" customHeight="1" x14ac:dyDescent="0.2">
      <c r="B322" s="8"/>
      <c r="C322" s="8"/>
      <c r="D322" s="8"/>
      <c r="G322" s="8"/>
    </row>
    <row r="323" spans="2:7" s="9" customFormat="1" ht="15" customHeight="1" x14ac:dyDescent="0.2">
      <c r="B323" s="8"/>
      <c r="C323" s="8"/>
      <c r="D323" s="8"/>
      <c r="G323" s="8"/>
    </row>
    <row r="324" spans="2:7" s="9" customFormat="1" ht="15" customHeight="1" x14ac:dyDescent="0.2">
      <c r="B324" s="8"/>
      <c r="C324" s="8"/>
      <c r="D324" s="8"/>
      <c r="G324" s="8"/>
    </row>
    <row r="325" spans="2:7" s="9" customFormat="1" ht="15" customHeight="1" x14ac:dyDescent="0.2">
      <c r="B325" s="8"/>
      <c r="C325" s="8"/>
      <c r="D325" s="8"/>
      <c r="G325" s="8"/>
    </row>
    <row r="326" spans="2:7" s="9" customFormat="1" ht="15" customHeight="1" x14ac:dyDescent="0.2">
      <c r="B326" s="8"/>
      <c r="C326" s="8"/>
      <c r="D326" s="8"/>
      <c r="G326" s="8"/>
    </row>
    <row r="327" spans="2:7" s="9" customFormat="1" ht="15" customHeight="1" x14ac:dyDescent="0.2">
      <c r="B327" s="8"/>
      <c r="C327" s="8"/>
      <c r="D327" s="8"/>
      <c r="G327" s="8"/>
    </row>
    <row r="328" spans="2:7" s="9" customFormat="1" ht="15" customHeight="1" x14ac:dyDescent="0.2">
      <c r="B328" s="8"/>
      <c r="C328" s="8"/>
      <c r="D328" s="8"/>
      <c r="G328" s="8"/>
    </row>
    <row r="329" spans="2:7" s="9" customFormat="1" ht="15" customHeight="1" x14ac:dyDescent="0.2">
      <c r="B329" s="8"/>
      <c r="C329" s="8"/>
      <c r="D329" s="8"/>
      <c r="G329" s="8"/>
    </row>
    <row r="330" spans="2:7" s="9" customFormat="1" ht="15" customHeight="1" x14ac:dyDescent="0.2">
      <c r="B330" s="8"/>
      <c r="C330" s="8"/>
      <c r="D330" s="8"/>
      <c r="G330" s="8"/>
    </row>
    <row r="331" spans="2:7" s="9" customFormat="1" ht="15" customHeight="1" x14ac:dyDescent="0.2">
      <c r="B331" s="8"/>
      <c r="C331" s="8"/>
      <c r="D331" s="8"/>
      <c r="G331" s="8"/>
    </row>
    <row r="332" spans="2:7" s="9" customFormat="1" ht="15" customHeight="1" x14ac:dyDescent="0.2">
      <c r="B332" s="8"/>
      <c r="C332" s="8"/>
      <c r="D332" s="8"/>
      <c r="G332" s="8"/>
    </row>
    <row r="333" spans="2:7" s="9" customFormat="1" ht="15" customHeight="1" x14ac:dyDescent="0.2">
      <c r="B333" s="8"/>
      <c r="C333" s="8"/>
      <c r="D333" s="8"/>
      <c r="G333" s="8"/>
    </row>
    <row r="334" spans="2:7" s="9" customFormat="1" ht="15" customHeight="1" x14ac:dyDescent="0.2">
      <c r="B334" s="8"/>
      <c r="C334" s="8"/>
      <c r="D334" s="8"/>
      <c r="G334" s="8"/>
    </row>
    <row r="335" spans="2:7" s="9" customFormat="1" ht="15" customHeight="1" x14ac:dyDescent="0.2">
      <c r="B335" s="8"/>
      <c r="C335" s="8"/>
      <c r="D335" s="8"/>
      <c r="G335" s="8"/>
    </row>
    <row r="336" spans="2:7" s="9" customFormat="1" ht="15" customHeight="1" x14ac:dyDescent="0.2">
      <c r="B336" s="8"/>
      <c r="C336" s="8"/>
      <c r="D336" s="8"/>
      <c r="G336" s="8"/>
    </row>
    <row r="337" spans="2:7" s="9" customFormat="1" ht="15" customHeight="1" x14ac:dyDescent="0.2">
      <c r="B337" s="8"/>
      <c r="C337" s="8"/>
      <c r="D337" s="8"/>
      <c r="G337" s="8"/>
    </row>
    <row r="338" spans="2:7" s="9" customFormat="1" ht="15" customHeight="1" x14ac:dyDescent="0.2">
      <c r="B338" s="8"/>
      <c r="C338" s="8"/>
      <c r="D338" s="8"/>
      <c r="G338" s="8"/>
    </row>
    <row r="339" spans="2:7" s="9" customFormat="1" ht="15" customHeight="1" x14ac:dyDescent="0.2">
      <c r="B339" s="8"/>
      <c r="C339" s="8"/>
      <c r="D339" s="8"/>
      <c r="G339" s="8"/>
    </row>
    <row r="340" spans="2:7" s="9" customFormat="1" ht="15" customHeight="1" x14ac:dyDescent="0.2">
      <c r="B340" s="8"/>
      <c r="C340" s="8"/>
      <c r="D340" s="8"/>
      <c r="G340" s="8"/>
    </row>
    <row r="341" spans="2:7" s="9" customFormat="1" ht="15" customHeight="1" x14ac:dyDescent="0.2">
      <c r="B341" s="8"/>
      <c r="C341" s="8"/>
      <c r="D341" s="8"/>
      <c r="G341" s="8"/>
    </row>
    <row r="342" spans="2:7" s="9" customFormat="1" ht="15" customHeight="1" x14ac:dyDescent="0.2">
      <c r="B342" s="8"/>
      <c r="C342" s="8"/>
      <c r="D342" s="8"/>
      <c r="G342" s="8"/>
    </row>
    <row r="343" spans="2:7" s="9" customFormat="1" ht="15" customHeight="1" x14ac:dyDescent="0.2">
      <c r="B343" s="8"/>
      <c r="C343" s="8"/>
      <c r="D343" s="8"/>
      <c r="G343" s="8"/>
    </row>
    <row r="344" spans="2:7" s="9" customFormat="1" ht="15" customHeight="1" x14ac:dyDescent="0.2">
      <c r="B344" s="8"/>
      <c r="C344" s="8"/>
      <c r="D344" s="8"/>
      <c r="G344" s="8"/>
    </row>
    <row r="345" spans="2:7" s="9" customFormat="1" ht="15" customHeight="1" x14ac:dyDescent="0.2">
      <c r="B345" s="8"/>
      <c r="C345" s="8"/>
      <c r="D345" s="8"/>
      <c r="G345" s="8"/>
    </row>
    <row r="346" spans="2:7" s="9" customFormat="1" ht="15" customHeight="1" x14ac:dyDescent="0.2">
      <c r="B346" s="8"/>
      <c r="C346" s="8"/>
      <c r="D346" s="8"/>
      <c r="G346" s="8"/>
    </row>
    <row r="347" spans="2:7" s="9" customFormat="1" ht="15" customHeight="1" x14ac:dyDescent="0.2">
      <c r="B347" s="8"/>
      <c r="C347" s="8"/>
      <c r="D347" s="8"/>
      <c r="G347" s="8"/>
    </row>
    <row r="348" spans="2:7" s="9" customFormat="1" ht="15" customHeight="1" x14ac:dyDescent="0.2">
      <c r="B348" s="8"/>
      <c r="C348" s="8"/>
      <c r="D348" s="8"/>
      <c r="G348" s="8"/>
    </row>
    <row r="349" spans="2:7" s="9" customFormat="1" ht="15" customHeight="1" x14ac:dyDescent="0.2">
      <c r="B349" s="8"/>
      <c r="C349" s="8"/>
      <c r="D349" s="8"/>
      <c r="G349" s="8"/>
    </row>
    <row r="350" spans="2:7" s="9" customFormat="1" ht="15" customHeight="1" x14ac:dyDescent="0.2">
      <c r="B350" s="8"/>
      <c r="C350" s="8"/>
      <c r="D350" s="8"/>
      <c r="G350" s="8"/>
    </row>
    <row r="351" spans="2:7" s="9" customFormat="1" ht="15" customHeight="1" x14ac:dyDescent="0.2">
      <c r="B351" s="8"/>
      <c r="C351" s="8"/>
      <c r="D351" s="8"/>
      <c r="G351" s="8"/>
    </row>
    <row r="352" spans="2:7" s="9" customFormat="1" ht="15" customHeight="1" x14ac:dyDescent="0.2">
      <c r="B352" s="8"/>
      <c r="C352" s="8"/>
      <c r="D352" s="8"/>
      <c r="G352" s="8"/>
    </row>
    <row r="353" spans="2:7" s="9" customFormat="1" ht="15" customHeight="1" x14ac:dyDescent="0.2">
      <c r="B353" s="8"/>
      <c r="C353" s="8"/>
      <c r="D353" s="8"/>
      <c r="G353" s="8"/>
    </row>
    <row r="354" spans="2:7" s="9" customFormat="1" ht="15" customHeight="1" x14ac:dyDescent="0.2">
      <c r="B354" s="8"/>
      <c r="C354" s="8"/>
      <c r="D354" s="8"/>
      <c r="G354" s="8"/>
    </row>
    <row r="355" spans="2:7" s="9" customFormat="1" ht="15" customHeight="1" x14ac:dyDescent="0.2">
      <c r="B355" s="8"/>
      <c r="C355" s="8"/>
      <c r="D355" s="8"/>
      <c r="G355" s="8"/>
    </row>
    <row r="356" spans="2:7" s="9" customFormat="1" ht="15" customHeight="1" x14ac:dyDescent="0.2">
      <c r="B356" s="8"/>
      <c r="C356" s="8"/>
      <c r="D356" s="8"/>
      <c r="G356" s="8"/>
    </row>
    <row r="357" spans="2:7" s="9" customFormat="1" ht="15" customHeight="1" x14ac:dyDescent="0.2">
      <c r="B357" s="8"/>
      <c r="C357" s="8"/>
      <c r="D357" s="8"/>
      <c r="G357" s="8"/>
    </row>
    <row r="358" spans="2:7" s="9" customFormat="1" ht="15" customHeight="1" x14ac:dyDescent="0.2">
      <c r="B358" s="8"/>
      <c r="C358" s="8"/>
      <c r="D358" s="8"/>
      <c r="G358" s="8"/>
    </row>
    <row r="359" spans="2:7" s="9" customFormat="1" ht="15" customHeight="1" x14ac:dyDescent="0.2">
      <c r="B359" s="8"/>
      <c r="C359" s="8"/>
      <c r="D359" s="8"/>
      <c r="G359" s="8"/>
    </row>
    <row r="360" spans="2:7" s="9" customFormat="1" ht="15" customHeight="1" x14ac:dyDescent="0.2">
      <c r="B360" s="8"/>
      <c r="C360" s="8"/>
      <c r="D360" s="8"/>
      <c r="G360" s="8"/>
    </row>
    <row r="361" spans="2:7" s="9" customFormat="1" ht="15" customHeight="1" x14ac:dyDescent="0.2">
      <c r="B361" s="8"/>
      <c r="C361" s="8"/>
      <c r="D361" s="8"/>
      <c r="G361" s="8"/>
    </row>
    <row r="362" spans="2:7" s="9" customFormat="1" ht="15" customHeight="1" x14ac:dyDescent="0.2">
      <c r="B362" s="8"/>
      <c r="C362" s="8"/>
      <c r="D362" s="8"/>
      <c r="G362" s="8"/>
    </row>
    <row r="363" spans="2:7" s="9" customFormat="1" ht="15" customHeight="1" x14ac:dyDescent="0.2">
      <c r="B363" s="8"/>
      <c r="C363" s="8"/>
      <c r="D363" s="8"/>
      <c r="G363" s="8"/>
    </row>
    <row r="364" spans="2:7" s="9" customFormat="1" ht="15" customHeight="1" x14ac:dyDescent="0.2">
      <c r="B364" s="8"/>
      <c r="C364" s="8"/>
      <c r="D364" s="8"/>
      <c r="G364" s="8"/>
    </row>
    <row r="365" spans="2:7" s="9" customFormat="1" ht="15" customHeight="1" x14ac:dyDescent="0.2">
      <c r="B365" s="8"/>
      <c r="C365" s="8"/>
      <c r="D365" s="8"/>
      <c r="G365" s="8"/>
    </row>
    <row r="366" spans="2:7" s="9" customFormat="1" ht="15" customHeight="1" x14ac:dyDescent="0.2">
      <c r="B366" s="8"/>
      <c r="C366" s="8"/>
      <c r="D366" s="8"/>
      <c r="G366" s="8"/>
    </row>
    <row r="367" spans="2:7" s="9" customFormat="1" ht="15" customHeight="1" x14ac:dyDescent="0.2">
      <c r="B367" s="8"/>
      <c r="C367" s="8"/>
      <c r="D367" s="8"/>
      <c r="G367" s="8"/>
    </row>
    <row r="368" spans="2:7" s="9" customFormat="1" ht="15" customHeight="1" x14ac:dyDescent="0.2">
      <c r="B368" s="8"/>
      <c r="C368" s="8"/>
      <c r="D368" s="8"/>
      <c r="G368" s="8"/>
    </row>
    <row r="369" spans="2:7" s="9" customFormat="1" ht="15" customHeight="1" x14ac:dyDescent="0.2">
      <c r="B369" s="8"/>
      <c r="C369" s="8"/>
      <c r="D369" s="8"/>
      <c r="G369" s="8"/>
    </row>
    <row r="370" spans="2:7" s="9" customFormat="1" ht="15" customHeight="1" x14ac:dyDescent="0.2">
      <c r="B370" s="8"/>
      <c r="C370" s="8"/>
      <c r="D370" s="8"/>
      <c r="G370" s="8"/>
    </row>
    <row r="371" spans="2:7" s="9" customFormat="1" ht="15" customHeight="1" x14ac:dyDescent="0.2">
      <c r="B371" s="8"/>
      <c r="C371" s="8"/>
      <c r="D371" s="8"/>
      <c r="G371" s="8"/>
    </row>
    <row r="372" spans="2:7" s="9" customFormat="1" ht="15" customHeight="1" x14ac:dyDescent="0.2">
      <c r="B372" s="8"/>
      <c r="C372" s="8"/>
      <c r="D372" s="8"/>
      <c r="G372" s="8"/>
    </row>
    <row r="373" spans="2:7" s="9" customFormat="1" ht="15" customHeight="1" x14ac:dyDescent="0.2">
      <c r="B373" s="8"/>
      <c r="C373" s="8"/>
      <c r="D373" s="8"/>
      <c r="G373" s="8"/>
    </row>
    <row r="374" spans="2:7" s="9" customFormat="1" ht="15" customHeight="1" x14ac:dyDescent="0.2">
      <c r="B374" s="8"/>
      <c r="C374" s="8"/>
      <c r="D374" s="8"/>
      <c r="G374" s="8"/>
    </row>
    <row r="375" spans="2:7" s="9" customFormat="1" ht="15" customHeight="1" x14ac:dyDescent="0.2">
      <c r="B375" s="8"/>
      <c r="C375" s="8"/>
      <c r="D375" s="8"/>
      <c r="G375" s="8"/>
    </row>
    <row r="376" spans="2:7" s="9" customFormat="1" ht="15" customHeight="1" x14ac:dyDescent="0.2">
      <c r="B376" s="8"/>
      <c r="C376" s="8"/>
      <c r="D376" s="8"/>
      <c r="G376" s="8"/>
    </row>
    <row r="377" spans="2:7" s="9" customFormat="1" ht="15" customHeight="1" x14ac:dyDescent="0.2">
      <c r="B377" s="8"/>
      <c r="C377" s="8"/>
      <c r="D377" s="8"/>
      <c r="G377" s="8"/>
    </row>
    <row r="378" spans="2:7" s="9" customFormat="1" ht="15" customHeight="1" x14ac:dyDescent="0.2">
      <c r="B378" s="8"/>
      <c r="C378" s="8"/>
      <c r="D378" s="8"/>
      <c r="G378" s="8"/>
    </row>
    <row r="379" spans="2:7" s="9" customFormat="1" ht="15" customHeight="1" x14ac:dyDescent="0.2">
      <c r="B379" s="8"/>
      <c r="C379" s="8"/>
      <c r="D379" s="8"/>
      <c r="G379" s="8"/>
    </row>
    <row r="380" spans="2:7" s="9" customFormat="1" ht="15" customHeight="1" x14ac:dyDescent="0.2">
      <c r="B380" s="8"/>
      <c r="C380" s="8"/>
      <c r="D380" s="8"/>
      <c r="G380" s="8"/>
    </row>
    <row r="381" spans="2:7" s="9" customFormat="1" ht="15" customHeight="1" x14ac:dyDescent="0.2">
      <c r="B381" s="8"/>
      <c r="C381" s="8"/>
      <c r="D381" s="8"/>
      <c r="G381" s="8"/>
    </row>
    <row r="382" spans="2:7" s="9" customFormat="1" ht="15" customHeight="1" x14ac:dyDescent="0.2">
      <c r="B382" s="8"/>
      <c r="C382" s="8"/>
      <c r="D382" s="8"/>
      <c r="G382" s="8"/>
    </row>
    <row r="383" spans="2:7" s="9" customFormat="1" ht="15" customHeight="1" x14ac:dyDescent="0.2">
      <c r="B383" s="8"/>
      <c r="C383" s="8"/>
      <c r="D383" s="8"/>
      <c r="G383" s="8"/>
    </row>
    <row r="384" spans="2:7" s="9" customFormat="1" ht="15" customHeight="1" x14ac:dyDescent="0.2">
      <c r="B384" s="8"/>
      <c r="C384" s="8"/>
      <c r="D384" s="8"/>
      <c r="G384" s="8"/>
    </row>
    <row r="385" spans="2:7" s="9" customFormat="1" ht="15" customHeight="1" x14ac:dyDescent="0.2">
      <c r="B385" s="8"/>
      <c r="C385" s="8"/>
      <c r="D385" s="8"/>
      <c r="G385" s="8"/>
    </row>
    <row r="386" spans="2:7" s="9" customFormat="1" ht="15" customHeight="1" x14ac:dyDescent="0.2">
      <c r="B386" s="8"/>
      <c r="C386" s="8"/>
      <c r="D386" s="8"/>
      <c r="G386" s="8"/>
    </row>
    <row r="387" spans="2:7" s="9" customFormat="1" ht="15" customHeight="1" x14ac:dyDescent="0.2">
      <c r="B387" s="8"/>
      <c r="C387" s="8"/>
      <c r="D387" s="8"/>
      <c r="G387" s="8"/>
    </row>
    <row r="388" spans="2:7" s="9" customFormat="1" ht="15" customHeight="1" x14ac:dyDescent="0.2">
      <c r="B388" s="8"/>
      <c r="C388" s="8"/>
      <c r="D388" s="8"/>
      <c r="G388" s="8"/>
    </row>
    <row r="389" spans="2:7" s="9" customFormat="1" ht="15" customHeight="1" x14ac:dyDescent="0.2">
      <c r="B389" s="8"/>
      <c r="C389" s="8"/>
      <c r="D389" s="8"/>
      <c r="G389" s="8"/>
    </row>
    <row r="390" spans="2:7" s="9" customFormat="1" ht="15" customHeight="1" x14ac:dyDescent="0.2">
      <c r="B390" s="8"/>
      <c r="C390" s="8"/>
      <c r="D390" s="8"/>
      <c r="G390" s="8"/>
    </row>
    <row r="391" spans="2:7" s="9" customFormat="1" ht="15" customHeight="1" x14ac:dyDescent="0.2">
      <c r="B391" s="8"/>
      <c r="C391" s="8"/>
      <c r="D391" s="8"/>
      <c r="G391" s="8"/>
    </row>
    <row r="392" spans="2:7" s="9" customFormat="1" ht="15" customHeight="1" x14ac:dyDescent="0.2">
      <c r="B392" s="8"/>
      <c r="C392" s="8"/>
      <c r="D392" s="8"/>
      <c r="G392" s="8"/>
    </row>
    <row r="393" spans="2:7" s="9" customFormat="1" ht="15" customHeight="1" x14ac:dyDescent="0.2">
      <c r="B393" s="8"/>
      <c r="C393" s="8"/>
      <c r="D393" s="8"/>
      <c r="G393" s="8"/>
    </row>
    <row r="394" spans="2:7" s="9" customFormat="1" ht="15" customHeight="1" x14ac:dyDescent="0.2">
      <c r="B394" s="8"/>
      <c r="C394" s="8"/>
      <c r="D394" s="8"/>
      <c r="G394" s="8"/>
    </row>
    <row r="395" spans="2:7" s="9" customFormat="1" ht="15" customHeight="1" x14ac:dyDescent="0.2">
      <c r="B395" s="8"/>
      <c r="C395" s="8"/>
      <c r="D395" s="8"/>
      <c r="G395" s="8"/>
    </row>
    <row r="396" spans="2:7" s="9" customFormat="1" ht="15" customHeight="1" x14ac:dyDescent="0.2">
      <c r="B396" s="8"/>
      <c r="C396" s="8"/>
      <c r="D396" s="8"/>
      <c r="G396" s="8"/>
    </row>
    <row r="397" spans="2:7" s="9" customFormat="1" ht="15" customHeight="1" x14ac:dyDescent="0.2">
      <c r="B397" s="8"/>
      <c r="C397" s="8"/>
      <c r="D397" s="8"/>
      <c r="G397" s="8"/>
    </row>
    <row r="398" spans="2:7" s="9" customFormat="1" ht="15" customHeight="1" x14ac:dyDescent="0.2">
      <c r="B398" s="8"/>
      <c r="C398" s="8"/>
      <c r="D398" s="8"/>
      <c r="G398" s="8"/>
    </row>
    <row r="399" spans="2:7" s="9" customFormat="1" ht="15" customHeight="1" x14ac:dyDescent="0.2">
      <c r="B399" s="8"/>
      <c r="C399" s="8"/>
      <c r="D399" s="8"/>
      <c r="G399" s="8"/>
    </row>
    <row r="400" spans="2:7" s="9" customFormat="1" ht="15" customHeight="1" x14ac:dyDescent="0.2">
      <c r="B400" s="8"/>
      <c r="C400" s="8"/>
      <c r="D400" s="8"/>
      <c r="G400" s="8"/>
    </row>
    <row r="401" spans="2:7" s="9" customFormat="1" ht="15" customHeight="1" x14ac:dyDescent="0.2">
      <c r="B401" s="8"/>
      <c r="C401" s="8"/>
      <c r="D401" s="8"/>
      <c r="G401" s="8"/>
    </row>
    <row r="402" spans="2:7" s="9" customFormat="1" ht="15" customHeight="1" x14ac:dyDescent="0.2">
      <c r="B402" s="8"/>
      <c r="C402" s="8"/>
      <c r="D402" s="8"/>
      <c r="G402" s="8"/>
    </row>
    <row r="403" spans="2:7" s="9" customFormat="1" ht="15" customHeight="1" x14ac:dyDescent="0.2">
      <c r="B403" s="8"/>
      <c r="C403" s="8"/>
      <c r="D403" s="8"/>
      <c r="G403" s="8"/>
    </row>
    <row r="404" spans="2:7" s="9" customFormat="1" ht="15" customHeight="1" x14ac:dyDescent="0.2">
      <c r="B404" s="8"/>
      <c r="C404" s="8"/>
      <c r="D404" s="8"/>
      <c r="G404" s="8"/>
    </row>
    <row r="405" spans="2:7" s="9" customFormat="1" ht="15" customHeight="1" x14ac:dyDescent="0.2">
      <c r="B405" s="8"/>
      <c r="C405" s="8"/>
      <c r="D405" s="8"/>
      <c r="G405" s="8"/>
    </row>
    <row r="406" spans="2:7" s="9" customFormat="1" ht="15" customHeight="1" x14ac:dyDescent="0.2">
      <c r="B406" s="8"/>
      <c r="C406" s="8"/>
      <c r="D406" s="8"/>
      <c r="G406" s="8"/>
    </row>
    <row r="407" spans="2:7" s="9" customFormat="1" ht="15" customHeight="1" x14ac:dyDescent="0.2">
      <c r="B407" s="8"/>
      <c r="C407" s="8"/>
      <c r="D407" s="8"/>
      <c r="G407" s="8"/>
    </row>
    <row r="408" spans="2:7" s="9" customFormat="1" ht="15" customHeight="1" x14ac:dyDescent="0.2">
      <c r="B408" s="8"/>
      <c r="C408" s="8"/>
      <c r="D408" s="8"/>
      <c r="G408" s="8"/>
    </row>
    <row r="409" spans="2:7" s="9" customFormat="1" ht="15" customHeight="1" x14ac:dyDescent="0.2">
      <c r="B409" s="8"/>
      <c r="C409" s="8"/>
      <c r="D409" s="8"/>
      <c r="G409" s="8"/>
    </row>
    <row r="410" spans="2:7" s="9" customFormat="1" ht="15" customHeight="1" x14ac:dyDescent="0.2">
      <c r="B410" s="8"/>
      <c r="C410" s="8"/>
      <c r="D410" s="8"/>
      <c r="G410" s="8"/>
    </row>
    <row r="411" spans="2:7" s="9" customFormat="1" ht="15" customHeight="1" x14ac:dyDescent="0.2">
      <c r="B411" s="8"/>
      <c r="C411" s="8"/>
      <c r="D411" s="8"/>
      <c r="G411" s="8"/>
    </row>
    <row r="412" spans="2:7" s="9" customFormat="1" ht="15" customHeight="1" x14ac:dyDescent="0.2">
      <c r="B412" s="8"/>
      <c r="C412" s="8"/>
      <c r="D412" s="8"/>
      <c r="G412" s="8"/>
    </row>
    <row r="413" spans="2:7" s="9" customFormat="1" ht="15" customHeight="1" x14ac:dyDescent="0.2">
      <c r="B413" s="8"/>
      <c r="C413" s="8"/>
      <c r="D413" s="8"/>
      <c r="G413" s="8"/>
    </row>
    <row r="414" spans="2:7" s="9" customFormat="1" ht="15" customHeight="1" x14ac:dyDescent="0.2">
      <c r="B414" s="8"/>
      <c r="C414" s="8"/>
      <c r="D414" s="8"/>
      <c r="G414" s="8"/>
    </row>
    <row r="415" spans="2:7" s="9" customFormat="1" ht="15" customHeight="1" x14ac:dyDescent="0.2">
      <c r="B415" s="8"/>
      <c r="C415" s="8"/>
      <c r="D415" s="8"/>
      <c r="G415" s="8"/>
    </row>
    <row r="416" spans="2:7" s="9" customFormat="1" ht="15" customHeight="1" x14ac:dyDescent="0.2">
      <c r="B416" s="8"/>
      <c r="C416" s="8"/>
      <c r="D416" s="8"/>
      <c r="G416" s="8"/>
    </row>
    <row r="417" spans="2:7" s="9" customFormat="1" ht="15" customHeight="1" x14ac:dyDescent="0.2">
      <c r="B417" s="8"/>
      <c r="C417" s="8"/>
      <c r="D417" s="8"/>
      <c r="G417" s="8"/>
    </row>
    <row r="418" spans="2:7" s="9" customFormat="1" ht="15" customHeight="1" x14ac:dyDescent="0.2">
      <c r="B418" s="8"/>
      <c r="C418" s="8"/>
      <c r="D418" s="8"/>
      <c r="G418" s="8"/>
    </row>
    <row r="419" spans="2:7" s="9" customFormat="1" ht="15" customHeight="1" x14ac:dyDescent="0.2">
      <c r="B419" s="8"/>
      <c r="C419" s="8"/>
      <c r="D419" s="8"/>
      <c r="G419" s="8"/>
    </row>
    <row r="420" spans="2:7" s="9" customFormat="1" ht="15" customHeight="1" x14ac:dyDescent="0.2">
      <c r="B420" s="8"/>
      <c r="C420" s="8"/>
      <c r="D420" s="8"/>
      <c r="G420" s="8"/>
    </row>
    <row r="421" spans="2:7" s="9" customFormat="1" ht="15" customHeight="1" x14ac:dyDescent="0.2">
      <c r="B421" s="8"/>
      <c r="C421" s="8"/>
      <c r="D421" s="8"/>
      <c r="G421" s="8"/>
    </row>
    <row r="422" spans="2:7" s="9" customFormat="1" ht="15" customHeight="1" x14ac:dyDescent="0.2">
      <c r="B422" s="8"/>
      <c r="C422" s="8"/>
      <c r="D422" s="8"/>
      <c r="G422" s="8"/>
    </row>
    <row r="423" spans="2:7" s="9" customFormat="1" ht="15" customHeight="1" x14ac:dyDescent="0.2">
      <c r="B423" s="8"/>
      <c r="C423" s="8"/>
      <c r="D423" s="8"/>
      <c r="G423" s="8"/>
    </row>
    <row r="424" spans="2:7" s="9" customFormat="1" ht="15" customHeight="1" x14ac:dyDescent="0.2">
      <c r="B424" s="8"/>
      <c r="C424" s="8"/>
      <c r="D424" s="8"/>
      <c r="G424" s="8"/>
    </row>
    <row r="425" spans="2:7" s="9" customFormat="1" ht="15" customHeight="1" x14ac:dyDescent="0.2">
      <c r="B425" s="8"/>
      <c r="C425" s="8"/>
      <c r="D425" s="8"/>
      <c r="G425" s="8"/>
    </row>
    <row r="426" spans="2:7" s="9" customFormat="1" ht="15" customHeight="1" x14ac:dyDescent="0.2">
      <c r="B426" s="8"/>
      <c r="C426" s="8"/>
      <c r="D426" s="8"/>
      <c r="G426" s="8"/>
    </row>
    <row r="427" spans="2:7" s="9" customFormat="1" ht="15" customHeight="1" x14ac:dyDescent="0.2">
      <c r="B427" s="8"/>
      <c r="C427" s="8"/>
      <c r="D427" s="8"/>
      <c r="G427" s="8"/>
    </row>
    <row r="428" spans="2:7" s="9" customFormat="1" ht="15" customHeight="1" x14ac:dyDescent="0.2">
      <c r="B428" s="8"/>
      <c r="C428" s="8"/>
      <c r="D428" s="8"/>
      <c r="G428" s="8"/>
    </row>
    <row r="429" spans="2:7" s="9" customFormat="1" ht="15" customHeight="1" x14ac:dyDescent="0.2">
      <c r="B429" s="8"/>
      <c r="C429" s="8"/>
      <c r="D429" s="8"/>
      <c r="G429" s="8"/>
    </row>
    <row r="430" spans="2:7" s="9" customFormat="1" ht="15" customHeight="1" x14ac:dyDescent="0.2">
      <c r="B430" s="8"/>
      <c r="C430" s="8"/>
      <c r="D430" s="8"/>
      <c r="G430" s="8"/>
    </row>
    <row r="431" spans="2:7" s="9" customFormat="1" ht="15" customHeight="1" x14ac:dyDescent="0.2">
      <c r="B431" s="8"/>
      <c r="C431" s="8"/>
      <c r="D431" s="8"/>
      <c r="G431" s="8"/>
    </row>
    <row r="432" spans="2:7" s="9" customFormat="1" ht="15" customHeight="1" x14ac:dyDescent="0.2">
      <c r="B432" s="8"/>
      <c r="C432" s="8"/>
      <c r="D432" s="8"/>
      <c r="G432" s="8"/>
    </row>
    <row r="433" spans="2:7" s="9" customFormat="1" ht="15" customHeight="1" x14ac:dyDescent="0.2">
      <c r="B433" s="8"/>
      <c r="C433" s="8"/>
      <c r="D433" s="8"/>
      <c r="G433" s="8"/>
    </row>
    <row r="434" spans="2:7" s="9" customFormat="1" ht="15" customHeight="1" x14ac:dyDescent="0.2">
      <c r="B434" s="8"/>
      <c r="C434" s="8"/>
      <c r="D434" s="8"/>
      <c r="G434" s="8"/>
    </row>
    <row r="435" spans="2:7" s="9" customFormat="1" ht="15" customHeight="1" x14ac:dyDescent="0.2">
      <c r="B435" s="8"/>
      <c r="C435" s="8"/>
      <c r="D435" s="8"/>
      <c r="G435" s="8"/>
    </row>
    <row r="436" spans="2:7" s="9" customFormat="1" ht="15" customHeight="1" x14ac:dyDescent="0.2">
      <c r="B436" s="8"/>
      <c r="C436" s="8"/>
      <c r="D436" s="8"/>
      <c r="G436" s="8"/>
    </row>
    <row r="437" spans="2:7" s="9" customFormat="1" ht="15" customHeight="1" x14ac:dyDescent="0.2">
      <c r="B437" s="8"/>
      <c r="C437" s="8"/>
      <c r="D437" s="8"/>
      <c r="G437" s="8"/>
    </row>
    <row r="438" spans="2:7" s="9" customFormat="1" ht="15" customHeight="1" x14ac:dyDescent="0.2">
      <c r="B438" s="8"/>
      <c r="C438" s="8"/>
      <c r="D438" s="8"/>
      <c r="G438" s="8"/>
    </row>
    <row r="439" spans="2:7" s="9" customFormat="1" ht="15" customHeight="1" x14ac:dyDescent="0.2">
      <c r="B439" s="8"/>
      <c r="C439" s="8"/>
      <c r="D439" s="8"/>
      <c r="G439" s="8"/>
    </row>
    <row r="440" spans="2:7" s="9" customFormat="1" ht="15" customHeight="1" x14ac:dyDescent="0.2">
      <c r="B440" s="8"/>
      <c r="C440" s="8"/>
      <c r="D440" s="8"/>
      <c r="G440" s="8"/>
    </row>
    <row r="441" spans="2:7" s="9" customFormat="1" ht="15" customHeight="1" x14ac:dyDescent="0.2">
      <c r="B441" s="8"/>
      <c r="C441" s="8"/>
      <c r="D441" s="8"/>
      <c r="G441" s="8"/>
    </row>
    <row r="442" spans="2:7" s="9" customFormat="1" ht="15" customHeight="1" x14ac:dyDescent="0.2">
      <c r="B442" s="8"/>
      <c r="C442" s="8"/>
      <c r="D442" s="8"/>
      <c r="G442" s="8"/>
    </row>
    <row r="443" spans="2:7" s="9" customFormat="1" ht="15" customHeight="1" x14ac:dyDescent="0.2">
      <c r="B443" s="8"/>
      <c r="C443" s="8"/>
      <c r="D443" s="8"/>
      <c r="G443" s="8"/>
    </row>
    <row r="444" spans="2:7" s="9" customFormat="1" ht="15" customHeight="1" x14ac:dyDescent="0.2">
      <c r="B444" s="8"/>
      <c r="C444" s="8"/>
      <c r="D444" s="8"/>
      <c r="G444" s="8"/>
    </row>
    <row r="445" spans="2:7" s="9" customFormat="1" ht="15" customHeight="1" x14ac:dyDescent="0.2">
      <c r="B445" s="8"/>
      <c r="C445" s="8"/>
      <c r="D445" s="8"/>
      <c r="G445" s="8"/>
    </row>
    <row r="446" spans="2:7" s="9" customFormat="1" ht="15" customHeight="1" x14ac:dyDescent="0.2">
      <c r="B446" s="8"/>
      <c r="C446" s="8"/>
      <c r="D446" s="8"/>
      <c r="G446" s="8"/>
    </row>
    <row r="447" spans="2:7" s="9" customFormat="1" ht="15" customHeight="1" x14ac:dyDescent="0.2">
      <c r="B447" s="8"/>
      <c r="C447" s="8"/>
      <c r="D447" s="8"/>
      <c r="G447" s="8"/>
    </row>
    <row r="448" spans="2:7" s="9" customFormat="1" ht="15" customHeight="1" x14ac:dyDescent="0.2">
      <c r="B448" s="8"/>
      <c r="C448" s="8"/>
      <c r="D448" s="8"/>
      <c r="G448" s="8"/>
    </row>
    <row r="449" spans="2:7" s="9" customFormat="1" ht="15" customHeight="1" x14ac:dyDescent="0.2">
      <c r="B449" s="8"/>
      <c r="C449" s="8"/>
      <c r="D449" s="8"/>
      <c r="G449" s="8"/>
    </row>
    <row r="450" spans="2:7" s="9" customFormat="1" ht="15" customHeight="1" x14ac:dyDescent="0.2">
      <c r="B450" s="8"/>
      <c r="C450" s="8"/>
      <c r="D450" s="8"/>
      <c r="G450" s="8"/>
    </row>
    <row r="451" spans="2:7" s="9" customFormat="1" ht="15" customHeight="1" x14ac:dyDescent="0.2">
      <c r="B451" s="8"/>
      <c r="C451" s="8"/>
      <c r="D451" s="8"/>
      <c r="G451" s="8"/>
    </row>
    <row r="452" spans="2:7" s="9" customFormat="1" ht="15" customHeight="1" x14ac:dyDescent="0.2">
      <c r="B452" s="8"/>
      <c r="C452" s="8"/>
      <c r="D452" s="8"/>
      <c r="G452" s="8"/>
    </row>
    <row r="453" spans="2:7" s="9" customFormat="1" ht="15" customHeight="1" x14ac:dyDescent="0.2">
      <c r="B453" s="8"/>
      <c r="C453" s="8"/>
      <c r="D453" s="8"/>
      <c r="G453" s="8"/>
    </row>
    <row r="454" spans="2:7" s="9" customFormat="1" ht="15" customHeight="1" x14ac:dyDescent="0.2">
      <c r="B454" s="8"/>
      <c r="C454" s="8"/>
      <c r="D454" s="8"/>
      <c r="G454" s="8"/>
    </row>
    <row r="455" spans="2:7" s="9" customFormat="1" ht="15" customHeight="1" x14ac:dyDescent="0.2">
      <c r="B455" s="8"/>
      <c r="C455" s="8"/>
      <c r="D455" s="8"/>
      <c r="G455" s="8"/>
    </row>
    <row r="456" spans="2:7" s="9" customFormat="1" ht="15" customHeight="1" x14ac:dyDescent="0.2">
      <c r="B456" s="8"/>
      <c r="C456" s="8"/>
      <c r="D456" s="8"/>
      <c r="G456" s="8"/>
    </row>
    <row r="457" spans="2:7" s="9" customFormat="1" ht="15" customHeight="1" x14ac:dyDescent="0.2">
      <c r="B457" s="8"/>
      <c r="C457" s="8"/>
      <c r="D457" s="8"/>
      <c r="G457" s="8"/>
    </row>
    <row r="458" spans="2:7" s="9" customFormat="1" ht="15" customHeight="1" x14ac:dyDescent="0.2">
      <c r="B458" s="8"/>
      <c r="C458" s="8"/>
      <c r="D458" s="8"/>
      <c r="G458" s="8"/>
    </row>
    <row r="459" spans="2:7" s="9" customFormat="1" ht="15" customHeight="1" x14ac:dyDescent="0.2">
      <c r="B459" s="8"/>
      <c r="C459" s="8"/>
      <c r="D459" s="8"/>
      <c r="G459" s="8"/>
    </row>
    <row r="460" spans="2:7" s="9" customFormat="1" ht="15" customHeight="1" x14ac:dyDescent="0.2">
      <c r="B460" s="8"/>
      <c r="C460" s="8"/>
      <c r="D460" s="8"/>
      <c r="G460" s="8"/>
    </row>
    <row r="461" spans="2:7" s="9" customFormat="1" ht="15" customHeight="1" x14ac:dyDescent="0.2">
      <c r="B461" s="8"/>
      <c r="C461" s="8"/>
      <c r="D461" s="8"/>
      <c r="G461" s="8"/>
    </row>
    <row r="462" spans="2:7" s="9" customFormat="1" ht="15" customHeight="1" x14ac:dyDescent="0.2">
      <c r="B462" s="8"/>
      <c r="C462" s="8"/>
      <c r="D462" s="8"/>
      <c r="G462" s="8"/>
    </row>
    <row r="463" spans="2:7" s="9" customFormat="1" ht="15" customHeight="1" x14ac:dyDescent="0.2">
      <c r="B463" s="8"/>
      <c r="C463" s="8"/>
      <c r="D463" s="8"/>
      <c r="G463" s="8"/>
    </row>
    <row r="464" spans="2:7" s="9" customFormat="1" ht="15" customHeight="1" x14ac:dyDescent="0.2">
      <c r="B464" s="8"/>
      <c r="C464" s="8"/>
      <c r="D464" s="8"/>
      <c r="G464" s="8"/>
    </row>
    <row r="465" spans="2:7" s="9" customFormat="1" ht="15" customHeight="1" x14ac:dyDescent="0.2">
      <c r="B465" s="8"/>
      <c r="C465" s="8"/>
      <c r="D465" s="8"/>
      <c r="G465" s="8"/>
    </row>
    <row r="466" spans="2:7" s="9" customFormat="1" ht="15" customHeight="1" x14ac:dyDescent="0.2">
      <c r="B466" s="8"/>
      <c r="C466" s="8"/>
      <c r="D466" s="8"/>
      <c r="G466" s="8"/>
    </row>
    <row r="467" spans="2:7" s="9" customFormat="1" ht="15" customHeight="1" x14ac:dyDescent="0.2">
      <c r="B467" s="8"/>
      <c r="C467" s="8"/>
      <c r="D467" s="8"/>
      <c r="G467" s="8"/>
    </row>
    <row r="468" spans="2:7" s="9" customFormat="1" ht="15" customHeight="1" x14ac:dyDescent="0.2">
      <c r="B468" s="8"/>
      <c r="C468" s="8"/>
      <c r="D468" s="8"/>
      <c r="G468" s="8"/>
    </row>
    <row r="469" spans="2:7" s="9" customFormat="1" ht="15" customHeight="1" x14ac:dyDescent="0.2">
      <c r="B469" s="8"/>
      <c r="C469" s="8"/>
      <c r="D469" s="8"/>
      <c r="G469" s="8"/>
    </row>
    <row r="470" spans="2:7" s="9" customFormat="1" ht="15" customHeight="1" x14ac:dyDescent="0.2">
      <c r="B470" s="8"/>
      <c r="C470" s="8"/>
      <c r="D470" s="8"/>
      <c r="G470" s="8"/>
    </row>
    <row r="471" spans="2:7" s="9" customFormat="1" ht="15" customHeight="1" x14ac:dyDescent="0.2">
      <c r="B471" s="8"/>
      <c r="C471" s="8"/>
      <c r="D471" s="8"/>
      <c r="G471" s="8"/>
    </row>
    <row r="472" spans="2:7" s="9" customFormat="1" ht="15" customHeight="1" x14ac:dyDescent="0.2">
      <c r="B472" s="8"/>
      <c r="C472" s="8"/>
      <c r="D472" s="8"/>
      <c r="G472" s="8"/>
    </row>
    <row r="473" spans="2:7" s="9" customFormat="1" ht="15" customHeight="1" x14ac:dyDescent="0.2">
      <c r="B473" s="8"/>
      <c r="C473" s="8"/>
      <c r="D473" s="8"/>
      <c r="G473" s="8"/>
    </row>
    <row r="474" spans="2:7" s="9" customFormat="1" ht="15" customHeight="1" x14ac:dyDescent="0.2">
      <c r="B474" s="8"/>
      <c r="C474" s="8"/>
      <c r="D474" s="8"/>
      <c r="G474" s="8"/>
    </row>
    <row r="475" spans="2:7" s="9" customFormat="1" ht="15" customHeight="1" x14ac:dyDescent="0.2">
      <c r="B475" s="8"/>
      <c r="C475" s="8"/>
      <c r="D475" s="8"/>
      <c r="G475" s="8"/>
    </row>
    <row r="476" spans="2:7" s="9" customFormat="1" ht="15" customHeight="1" x14ac:dyDescent="0.2">
      <c r="B476" s="8"/>
      <c r="C476" s="8"/>
      <c r="D476" s="8"/>
      <c r="G476" s="8"/>
    </row>
    <row r="477" spans="2:7" s="9" customFormat="1" ht="15" customHeight="1" x14ac:dyDescent="0.2">
      <c r="B477" s="8"/>
      <c r="C477" s="8"/>
      <c r="D477" s="8"/>
      <c r="G477" s="8"/>
    </row>
    <row r="478" spans="2:7" s="9" customFormat="1" ht="15" customHeight="1" x14ac:dyDescent="0.2">
      <c r="B478" s="8"/>
      <c r="C478" s="8"/>
      <c r="D478" s="8"/>
      <c r="G478" s="8"/>
    </row>
    <row r="479" spans="2:7" s="9" customFormat="1" ht="15" customHeight="1" x14ac:dyDescent="0.2">
      <c r="B479" s="8"/>
      <c r="C479" s="8"/>
      <c r="D479" s="8"/>
      <c r="G479" s="8"/>
    </row>
    <row r="480" spans="2:7" s="9" customFormat="1" ht="15" customHeight="1" x14ac:dyDescent="0.2">
      <c r="B480" s="8"/>
      <c r="C480" s="8"/>
      <c r="D480" s="8"/>
      <c r="G480" s="8"/>
    </row>
    <row r="481" spans="2:7" s="9" customFormat="1" ht="15" customHeight="1" x14ac:dyDescent="0.2">
      <c r="B481" s="8"/>
      <c r="C481" s="8"/>
      <c r="D481" s="8"/>
      <c r="G481" s="8"/>
    </row>
    <row r="482" spans="2:7" s="9" customFormat="1" ht="15" customHeight="1" x14ac:dyDescent="0.2">
      <c r="B482" s="8"/>
      <c r="C482" s="8"/>
      <c r="D482" s="8"/>
      <c r="G482" s="8"/>
    </row>
    <row r="483" spans="2:7" s="9" customFormat="1" ht="15" customHeight="1" x14ac:dyDescent="0.2">
      <c r="B483" s="8"/>
      <c r="C483" s="8"/>
      <c r="D483" s="8"/>
      <c r="G483" s="8"/>
    </row>
    <row r="484" spans="2:7" s="9" customFormat="1" ht="15" customHeight="1" x14ac:dyDescent="0.2">
      <c r="B484" s="8"/>
      <c r="C484" s="8"/>
      <c r="D484" s="8"/>
      <c r="G484" s="8"/>
    </row>
    <row r="485" spans="2:7" s="9" customFormat="1" ht="15" customHeight="1" x14ac:dyDescent="0.2">
      <c r="B485" s="8"/>
      <c r="C485" s="8"/>
      <c r="D485" s="8"/>
      <c r="G485" s="8"/>
    </row>
    <row r="486" spans="2:7" s="9" customFormat="1" ht="15" customHeight="1" x14ac:dyDescent="0.2">
      <c r="B486" s="8"/>
      <c r="C486" s="8"/>
      <c r="D486" s="8"/>
      <c r="G486" s="8"/>
    </row>
    <row r="487" spans="2:7" s="9" customFormat="1" ht="15" customHeight="1" x14ac:dyDescent="0.2">
      <c r="B487" s="8"/>
      <c r="C487" s="8"/>
      <c r="D487" s="8"/>
      <c r="G487" s="8"/>
    </row>
    <row r="488" spans="2:7" s="9" customFormat="1" ht="15" customHeight="1" x14ac:dyDescent="0.2">
      <c r="B488" s="8"/>
      <c r="C488" s="8"/>
      <c r="D488" s="8"/>
      <c r="G488" s="8"/>
    </row>
    <row r="489" spans="2:7" s="9" customFormat="1" ht="15" customHeight="1" x14ac:dyDescent="0.2">
      <c r="B489" s="8"/>
      <c r="C489" s="8"/>
      <c r="D489" s="8"/>
      <c r="G489" s="8"/>
    </row>
    <row r="490" spans="2:7" s="9" customFormat="1" ht="15" customHeight="1" x14ac:dyDescent="0.2">
      <c r="B490" s="8"/>
      <c r="C490" s="8"/>
      <c r="D490" s="8"/>
      <c r="G490" s="8"/>
    </row>
    <row r="491" spans="2:7" s="9" customFormat="1" ht="15" customHeight="1" x14ac:dyDescent="0.2">
      <c r="B491" s="8"/>
      <c r="C491" s="8"/>
      <c r="D491" s="8"/>
      <c r="G491" s="8"/>
    </row>
    <row r="492" spans="2:7" s="9" customFormat="1" ht="15" customHeight="1" x14ac:dyDescent="0.2">
      <c r="B492" s="8"/>
      <c r="C492" s="8"/>
      <c r="D492" s="8"/>
      <c r="G492" s="8"/>
    </row>
    <row r="493" spans="2:7" s="9" customFormat="1" ht="15" customHeight="1" x14ac:dyDescent="0.2">
      <c r="B493" s="8"/>
      <c r="C493" s="8"/>
      <c r="D493" s="8"/>
      <c r="G493" s="8"/>
    </row>
    <row r="494" spans="2:7" s="9" customFormat="1" ht="15" customHeight="1" x14ac:dyDescent="0.2">
      <c r="B494" s="8"/>
      <c r="C494" s="8"/>
      <c r="D494" s="8"/>
      <c r="G494" s="8"/>
    </row>
    <row r="495" spans="2:7" s="9" customFormat="1" ht="15" customHeight="1" x14ac:dyDescent="0.2">
      <c r="B495" s="8"/>
      <c r="C495" s="8"/>
      <c r="D495" s="8"/>
      <c r="G495" s="8"/>
    </row>
    <row r="496" spans="2:7" s="9" customFormat="1" ht="15" customHeight="1" x14ac:dyDescent="0.2">
      <c r="B496" s="8"/>
      <c r="C496" s="8"/>
      <c r="D496" s="8"/>
      <c r="G496" s="8"/>
    </row>
    <row r="497" spans="2:7" s="9" customFormat="1" ht="15" customHeight="1" x14ac:dyDescent="0.2">
      <c r="B497" s="8"/>
      <c r="C497" s="8"/>
      <c r="D497" s="8"/>
      <c r="G497" s="8"/>
    </row>
    <row r="498" spans="2:7" s="9" customFormat="1" ht="15" customHeight="1" x14ac:dyDescent="0.2">
      <c r="B498" s="8"/>
      <c r="C498" s="8"/>
      <c r="D498" s="8"/>
      <c r="G498" s="8"/>
    </row>
    <row r="499" spans="2:7" s="9" customFormat="1" ht="15" customHeight="1" x14ac:dyDescent="0.2">
      <c r="B499" s="8"/>
      <c r="C499" s="8"/>
      <c r="D499" s="8"/>
      <c r="G499" s="8"/>
    </row>
    <row r="500" spans="2:7" s="9" customFormat="1" ht="15" customHeight="1" x14ac:dyDescent="0.2">
      <c r="B500" s="8"/>
      <c r="C500" s="8"/>
      <c r="D500" s="8"/>
      <c r="G500" s="8"/>
    </row>
    <row r="501" spans="2:7" s="9" customFormat="1" ht="15" customHeight="1" x14ac:dyDescent="0.2">
      <c r="B501" s="8"/>
      <c r="C501" s="8"/>
      <c r="D501" s="8"/>
      <c r="G501" s="8"/>
    </row>
    <row r="502" spans="2:7" s="9" customFormat="1" ht="15" customHeight="1" x14ac:dyDescent="0.2">
      <c r="B502" s="8"/>
      <c r="C502" s="8"/>
      <c r="D502" s="8"/>
      <c r="G502" s="8"/>
    </row>
    <row r="503" spans="2:7" s="9" customFormat="1" ht="15" customHeight="1" x14ac:dyDescent="0.2">
      <c r="B503" s="8"/>
      <c r="C503" s="8"/>
      <c r="D503" s="8"/>
      <c r="G503" s="8"/>
    </row>
    <row r="504" spans="2:7" s="9" customFormat="1" ht="15" customHeight="1" x14ac:dyDescent="0.2">
      <c r="B504" s="8"/>
      <c r="C504" s="8"/>
      <c r="D504" s="8"/>
      <c r="G504" s="8"/>
    </row>
    <row r="505" spans="2:7" s="9" customFormat="1" ht="15" customHeight="1" x14ac:dyDescent="0.2">
      <c r="B505" s="8"/>
      <c r="C505" s="8"/>
      <c r="D505" s="8"/>
      <c r="G505" s="8"/>
    </row>
    <row r="506" spans="2:7" s="9" customFormat="1" ht="15" customHeight="1" x14ac:dyDescent="0.2">
      <c r="B506" s="8"/>
      <c r="C506" s="8"/>
      <c r="D506" s="8"/>
      <c r="G506" s="8"/>
    </row>
    <row r="507" spans="2:7" s="9" customFormat="1" ht="15" customHeight="1" x14ac:dyDescent="0.2">
      <c r="B507" s="8"/>
      <c r="C507" s="8"/>
      <c r="D507" s="8"/>
      <c r="G507" s="8"/>
    </row>
    <row r="508" spans="2:7" s="9" customFormat="1" ht="15" customHeight="1" x14ac:dyDescent="0.2">
      <c r="B508" s="8"/>
      <c r="C508" s="8"/>
      <c r="D508" s="8"/>
      <c r="G508" s="8"/>
    </row>
    <row r="509" spans="2:7" s="9" customFormat="1" ht="15" customHeight="1" x14ac:dyDescent="0.2">
      <c r="B509" s="8"/>
      <c r="C509" s="8"/>
      <c r="D509" s="8"/>
      <c r="G509" s="8"/>
    </row>
    <row r="510" spans="2:7" s="9" customFormat="1" ht="15" customHeight="1" x14ac:dyDescent="0.2">
      <c r="B510" s="8"/>
      <c r="C510" s="8"/>
      <c r="D510" s="8"/>
      <c r="G510" s="8"/>
    </row>
    <row r="511" spans="2:7" s="9" customFormat="1" ht="15" customHeight="1" x14ac:dyDescent="0.2">
      <c r="B511" s="8"/>
      <c r="C511" s="8"/>
      <c r="D511" s="8"/>
      <c r="G511" s="8"/>
    </row>
    <row r="512" spans="2:7" s="9" customFormat="1" ht="15" customHeight="1" x14ac:dyDescent="0.2">
      <c r="B512" s="8"/>
      <c r="C512" s="8"/>
      <c r="D512" s="8"/>
      <c r="G512" s="8"/>
    </row>
    <row r="513" spans="2:7" s="9" customFormat="1" ht="15" customHeight="1" x14ac:dyDescent="0.2">
      <c r="B513" s="8"/>
      <c r="C513" s="8"/>
      <c r="D513" s="8"/>
      <c r="G513" s="8"/>
    </row>
    <row r="514" spans="2:7" s="9" customFormat="1" ht="15" customHeight="1" x14ac:dyDescent="0.2">
      <c r="B514" s="8"/>
      <c r="C514" s="8"/>
      <c r="D514" s="8"/>
      <c r="G514" s="8"/>
    </row>
    <row r="515" spans="2:7" s="9" customFormat="1" ht="15" customHeight="1" x14ac:dyDescent="0.2">
      <c r="B515" s="8"/>
      <c r="C515" s="8"/>
      <c r="D515" s="8"/>
      <c r="G515" s="8"/>
    </row>
    <row r="516" spans="2:7" s="9" customFormat="1" ht="15" customHeight="1" x14ac:dyDescent="0.2">
      <c r="B516" s="8"/>
      <c r="C516" s="8"/>
      <c r="D516" s="8"/>
      <c r="G516" s="8"/>
    </row>
    <row r="517" spans="2:7" s="9" customFormat="1" ht="15" customHeight="1" x14ac:dyDescent="0.2">
      <c r="B517" s="8"/>
      <c r="C517" s="8"/>
      <c r="D517" s="8"/>
      <c r="G517" s="8"/>
    </row>
    <row r="518" spans="2:7" s="9" customFormat="1" ht="15" customHeight="1" x14ac:dyDescent="0.2">
      <c r="B518" s="8"/>
      <c r="C518" s="8"/>
      <c r="D518" s="8"/>
      <c r="G518" s="8"/>
    </row>
    <row r="519" spans="2:7" s="9" customFormat="1" ht="15" customHeight="1" x14ac:dyDescent="0.2">
      <c r="B519" s="8"/>
      <c r="C519" s="8"/>
      <c r="D519" s="8"/>
      <c r="G519" s="8"/>
    </row>
    <row r="520" spans="2:7" s="9" customFormat="1" ht="15" customHeight="1" x14ac:dyDescent="0.2">
      <c r="B520" s="8"/>
      <c r="C520" s="8"/>
      <c r="D520" s="8"/>
      <c r="G520" s="8"/>
    </row>
    <row r="521" spans="2:7" s="9" customFormat="1" ht="15" customHeight="1" x14ac:dyDescent="0.2">
      <c r="B521" s="8"/>
      <c r="C521" s="8"/>
      <c r="D521" s="8"/>
      <c r="G521" s="8"/>
    </row>
    <row r="522" spans="2:7" s="9" customFormat="1" ht="15" customHeight="1" x14ac:dyDescent="0.2">
      <c r="B522" s="8"/>
      <c r="C522" s="8"/>
      <c r="D522" s="8"/>
      <c r="G522" s="8"/>
    </row>
    <row r="523" spans="2:7" s="9" customFormat="1" ht="15" customHeight="1" x14ac:dyDescent="0.2">
      <c r="B523" s="8"/>
      <c r="C523" s="8"/>
      <c r="D523" s="8"/>
      <c r="G523" s="8"/>
    </row>
    <row r="524" spans="2:7" s="9" customFormat="1" ht="15" customHeight="1" x14ac:dyDescent="0.2">
      <c r="B524" s="8"/>
      <c r="C524" s="8"/>
      <c r="D524" s="8"/>
      <c r="G524" s="8"/>
    </row>
    <row r="525" spans="2:7" s="9" customFormat="1" ht="15" customHeight="1" x14ac:dyDescent="0.2">
      <c r="B525" s="8"/>
      <c r="C525" s="8"/>
      <c r="D525" s="8"/>
      <c r="G525" s="8"/>
    </row>
    <row r="526" spans="2:7" s="9" customFormat="1" ht="15" customHeight="1" x14ac:dyDescent="0.2">
      <c r="B526" s="8"/>
      <c r="C526" s="8"/>
      <c r="D526" s="8"/>
      <c r="G526" s="8"/>
    </row>
    <row r="527" spans="2:7" s="9" customFormat="1" ht="15" customHeight="1" x14ac:dyDescent="0.2">
      <c r="B527" s="8"/>
      <c r="C527" s="8"/>
      <c r="D527" s="8"/>
      <c r="G527" s="8"/>
    </row>
    <row r="528" spans="2:7" s="9" customFormat="1" ht="15" customHeight="1" x14ac:dyDescent="0.2">
      <c r="B528" s="8"/>
      <c r="C528" s="8"/>
      <c r="D528" s="8"/>
      <c r="G528" s="8"/>
    </row>
    <row r="529" spans="2:7" s="9" customFormat="1" ht="15" customHeight="1" x14ac:dyDescent="0.2">
      <c r="B529" s="8"/>
      <c r="C529" s="8"/>
      <c r="D529" s="8"/>
      <c r="G529" s="8"/>
    </row>
    <row r="530" spans="2:7" s="9" customFormat="1" ht="15" customHeight="1" x14ac:dyDescent="0.2">
      <c r="B530" s="8"/>
      <c r="C530" s="8"/>
      <c r="D530" s="8"/>
      <c r="G530" s="8"/>
    </row>
    <row r="531" spans="2:7" s="9" customFormat="1" ht="15" customHeight="1" x14ac:dyDescent="0.2">
      <c r="B531" s="8"/>
      <c r="C531" s="8"/>
      <c r="D531" s="8"/>
      <c r="G531" s="8"/>
    </row>
    <row r="532" spans="2:7" s="9" customFormat="1" ht="15" customHeight="1" x14ac:dyDescent="0.2">
      <c r="B532" s="8"/>
      <c r="C532" s="8"/>
      <c r="D532" s="8"/>
      <c r="G532" s="8"/>
    </row>
    <row r="533" spans="2:7" s="9" customFormat="1" ht="15" customHeight="1" x14ac:dyDescent="0.2">
      <c r="B533" s="8"/>
      <c r="C533" s="8"/>
      <c r="D533" s="8"/>
      <c r="G533" s="8"/>
    </row>
    <row r="534" spans="2:7" s="9" customFormat="1" ht="15" customHeight="1" x14ac:dyDescent="0.2">
      <c r="B534" s="8"/>
      <c r="C534" s="8"/>
      <c r="D534" s="8"/>
      <c r="G534" s="8"/>
    </row>
    <row r="535" spans="2:7" s="9" customFormat="1" ht="15" customHeight="1" x14ac:dyDescent="0.2">
      <c r="B535" s="8"/>
      <c r="C535" s="8"/>
      <c r="D535" s="8"/>
      <c r="G535" s="8"/>
    </row>
    <row r="536" spans="2:7" s="9" customFormat="1" ht="15" customHeight="1" x14ac:dyDescent="0.2">
      <c r="B536" s="8"/>
      <c r="C536" s="8"/>
      <c r="D536" s="8"/>
      <c r="G536" s="8"/>
    </row>
    <row r="537" spans="2:7" s="9" customFormat="1" ht="15" customHeight="1" x14ac:dyDescent="0.2">
      <c r="B537" s="8"/>
      <c r="C537" s="8"/>
      <c r="D537" s="8"/>
      <c r="G537" s="8"/>
    </row>
    <row r="538" spans="2:7" s="9" customFormat="1" ht="15" customHeight="1" x14ac:dyDescent="0.2">
      <c r="B538" s="8"/>
      <c r="C538" s="8"/>
      <c r="D538" s="8"/>
      <c r="G538" s="8"/>
    </row>
    <row r="539" spans="2:7" s="9" customFormat="1" ht="15" customHeight="1" x14ac:dyDescent="0.2">
      <c r="B539" s="8"/>
      <c r="C539" s="8"/>
      <c r="D539" s="8"/>
      <c r="G539" s="8"/>
    </row>
    <row r="540" spans="2:7" s="9" customFormat="1" ht="15" customHeight="1" x14ac:dyDescent="0.2">
      <c r="B540" s="8"/>
      <c r="C540" s="8"/>
      <c r="D540" s="8"/>
      <c r="G540" s="8"/>
    </row>
    <row r="541" spans="2:7" s="9" customFormat="1" ht="15" customHeight="1" x14ac:dyDescent="0.2">
      <c r="B541" s="8"/>
      <c r="C541" s="8"/>
      <c r="D541" s="8"/>
      <c r="G541" s="8"/>
    </row>
    <row r="542" spans="2:7" s="9" customFormat="1" ht="15" customHeight="1" x14ac:dyDescent="0.2">
      <c r="B542" s="8"/>
      <c r="C542" s="8"/>
      <c r="D542" s="8"/>
      <c r="G542" s="8"/>
    </row>
    <row r="543" spans="2:7" s="9" customFormat="1" ht="15" customHeight="1" x14ac:dyDescent="0.2">
      <c r="B543" s="8"/>
      <c r="C543" s="8"/>
      <c r="D543" s="8"/>
      <c r="G543" s="8"/>
    </row>
    <row r="544" spans="2:7" s="9" customFormat="1" ht="15" customHeight="1" x14ac:dyDescent="0.2">
      <c r="B544" s="8"/>
      <c r="C544" s="8"/>
      <c r="D544" s="8"/>
      <c r="G544" s="8"/>
    </row>
    <row r="545" spans="2:7" s="9" customFormat="1" ht="15" customHeight="1" x14ac:dyDescent="0.2">
      <c r="B545" s="8"/>
      <c r="C545" s="8"/>
      <c r="D545" s="8"/>
      <c r="G545" s="8"/>
    </row>
    <row r="546" spans="2:7" s="9" customFormat="1" ht="15" customHeight="1" x14ac:dyDescent="0.2">
      <c r="B546" s="8"/>
      <c r="C546" s="8"/>
      <c r="D546" s="8"/>
      <c r="G546" s="8"/>
    </row>
    <row r="547" spans="2:7" s="9" customFormat="1" ht="15" customHeight="1" x14ac:dyDescent="0.2">
      <c r="B547" s="8"/>
      <c r="C547" s="8"/>
      <c r="D547" s="8"/>
      <c r="G547" s="8"/>
    </row>
    <row r="548" spans="2:7" s="9" customFormat="1" ht="15" customHeight="1" x14ac:dyDescent="0.2">
      <c r="B548" s="8"/>
      <c r="C548" s="8"/>
      <c r="D548" s="8"/>
      <c r="G548" s="8"/>
    </row>
    <row r="549" spans="2:7" s="9" customFormat="1" ht="15" customHeight="1" x14ac:dyDescent="0.2">
      <c r="B549" s="8"/>
      <c r="C549" s="8"/>
      <c r="D549" s="8"/>
      <c r="G549" s="8"/>
    </row>
    <row r="550" spans="2:7" s="9" customFormat="1" ht="15" customHeight="1" x14ac:dyDescent="0.2">
      <c r="B550" s="8"/>
      <c r="C550" s="8"/>
      <c r="D550" s="8"/>
      <c r="G550" s="8"/>
    </row>
    <row r="551" spans="2:7" s="9" customFormat="1" ht="15" customHeight="1" x14ac:dyDescent="0.2">
      <c r="B551" s="8"/>
      <c r="C551" s="8"/>
      <c r="D551" s="8"/>
      <c r="G551" s="8"/>
    </row>
    <row r="552" spans="2:7" s="9" customFormat="1" ht="15" customHeight="1" x14ac:dyDescent="0.2">
      <c r="B552" s="8"/>
      <c r="C552" s="8"/>
      <c r="D552" s="8"/>
      <c r="G552" s="8"/>
    </row>
    <row r="553" spans="2:7" s="9" customFormat="1" ht="15" customHeight="1" x14ac:dyDescent="0.2">
      <c r="B553" s="8"/>
      <c r="C553" s="8"/>
      <c r="D553" s="8"/>
      <c r="G553" s="8"/>
    </row>
    <row r="554" spans="2:7" s="9" customFormat="1" ht="15" customHeight="1" x14ac:dyDescent="0.2">
      <c r="B554" s="8"/>
      <c r="C554" s="8"/>
      <c r="D554" s="8"/>
      <c r="G554" s="8"/>
    </row>
    <row r="555" spans="2:7" s="9" customFormat="1" ht="15" customHeight="1" x14ac:dyDescent="0.2">
      <c r="B555" s="8"/>
      <c r="C555" s="8"/>
      <c r="D555" s="8"/>
      <c r="G555" s="8"/>
    </row>
    <row r="556" spans="2:7" s="9" customFormat="1" ht="15" customHeight="1" x14ac:dyDescent="0.2">
      <c r="B556" s="8"/>
      <c r="C556" s="8"/>
      <c r="D556" s="8"/>
      <c r="G556" s="8"/>
    </row>
    <row r="557" spans="2:7" s="9" customFormat="1" ht="15" customHeight="1" x14ac:dyDescent="0.2">
      <c r="B557" s="8"/>
      <c r="C557" s="8"/>
      <c r="D557" s="8"/>
      <c r="G557" s="8"/>
    </row>
    <row r="558" spans="2:7" s="9" customFormat="1" ht="15" customHeight="1" x14ac:dyDescent="0.2">
      <c r="B558" s="8"/>
      <c r="C558" s="8"/>
      <c r="D558" s="8"/>
      <c r="G558" s="8"/>
    </row>
    <row r="559" spans="2:7" s="9" customFormat="1" ht="15" customHeight="1" x14ac:dyDescent="0.2">
      <c r="B559" s="8"/>
      <c r="C559" s="8"/>
      <c r="D559" s="8"/>
      <c r="G559" s="8"/>
    </row>
    <row r="560" spans="2:7" s="9" customFormat="1" ht="15" customHeight="1" x14ac:dyDescent="0.2">
      <c r="B560" s="8"/>
      <c r="C560" s="8"/>
      <c r="D560" s="8"/>
      <c r="G560" s="8"/>
    </row>
    <row r="561" spans="2:7" s="9" customFormat="1" ht="15" customHeight="1" x14ac:dyDescent="0.2">
      <c r="B561" s="8"/>
      <c r="C561" s="8"/>
      <c r="D561" s="8"/>
      <c r="G561" s="8"/>
    </row>
    <row r="562" spans="2:7" s="9" customFormat="1" ht="15" customHeight="1" x14ac:dyDescent="0.2">
      <c r="B562" s="8"/>
      <c r="C562" s="8"/>
      <c r="D562" s="8"/>
      <c r="G562" s="8"/>
    </row>
    <row r="563" spans="2:7" s="9" customFormat="1" ht="15" customHeight="1" x14ac:dyDescent="0.2">
      <c r="B563" s="8"/>
      <c r="C563" s="8"/>
      <c r="D563" s="8"/>
      <c r="G563" s="8"/>
    </row>
    <row r="564" spans="2:7" s="9" customFormat="1" ht="15" customHeight="1" x14ac:dyDescent="0.2">
      <c r="B564" s="8"/>
      <c r="C564" s="8"/>
      <c r="D564" s="8"/>
      <c r="G564" s="8"/>
    </row>
    <row r="565" spans="2:7" s="9" customFormat="1" ht="15" customHeight="1" x14ac:dyDescent="0.2">
      <c r="B565" s="8"/>
      <c r="C565" s="8"/>
      <c r="D565" s="8"/>
      <c r="G565" s="8"/>
    </row>
    <row r="566" spans="2:7" s="9" customFormat="1" ht="15" customHeight="1" x14ac:dyDescent="0.2">
      <c r="B566" s="8"/>
      <c r="C566" s="8"/>
      <c r="D566" s="8"/>
      <c r="G566" s="8"/>
    </row>
    <row r="567" spans="2:7" s="9" customFormat="1" ht="15" customHeight="1" x14ac:dyDescent="0.2">
      <c r="B567" s="8"/>
      <c r="C567" s="8"/>
      <c r="D567" s="8"/>
      <c r="G567" s="8"/>
    </row>
    <row r="568" spans="2:7" s="9" customFormat="1" ht="15" customHeight="1" x14ac:dyDescent="0.2">
      <c r="B568" s="8"/>
      <c r="C568" s="8"/>
      <c r="D568" s="8"/>
      <c r="G568" s="8"/>
    </row>
    <row r="569" spans="2:7" s="9" customFormat="1" ht="15" customHeight="1" x14ac:dyDescent="0.2">
      <c r="B569" s="8"/>
      <c r="C569" s="8"/>
      <c r="D569" s="8"/>
      <c r="G569" s="8"/>
    </row>
    <row r="570" spans="2:7" s="9" customFormat="1" ht="15" customHeight="1" x14ac:dyDescent="0.2">
      <c r="B570" s="8"/>
      <c r="C570" s="8"/>
      <c r="D570" s="8"/>
      <c r="G570" s="8"/>
    </row>
    <row r="571" spans="2:7" s="9" customFormat="1" ht="15" customHeight="1" x14ac:dyDescent="0.2">
      <c r="B571" s="8"/>
      <c r="C571" s="8"/>
      <c r="D571" s="8"/>
      <c r="G571" s="8"/>
    </row>
    <row r="572" spans="2:7" s="9" customFormat="1" ht="15" customHeight="1" x14ac:dyDescent="0.2">
      <c r="B572" s="8"/>
      <c r="C572" s="8"/>
      <c r="D572" s="8"/>
      <c r="G572" s="8"/>
    </row>
    <row r="573" spans="2:7" s="9" customFormat="1" ht="15" customHeight="1" x14ac:dyDescent="0.2">
      <c r="B573" s="8"/>
      <c r="C573" s="8"/>
      <c r="D573" s="8"/>
      <c r="G573" s="8"/>
    </row>
    <row r="574" spans="2:7" s="9" customFormat="1" ht="15" customHeight="1" x14ac:dyDescent="0.2">
      <c r="B574" s="8"/>
      <c r="C574" s="8"/>
      <c r="D574" s="8"/>
      <c r="G574" s="8"/>
    </row>
    <row r="575" spans="2:7" s="9" customFormat="1" ht="15" customHeight="1" x14ac:dyDescent="0.2">
      <c r="B575" s="8"/>
      <c r="C575" s="8"/>
      <c r="D575" s="8"/>
      <c r="G575" s="8"/>
    </row>
    <row r="576" spans="2:7" s="9" customFormat="1" ht="15" customHeight="1" x14ac:dyDescent="0.2">
      <c r="B576" s="8"/>
      <c r="C576" s="8"/>
      <c r="D576" s="8"/>
      <c r="G576" s="8"/>
    </row>
    <row r="577" spans="2:7" s="9" customFormat="1" ht="15" customHeight="1" x14ac:dyDescent="0.2">
      <c r="B577" s="8"/>
      <c r="C577" s="8"/>
      <c r="D577" s="8"/>
      <c r="G577" s="8"/>
    </row>
    <row r="578" spans="2:7" s="9" customFormat="1" ht="15" customHeight="1" x14ac:dyDescent="0.2">
      <c r="B578" s="8"/>
      <c r="C578" s="8"/>
      <c r="D578" s="8"/>
      <c r="G578" s="8"/>
    </row>
    <row r="579" spans="2:7" s="9" customFormat="1" ht="15" customHeight="1" x14ac:dyDescent="0.2">
      <c r="B579" s="8"/>
      <c r="C579" s="8"/>
      <c r="D579" s="8"/>
      <c r="G579" s="8"/>
    </row>
    <row r="580" spans="2:7" s="9" customFormat="1" ht="15" customHeight="1" x14ac:dyDescent="0.2">
      <c r="B580" s="8"/>
      <c r="C580" s="8"/>
      <c r="D580" s="8"/>
      <c r="G580" s="8"/>
    </row>
    <row r="581" spans="2:7" s="9" customFormat="1" ht="15" customHeight="1" x14ac:dyDescent="0.2">
      <c r="B581" s="8"/>
      <c r="C581" s="8"/>
      <c r="D581" s="8"/>
      <c r="G581" s="8"/>
    </row>
    <row r="582" spans="2:7" s="9" customFormat="1" ht="15" customHeight="1" x14ac:dyDescent="0.2">
      <c r="B582" s="8"/>
      <c r="C582" s="8"/>
      <c r="D582" s="8"/>
      <c r="G582" s="8"/>
    </row>
    <row r="583" spans="2:7" s="9" customFormat="1" ht="15" customHeight="1" x14ac:dyDescent="0.2">
      <c r="B583" s="8"/>
      <c r="C583" s="8"/>
      <c r="D583" s="8"/>
      <c r="G583" s="8"/>
    </row>
    <row r="584" spans="2:7" s="9" customFormat="1" ht="15" customHeight="1" x14ac:dyDescent="0.2">
      <c r="B584" s="8"/>
      <c r="C584" s="8"/>
      <c r="D584" s="8"/>
      <c r="G584" s="8"/>
    </row>
    <row r="585" spans="2:7" s="9" customFormat="1" ht="15" customHeight="1" x14ac:dyDescent="0.2">
      <c r="B585" s="8"/>
      <c r="C585" s="8"/>
      <c r="D585" s="8"/>
      <c r="G585" s="8"/>
    </row>
    <row r="586" spans="2:7" s="9" customFormat="1" ht="15" customHeight="1" x14ac:dyDescent="0.2">
      <c r="B586" s="8"/>
      <c r="C586" s="8"/>
      <c r="D586" s="8"/>
      <c r="G586" s="8"/>
    </row>
    <row r="587" spans="2:7" s="9" customFormat="1" ht="15" customHeight="1" x14ac:dyDescent="0.2">
      <c r="B587" s="8"/>
      <c r="C587" s="8"/>
      <c r="D587" s="8"/>
      <c r="G587" s="8"/>
    </row>
    <row r="588" spans="2:7" s="9" customFormat="1" ht="15" customHeight="1" x14ac:dyDescent="0.2">
      <c r="B588" s="8"/>
      <c r="C588" s="8"/>
      <c r="D588" s="8"/>
      <c r="G588" s="8"/>
    </row>
    <row r="589" spans="2:7" s="9" customFormat="1" ht="15" customHeight="1" x14ac:dyDescent="0.2">
      <c r="B589" s="8"/>
      <c r="C589" s="8"/>
      <c r="D589" s="8"/>
      <c r="G589" s="8"/>
    </row>
    <row r="590" spans="2:7" s="9" customFormat="1" ht="15" customHeight="1" x14ac:dyDescent="0.2">
      <c r="B590" s="8"/>
      <c r="C590" s="8"/>
      <c r="D590" s="8"/>
      <c r="G590" s="8"/>
    </row>
    <row r="591" spans="2:7" s="9" customFormat="1" ht="15" customHeight="1" x14ac:dyDescent="0.2">
      <c r="B591" s="8"/>
      <c r="C591" s="8"/>
      <c r="D591" s="8"/>
      <c r="G591" s="8"/>
    </row>
    <row r="592" spans="2:7" s="9" customFormat="1" ht="15" customHeight="1" x14ac:dyDescent="0.2">
      <c r="B592" s="8"/>
      <c r="C592" s="8"/>
      <c r="D592" s="8"/>
      <c r="G592" s="8"/>
    </row>
    <row r="593" spans="2:7" s="9" customFormat="1" ht="15" customHeight="1" x14ac:dyDescent="0.2">
      <c r="B593" s="8"/>
      <c r="C593" s="8"/>
      <c r="D593" s="8"/>
      <c r="G593" s="8"/>
    </row>
    <row r="594" spans="2:7" s="9" customFormat="1" ht="15" customHeight="1" x14ac:dyDescent="0.2">
      <c r="B594" s="8"/>
      <c r="C594" s="8"/>
      <c r="D594" s="8"/>
      <c r="G594" s="8"/>
    </row>
    <row r="595" spans="2:7" s="9" customFormat="1" ht="15" customHeight="1" x14ac:dyDescent="0.2">
      <c r="B595" s="8"/>
      <c r="C595" s="8"/>
      <c r="D595" s="8"/>
      <c r="G595" s="8"/>
    </row>
    <row r="596" spans="2:7" s="9" customFormat="1" ht="15" customHeight="1" x14ac:dyDescent="0.2">
      <c r="B596" s="8"/>
      <c r="C596" s="8"/>
      <c r="D596" s="8"/>
      <c r="G596" s="8"/>
    </row>
    <row r="597" spans="2:7" s="9" customFormat="1" ht="15" customHeight="1" x14ac:dyDescent="0.2">
      <c r="B597" s="8"/>
      <c r="C597" s="8"/>
      <c r="D597" s="8"/>
      <c r="G597" s="8"/>
    </row>
    <row r="598" spans="2:7" s="9" customFormat="1" ht="15" customHeight="1" x14ac:dyDescent="0.2">
      <c r="B598" s="8"/>
      <c r="C598" s="8"/>
      <c r="D598" s="8"/>
      <c r="G598" s="8"/>
    </row>
    <row r="599" spans="2:7" s="9" customFormat="1" ht="15" customHeight="1" x14ac:dyDescent="0.2">
      <c r="B599" s="8"/>
      <c r="C599" s="8"/>
      <c r="D599" s="8"/>
      <c r="G599" s="8"/>
    </row>
    <row r="600" spans="2:7" s="9" customFormat="1" ht="15" customHeight="1" x14ac:dyDescent="0.2">
      <c r="B600" s="8"/>
      <c r="C600" s="8"/>
      <c r="D600" s="8"/>
      <c r="G600" s="8"/>
    </row>
    <row r="601" spans="2:7" s="9" customFormat="1" ht="15" customHeight="1" x14ac:dyDescent="0.2">
      <c r="B601" s="8"/>
      <c r="C601" s="8"/>
      <c r="D601" s="8"/>
      <c r="G601" s="8"/>
    </row>
    <row r="602" spans="2:7" s="9" customFormat="1" ht="15" customHeight="1" x14ac:dyDescent="0.2">
      <c r="B602" s="8"/>
      <c r="C602" s="8"/>
      <c r="D602" s="8"/>
      <c r="G602" s="8"/>
    </row>
    <row r="603" spans="2:7" s="9" customFormat="1" ht="15" customHeight="1" x14ac:dyDescent="0.2">
      <c r="B603" s="8"/>
      <c r="C603" s="8"/>
      <c r="D603" s="8"/>
      <c r="G603" s="8"/>
    </row>
    <row r="604" spans="2:7" s="9" customFormat="1" ht="15" customHeight="1" x14ac:dyDescent="0.2">
      <c r="B604" s="8"/>
      <c r="C604" s="8"/>
      <c r="D604" s="8"/>
      <c r="G604" s="8"/>
    </row>
    <row r="605" spans="2:7" s="9" customFormat="1" ht="15" customHeight="1" x14ac:dyDescent="0.2">
      <c r="B605" s="8"/>
      <c r="C605" s="8"/>
      <c r="D605" s="8"/>
      <c r="G605" s="8"/>
    </row>
    <row r="606" spans="2:7" s="9" customFormat="1" ht="15" customHeight="1" x14ac:dyDescent="0.2">
      <c r="B606" s="8"/>
      <c r="C606" s="8"/>
      <c r="D606" s="8"/>
      <c r="G606" s="8"/>
    </row>
    <row r="607" spans="2:7" s="9" customFormat="1" ht="15" customHeight="1" x14ac:dyDescent="0.2">
      <c r="B607" s="8"/>
      <c r="C607" s="8"/>
      <c r="D607" s="8"/>
      <c r="G607" s="8"/>
    </row>
    <row r="608" spans="2:7" s="9" customFormat="1" ht="15" customHeight="1" x14ac:dyDescent="0.2">
      <c r="B608" s="8"/>
      <c r="C608" s="8"/>
      <c r="D608" s="8"/>
      <c r="G608" s="8"/>
    </row>
    <row r="609" spans="2:7" s="9" customFormat="1" ht="15" customHeight="1" x14ac:dyDescent="0.2">
      <c r="B609" s="8"/>
      <c r="C609" s="8"/>
      <c r="D609" s="8"/>
      <c r="G609" s="8"/>
    </row>
    <row r="610" spans="2:7" s="9" customFormat="1" ht="15" customHeight="1" x14ac:dyDescent="0.2">
      <c r="B610" s="8"/>
      <c r="C610" s="8"/>
      <c r="D610" s="8"/>
      <c r="G610" s="8"/>
    </row>
    <row r="611" spans="2:7" s="9" customFormat="1" ht="15" customHeight="1" x14ac:dyDescent="0.2">
      <c r="B611" s="8"/>
      <c r="C611" s="8"/>
      <c r="D611" s="8"/>
      <c r="G611" s="8"/>
    </row>
    <row r="612" spans="2:7" s="9" customFormat="1" ht="15" customHeight="1" x14ac:dyDescent="0.2">
      <c r="B612" s="8"/>
      <c r="C612" s="8"/>
      <c r="D612" s="8"/>
      <c r="G612" s="8"/>
    </row>
    <row r="613" spans="2:7" s="9" customFormat="1" ht="15" customHeight="1" x14ac:dyDescent="0.2">
      <c r="B613" s="8"/>
      <c r="C613" s="8"/>
      <c r="D613" s="8"/>
      <c r="G613" s="8"/>
    </row>
    <row r="614" spans="2:7" s="9" customFormat="1" ht="15" customHeight="1" x14ac:dyDescent="0.2">
      <c r="B614" s="8"/>
      <c r="C614" s="8"/>
      <c r="D614" s="8"/>
      <c r="G614" s="8"/>
    </row>
    <row r="615" spans="2:7" s="9" customFormat="1" ht="15" customHeight="1" x14ac:dyDescent="0.2">
      <c r="B615" s="8"/>
      <c r="C615" s="8"/>
      <c r="D615" s="8"/>
      <c r="G615" s="8"/>
    </row>
    <row r="616" spans="2:7" s="9" customFormat="1" ht="15" customHeight="1" x14ac:dyDescent="0.2">
      <c r="B616" s="8"/>
      <c r="C616" s="8"/>
      <c r="D616" s="8"/>
      <c r="G616" s="8"/>
    </row>
    <row r="617" spans="2:7" s="9" customFormat="1" ht="15" customHeight="1" x14ac:dyDescent="0.2">
      <c r="B617" s="8"/>
      <c r="C617" s="8"/>
      <c r="D617" s="8"/>
      <c r="G617" s="8"/>
    </row>
    <row r="618" spans="2:7" s="9" customFormat="1" ht="15" customHeight="1" x14ac:dyDescent="0.2">
      <c r="B618" s="8"/>
      <c r="C618" s="8"/>
      <c r="D618" s="8"/>
      <c r="G618" s="8"/>
    </row>
    <row r="619" spans="2:7" s="9" customFormat="1" ht="15" customHeight="1" x14ac:dyDescent="0.2">
      <c r="B619" s="8"/>
      <c r="C619" s="8"/>
      <c r="D619" s="8"/>
      <c r="G619" s="8"/>
    </row>
    <row r="620" spans="2:7" s="9" customFormat="1" ht="15" customHeight="1" x14ac:dyDescent="0.2">
      <c r="B620" s="8"/>
      <c r="C620" s="8"/>
      <c r="D620" s="8"/>
      <c r="G620" s="8"/>
    </row>
    <row r="621" spans="2:7" s="9" customFormat="1" ht="15" customHeight="1" x14ac:dyDescent="0.2">
      <c r="B621" s="8"/>
      <c r="C621" s="8"/>
      <c r="D621" s="8"/>
      <c r="G621" s="8"/>
    </row>
    <row r="622" spans="2:7" s="9" customFormat="1" ht="15" customHeight="1" x14ac:dyDescent="0.2">
      <c r="B622" s="8"/>
      <c r="C622" s="8"/>
      <c r="D622" s="8"/>
      <c r="G622" s="8"/>
    </row>
    <row r="623" spans="2:7" s="9" customFormat="1" ht="15" customHeight="1" x14ac:dyDescent="0.2">
      <c r="B623" s="8"/>
      <c r="C623" s="8"/>
      <c r="D623" s="8"/>
      <c r="G623" s="8"/>
    </row>
    <row r="624" spans="2:7" s="9" customFormat="1" ht="15" customHeight="1" x14ac:dyDescent="0.2">
      <c r="B624" s="8"/>
      <c r="C624" s="8"/>
      <c r="D624" s="8"/>
      <c r="G624" s="8"/>
    </row>
    <row r="625" spans="2:7" s="9" customFormat="1" ht="15" customHeight="1" x14ac:dyDescent="0.2">
      <c r="B625" s="8"/>
      <c r="C625" s="8"/>
      <c r="D625" s="8"/>
      <c r="G625" s="8"/>
    </row>
    <row r="626" spans="2:7" s="9" customFormat="1" ht="15" customHeight="1" x14ac:dyDescent="0.2">
      <c r="B626" s="8"/>
      <c r="C626" s="8"/>
      <c r="D626" s="8"/>
      <c r="G626" s="8"/>
    </row>
    <row r="627" spans="2:7" s="9" customFormat="1" ht="15" customHeight="1" x14ac:dyDescent="0.2">
      <c r="B627" s="8"/>
      <c r="C627" s="8"/>
      <c r="D627" s="8"/>
      <c r="G627" s="8"/>
    </row>
    <row r="628" spans="2:7" s="9" customFormat="1" ht="15" customHeight="1" x14ac:dyDescent="0.2">
      <c r="B628" s="8"/>
      <c r="C628" s="8"/>
      <c r="D628" s="8"/>
      <c r="G628" s="8"/>
    </row>
    <row r="629" spans="2:7" s="9" customFormat="1" ht="15" customHeight="1" x14ac:dyDescent="0.2">
      <c r="B629" s="8"/>
      <c r="C629" s="8"/>
      <c r="D629" s="8"/>
      <c r="G629" s="8"/>
    </row>
    <row r="630" spans="2:7" s="9" customFormat="1" ht="15" customHeight="1" x14ac:dyDescent="0.2">
      <c r="B630" s="8"/>
      <c r="C630" s="8"/>
      <c r="D630" s="8"/>
      <c r="G630" s="8"/>
    </row>
    <row r="631" spans="2:7" s="9" customFormat="1" ht="15" customHeight="1" x14ac:dyDescent="0.2">
      <c r="B631" s="8"/>
      <c r="C631" s="8"/>
      <c r="D631" s="8"/>
      <c r="G631" s="8"/>
    </row>
    <row r="632" spans="2:7" s="9" customFormat="1" ht="15" customHeight="1" x14ac:dyDescent="0.2">
      <c r="B632" s="8"/>
      <c r="C632" s="8"/>
      <c r="D632" s="8"/>
      <c r="G632" s="8"/>
    </row>
    <row r="633" spans="2:7" s="9" customFormat="1" ht="15" customHeight="1" x14ac:dyDescent="0.2">
      <c r="B633" s="8"/>
      <c r="C633" s="8"/>
      <c r="D633" s="8"/>
      <c r="G633" s="8"/>
    </row>
    <row r="634" spans="2:7" s="9" customFormat="1" ht="15" customHeight="1" x14ac:dyDescent="0.2">
      <c r="B634" s="8"/>
      <c r="C634" s="8"/>
      <c r="D634" s="8"/>
      <c r="G634" s="8"/>
    </row>
    <row r="635" spans="2:7" s="9" customFormat="1" ht="15" customHeight="1" x14ac:dyDescent="0.2">
      <c r="B635" s="8"/>
      <c r="C635" s="8"/>
      <c r="D635" s="8"/>
      <c r="G635" s="8"/>
    </row>
    <row r="636" spans="2:7" s="9" customFormat="1" ht="15" customHeight="1" x14ac:dyDescent="0.2">
      <c r="B636" s="8"/>
      <c r="C636" s="8"/>
      <c r="D636" s="8"/>
      <c r="G636" s="8"/>
    </row>
    <row r="637" spans="2:7" s="9" customFormat="1" ht="15" customHeight="1" x14ac:dyDescent="0.2">
      <c r="B637" s="8"/>
      <c r="C637" s="8"/>
      <c r="D637" s="8"/>
      <c r="G637" s="8"/>
    </row>
    <row r="638" spans="2:7" s="9" customFormat="1" ht="15" customHeight="1" x14ac:dyDescent="0.2">
      <c r="B638" s="8"/>
      <c r="C638" s="8"/>
      <c r="D638" s="8"/>
      <c r="G638" s="8"/>
    </row>
    <row r="639" spans="2:7" s="9" customFormat="1" ht="15" customHeight="1" x14ac:dyDescent="0.2">
      <c r="B639" s="8"/>
      <c r="C639" s="8"/>
      <c r="D639" s="8"/>
      <c r="G639" s="8"/>
    </row>
    <row r="640" spans="2:7" s="9" customFormat="1" ht="15" customHeight="1" x14ac:dyDescent="0.2">
      <c r="B640" s="8"/>
      <c r="C640" s="8"/>
      <c r="D640" s="8"/>
      <c r="G640" s="8"/>
    </row>
    <row r="641" spans="2:7" s="9" customFormat="1" ht="15" customHeight="1" x14ac:dyDescent="0.2">
      <c r="B641" s="8"/>
      <c r="C641" s="8"/>
      <c r="D641" s="8"/>
      <c r="G641" s="8"/>
    </row>
    <row r="642" spans="2:7" s="9" customFormat="1" ht="15" customHeight="1" x14ac:dyDescent="0.2">
      <c r="B642" s="8"/>
      <c r="C642" s="8"/>
      <c r="D642" s="8"/>
      <c r="G642" s="8"/>
    </row>
    <row r="643" spans="2:7" s="9" customFormat="1" ht="15" customHeight="1" x14ac:dyDescent="0.2">
      <c r="B643" s="8"/>
      <c r="C643" s="8"/>
      <c r="D643" s="8"/>
      <c r="G643" s="8"/>
    </row>
    <row r="644" spans="2:7" s="9" customFormat="1" ht="15" customHeight="1" x14ac:dyDescent="0.2">
      <c r="B644" s="8"/>
      <c r="C644" s="8"/>
      <c r="D644" s="8"/>
      <c r="G644" s="8"/>
    </row>
    <row r="645" spans="2:7" s="9" customFormat="1" ht="15" customHeight="1" x14ac:dyDescent="0.2">
      <c r="B645" s="8"/>
      <c r="C645" s="8"/>
      <c r="D645" s="8"/>
      <c r="G645" s="8"/>
    </row>
    <row r="646" spans="2:7" s="9" customFormat="1" ht="15" customHeight="1" x14ac:dyDescent="0.2">
      <c r="B646" s="8"/>
      <c r="C646" s="8"/>
      <c r="D646" s="8"/>
      <c r="G646" s="8"/>
    </row>
    <row r="647" spans="2:7" s="9" customFormat="1" ht="15" customHeight="1" x14ac:dyDescent="0.2">
      <c r="B647" s="8"/>
      <c r="C647" s="8"/>
      <c r="D647" s="8"/>
      <c r="G647" s="8"/>
    </row>
    <row r="648" spans="2:7" s="9" customFormat="1" ht="15" customHeight="1" x14ac:dyDescent="0.2">
      <c r="B648" s="8"/>
      <c r="C648" s="8"/>
      <c r="D648" s="8"/>
      <c r="G648" s="8"/>
    </row>
    <row r="649" spans="2:7" s="9" customFormat="1" ht="15" customHeight="1" x14ac:dyDescent="0.2">
      <c r="B649" s="8"/>
      <c r="C649" s="8"/>
      <c r="D649" s="8"/>
      <c r="G649" s="8"/>
    </row>
    <row r="650" spans="2:7" s="9" customFormat="1" ht="15" customHeight="1" x14ac:dyDescent="0.2">
      <c r="B650" s="8"/>
      <c r="C650" s="8"/>
      <c r="D650" s="8"/>
      <c r="G650" s="8"/>
    </row>
    <row r="651" spans="2:7" s="9" customFormat="1" ht="15" customHeight="1" x14ac:dyDescent="0.2">
      <c r="B651" s="8"/>
      <c r="C651" s="8"/>
      <c r="D651" s="8"/>
      <c r="G651" s="8"/>
    </row>
    <row r="652" spans="2:7" s="9" customFormat="1" ht="15" customHeight="1" x14ac:dyDescent="0.2">
      <c r="B652" s="8"/>
      <c r="C652" s="8"/>
      <c r="D652" s="8"/>
      <c r="G652" s="8"/>
    </row>
    <row r="653" spans="2:7" s="9" customFormat="1" ht="15" customHeight="1" x14ac:dyDescent="0.2">
      <c r="B653" s="8"/>
      <c r="C653" s="8"/>
      <c r="D653" s="8"/>
      <c r="G653" s="8"/>
    </row>
    <row r="654" spans="2:7" s="9" customFormat="1" ht="15" customHeight="1" x14ac:dyDescent="0.2">
      <c r="B654" s="8"/>
      <c r="C654" s="8"/>
      <c r="D654" s="8"/>
      <c r="G654" s="8"/>
    </row>
    <row r="655" spans="2:7" s="9" customFormat="1" ht="15" customHeight="1" x14ac:dyDescent="0.2">
      <c r="B655" s="8"/>
      <c r="C655" s="8"/>
      <c r="D655" s="8"/>
      <c r="G655" s="8"/>
    </row>
    <row r="656" spans="2:7" s="9" customFormat="1" ht="15" customHeight="1" x14ac:dyDescent="0.2">
      <c r="B656" s="8"/>
      <c r="C656" s="8"/>
      <c r="D656" s="8"/>
      <c r="G656" s="8"/>
    </row>
    <row r="657" spans="2:7" s="9" customFormat="1" ht="15" customHeight="1" x14ac:dyDescent="0.2">
      <c r="B657" s="8"/>
      <c r="C657" s="8"/>
      <c r="D657" s="8"/>
      <c r="G657" s="8"/>
    </row>
    <row r="658" spans="2:7" s="9" customFormat="1" ht="15" customHeight="1" x14ac:dyDescent="0.2">
      <c r="B658" s="8"/>
      <c r="C658" s="8"/>
      <c r="D658" s="8"/>
      <c r="G658" s="8"/>
    </row>
    <row r="659" spans="2:7" s="9" customFormat="1" ht="15" customHeight="1" x14ac:dyDescent="0.2">
      <c r="B659" s="8"/>
      <c r="C659" s="8"/>
      <c r="D659" s="8"/>
      <c r="G659" s="8"/>
    </row>
    <row r="660" spans="2:7" s="9" customFormat="1" ht="15" customHeight="1" x14ac:dyDescent="0.2">
      <c r="B660" s="8"/>
      <c r="C660" s="8"/>
      <c r="D660" s="8"/>
      <c r="G660" s="8"/>
    </row>
    <row r="661" spans="2:7" s="9" customFormat="1" ht="15" customHeight="1" x14ac:dyDescent="0.2">
      <c r="B661" s="8"/>
      <c r="C661" s="8"/>
      <c r="D661" s="8"/>
      <c r="G661" s="8"/>
    </row>
    <row r="662" spans="2:7" s="9" customFormat="1" ht="15" customHeight="1" x14ac:dyDescent="0.2">
      <c r="B662" s="8"/>
      <c r="C662" s="8"/>
      <c r="D662" s="8"/>
      <c r="G662" s="8"/>
    </row>
    <row r="663" spans="2:7" s="9" customFormat="1" ht="15" customHeight="1" x14ac:dyDescent="0.2">
      <c r="B663" s="8"/>
      <c r="C663" s="8"/>
      <c r="D663" s="8"/>
      <c r="G663" s="8"/>
    </row>
    <row r="664" spans="2:7" s="9" customFormat="1" ht="15" customHeight="1" x14ac:dyDescent="0.2">
      <c r="B664" s="8"/>
      <c r="C664" s="8"/>
      <c r="D664" s="8"/>
      <c r="G664" s="8"/>
    </row>
    <row r="665" spans="2:7" s="9" customFormat="1" ht="15" customHeight="1" x14ac:dyDescent="0.2">
      <c r="B665" s="8"/>
      <c r="C665" s="8"/>
      <c r="D665" s="8"/>
      <c r="G665" s="8"/>
    </row>
    <row r="666" spans="2:7" s="9" customFormat="1" ht="15" customHeight="1" x14ac:dyDescent="0.2">
      <c r="B666" s="8"/>
      <c r="C666" s="8"/>
      <c r="D666" s="8"/>
      <c r="G666" s="8"/>
    </row>
    <row r="667" spans="2:7" s="9" customFormat="1" ht="15" customHeight="1" x14ac:dyDescent="0.2">
      <c r="B667" s="8"/>
      <c r="C667" s="8"/>
      <c r="D667" s="8"/>
      <c r="G667" s="8"/>
    </row>
    <row r="668" spans="2:7" s="9" customFormat="1" ht="15" customHeight="1" x14ac:dyDescent="0.2">
      <c r="B668" s="8"/>
      <c r="C668" s="8"/>
      <c r="D668" s="8"/>
      <c r="G668" s="8"/>
    </row>
    <row r="669" spans="2:7" s="9" customFormat="1" ht="15" customHeight="1" x14ac:dyDescent="0.2">
      <c r="B669" s="8"/>
      <c r="C669" s="8"/>
      <c r="D669" s="8"/>
      <c r="G669" s="8"/>
    </row>
    <row r="670" spans="2:7" s="9" customFormat="1" ht="15" customHeight="1" x14ac:dyDescent="0.2">
      <c r="B670" s="8"/>
      <c r="C670" s="8"/>
      <c r="D670" s="8"/>
      <c r="G670" s="8"/>
    </row>
    <row r="671" spans="2:7" s="9" customFormat="1" ht="15" customHeight="1" x14ac:dyDescent="0.2">
      <c r="B671" s="8"/>
      <c r="C671" s="8"/>
      <c r="D671" s="8"/>
      <c r="G671" s="8"/>
    </row>
    <row r="672" spans="2:7" s="9" customFormat="1" ht="15" customHeight="1" x14ac:dyDescent="0.2">
      <c r="B672" s="8"/>
      <c r="C672" s="8"/>
      <c r="D672" s="8"/>
      <c r="G672" s="8"/>
    </row>
    <row r="673" spans="2:7" s="9" customFormat="1" ht="15" customHeight="1" x14ac:dyDescent="0.2">
      <c r="B673" s="8"/>
      <c r="C673" s="8"/>
      <c r="D673" s="8"/>
      <c r="G673" s="8"/>
    </row>
    <row r="674" spans="2:7" s="9" customFormat="1" ht="15" customHeight="1" x14ac:dyDescent="0.2">
      <c r="B674" s="8"/>
      <c r="C674" s="8"/>
      <c r="D674" s="8"/>
      <c r="G674" s="8"/>
    </row>
    <row r="675" spans="2:7" s="9" customFormat="1" ht="15" customHeight="1" x14ac:dyDescent="0.2">
      <c r="B675" s="8"/>
      <c r="C675" s="8"/>
      <c r="D675" s="8"/>
      <c r="G675" s="8"/>
    </row>
    <row r="676" spans="2:7" s="9" customFormat="1" ht="15" customHeight="1" x14ac:dyDescent="0.2">
      <c r="B676" s="8"/>
      <c r="C676" s="8"/>
      <c r="D676" s="8"/>
      <c r="G676" s="8"/>
    </row>
    <row r="677" spans="2:7" s="9" customFormat="1" ht="15" customHeight="1" x14ac:dyDescent="0.2">
      <c r="B677" s="8"/>
      <c r="C677" s="8"/>
      <c r="D677" s="8"/>
      <c r="G677" s="8"/>
    </row>
    <row r="678" spans="2:7" s="9" customFormat="1" ht="15" customHeight="1" x14ac:dyDescent="0.2">
      <c r="B678" s="8"/>
      <c r="C678" s="8"/>
      <c r="D678" s="8"/>
      <c r="G678" s="8"/>
    </row>
    <row r="679" spans="2:7" s="9" customFormat="1" ht="15" customHeight="1" x14ac:dyDescent="0.2">
      <c r="B679" s="8"/>
      <c r="C679" s="8"/>
      <c r="D679" s="8"/>
      <c r="G679" s="8"/>
    </row>
    <row r="680" spans="2:7" s="9" customFormat="1" ht="15" customHeight="1" x14ac:dyDescent="0.2">
      <c r="B680" s="8"/>
      <c r="C680" s="8"/>
      <c r="D680" s="8"/>
      <c r="G680" s="8"/>
    </row>
    <row r="681" spans="2:7" s="9" customFormat="1" ht="15" customHeight="1" x14ac:dyDescent="0.2">
      <c r="B681" s="8"/>
      <c r="C681" s="8"/>
      <c r="D681" s="8"/>
      <c r="G681" s="8"/>
    </row>
    <row r="682" spans="2:7" s="9" customFormat="1" ht="15" customHeight="1" x14ac:dyDescent="0.2">
      <c r="B682" s="8"/>
      <c r="C682" s="8"/>
      <c r="D682" s="8"/>
      <c r="G682" s="8"/>
    </row>
    <row r="683" spans="2:7" s="9" customFormat="1" ht="15" customHeight="1" x14ac:dyDescent="0.2">
      <c r="B683" s="8"/>
      <c r="C683" s="8"/>
      <c r="D683" s="8"/>
      <c r="G683" s="8"/>
    </row>
    <row r="684" spans="2:7" s="9" customFormat="1" ht="15" customHeight="1" x14ac:dyDescent="0.2">
      <c r="B684" s="8"/>
      <c r="C684" s="8"/>
      <c r="D684" s="8"/>
      <c r="G684" s="8"/>
    </row>
    <row r="685" spans="2:7" s="9" customFormat="1" ht="15" customHeight="1" x14ac:dyDescent="0.2">
      <c r="B685" s="8"/>
      <c r="C685" s="8"/>
      <c r="D685" s="8"/>
      <c r="G685" s="8"/>
    </row>
    <row r="686" spans="2:7" s="9" customFormat="1" ht="15" customHeight="1" x14ac:dyDescent="0.2">
      <c r="B686" s="8"/>
      <c r="C686" s="8"/>
      <c r="D686" s="8"/>
      <c r="G686" s="8"/>
    </row>
    <row r="687" spans="2:7" s="9" customFormat="1" ht="15" customHeight="1" x14ac:dyDescent="0.2">
      <c r="B687" s="8"/>
      <c r="C687" s="8"/>
      <c r="D687" s="8"/>
      <c r="G687" s="8"/>
    </row>
    <row r="688" spans="2:7" s="9" customFormat="1" ht="15" customHeight="1" x14ac:dyDescent="0.2">
      <c r="B688" s="8"/>
      <c r="C688" s="8"/>
      <c r="D688" s="8"/>
      <c r="G688" s="8"/>
    </row>
    <row r="689" spans="2:7" s="9" customFormat="1" ht="15" customHeight="1" x14ac:dyDescent="0.2">
      <c r="B689" s="8"/>
      <c r="C689" s="8"/>
      <c r="D689" s="8"/>
      <c r="G689" s="8"/>
    </row>
    <row r="690" spans="2:7" s="9" customFormat="1" ht="15" customHeight="1" x14ac:dyDescent="0.2">
      <c r="B690" s="8"/>
      <c r="C690" s="8"/>
      <c r="D690" s="8"/>
      <c r="G690" s="8"/>
    </row>
    <row r="691" spans="2:7" s="9" customFormat="1" ht="15" customHeight="1" x14ac:dyDescent="0.2">
      <c r="B691" s="8"/>
      <c r="C691" s="8"/>
      <c r="D691" s="8"/>
      <c r="G691" s="8"/>
    </row>
    <row r="692" spans="2:7" s="9" customFormat="1" ht="15" customHeight="1" x14ac:dyDescent="0.2">
      <c r="B692" s="8"/>
      <c r="C692" s="8"/>
      <c r="D692" s="8"/>
      <c r="G692" s="8"/>
    </row>
    <row r="693" spans="2:7" s="9" customFormat="1" ht="15" customHeight="1" x14ac:dyDescent="0.2">
      <c r="B693" s="8"/>
      <c r="C693" s="8"/>
      <c r="D693" s="8"/>
      <c r="G693" s="8"/>
    </row>
    <row r="694" spans="2:7" s="9" customFormat="1" ht="15" customHeight="1" x14ac:dyDescent="0.2">
      <c r="B694" s="8"/>
      <c r="C694" s="8"/>
      <c r="D694" s="8"/>
      <c r="G694" s="8"/>
    </row>
    <row r="695" spans="2:7" s="9" customFormat="1" ht="15" customHeight="1" x14ac:dyDescent="0.2">
      <c r="B695" s="8"/>
      <c r="C695" s="8"/>
      <c r="D695" s="8"/>
      <c r="G695" s="8"/>
    </row>
    <row r="696" spans="2:7" s="9" customFormat="1" ht="15" customHeight="1" x14ac:dyDescent="0.2">
      <c r="B696" s="8"/>
      <c r="C696" s="8"/>
      <c r="D696" s="8"/>
      <c r="G696" s="8"/>
    </row>
    <row r="697" spans="2:7" s="9" customFormat="1" ht="15" customHeight="1" x14ac:dyDescent="0.2">
      <c r="B697" s="8"/>
      <c r="C697" s="8"/>
      <c r="D697" s="8"/>
      <c r="G697" s="8"/>
    </row>
    <row r="698" spans="2:7" s="9" customFormat="1" ht="15" customHeight="1" x14ac:dyDescent="0.2">
      <c r="B698" s="8"/>
      <c r="C698" s="8"/>
      <c r="D698" s="8"/>
      <c r="G698" s="8"/>
    </row>
    <row r="699" spans="2:7" s="9" customFormat="1" ht="15" customHeight="1" x14ac:dyDescent="0.2">
      <c r="B699" s="8"/>
      <c r="C699" s="8"/>
      <c r="D699" s="8"/>
      <c r="G699" s="8"/>
    </row>
    <row r="700" spans="2:7" s="9" customFormat="1" ht="15" customHeight="1" x14ac:dyDescent="0.2">
      <c r="B700" s="8"/>
      <c r="C700" s="8"/>
      <c r="D700" s="8"/>
      <c r="G700" s="8"/>
    </row>
    <row r="701" spans="2:7" s="9" customFormat="1" ht="15" customHeight="1" x14ac:dyDescent="0.2">
      <c r="B701" s="8"/>
      <c r="C701" s="8"/>
      <c r="D701" s="8"/>
      <c r="G701" s="8"/>
    </row>
    <row r="702" spans="2:7" s="9" customFormat="1" ht="15" customHeight="1" x14ac:dyDescent="0.2">
      <c r="B702" s="8"/>
      <c r="C702" s="8"/>
      <c r="D702" s="8"/>
      <c r="G702" s="8"/>
    </row>
    <row r="703" spans="2:7" s="9" customFormat="1" ht="15" customHeight="1" x14ac:dyDescent="0.2">
      <c r="B703" s="8"/>
      <c r="C703" s="8"/>
      <c r="D703" s="8"/>
      <c r="G703" s="8"/>
    </row>
    <row r="704" spans="2:7" s="9" customFormat="1" ht="15" customHeight="1" x14ac:dyDescent="0.2">
      <c r="B704" s="8"/>
      <c r="C704" s="8"/>
      <c r="D704" s="8"/>
      <c r="G704" s="8"/>
    </row>
    <row r="705" spans="2:7" s="9" customFormat="1" ht="15" customHeight="1" x14ac:dyDescent="0.2">
      <c r="B705" s="8"/>
      <c r="C705" s="8"/>
      <c r="D705" s="8"/>
      <c r="G705" s="8"/>
    </row>
    <row r="706" spans="2:7" s="9" customFormat="1" ht="15" customHeight="1" x14ac:dyDescent="0.2">
      <c r="B706" s="8"/>
      <c r="C706" s="8"/>
      <c r="D706" s="8"/>
      <c r="G706" s="8"/>
    </row>
    <row r="707" spans="2:7" s="9" customFormat="1" ht="15" customHeight="1" x14ac:dyDescent="0.2">
      <c r="B707" s="8"/>
      <c r="C707" s="8"/>
      <c r="D707" s="8"/>
      <c r="G707" s="8"/>
    </row>
    <row r="708" spans="2:7" s="9" customFormat="1" ht="15" customHeight="1" x14ac:dyDescent="0.2">
      <c r="B708" s="8"/>
      <c r="C708" s="8"/>
      <c r="D708" s="8"/>
      <c r="G708" s="8"/>
    </row>
    <row r="709" spans="2:7" s="9" customFormat="1" ht="15" customHeight="1" x14ac:dyDescent="0.2">
      <c r="B709" s="8"/>
      <c r="C709" s="8"/>
      <c r="D709" s="8"/>
      <c r="G709" s="8"/>
    </row>
    <row r="710" spans="2:7" s="9" customFormat="1" ht="15" customHeight="1" x14ac:dyDescent="0.2">
      <c r="B710" s="8"/>
      <c r="C710" s="8"/>
      <c r="D710" s="8"/>
      <c r="G710" s="8"/>
    </row>
    <row r="711" spans="2:7" s="9" customFormat="1" ht="15" customHeight="1" x14ac:dyDescent="0.2">
      <c r="B711" s="8"/>
      <c r="C711" s="8"/>
      <c r="D711" s="8"/>
      <c r="G711" s="8"/>
    </row>
    <row r="712" spans="2:7" s="9" customFormat="1" ht="15" customHeight="1" x14ac:dyDescent="0.2">
      <c r="B712" s="8"/>
      <c r="C712" s="8"/>
      <c r="D712" s="8"/>
      <c r="G712" s="8"/>
    </row>
    <row r="713" spans="2:7" s="9" customFormat="1" ht="15" customHeight="1" x14ac:dyDescent="0.2">
      <c r="B713" s="8"/>
      <c r="C713" s="8"/>
      <c r="D713" s="8"/>
      <c r="G713" s="8"/>
    </row>
    <row r="714" spans="2:7" s="9" customFormat="1" ht="15" customHeight="1" x14ac:dyDescent="0.2">
      <c r="B714" s="8"/>
      <c r="C714" s="8"/>
      <c r="D714" s="8"/>
      <c r="G714" s="8"/>
    </row>
    <row r="715" spans="2:7" s="9" customFormat="1" ht="15" customHeight="1" x14ac:dyDescent="0.2">
      <c r="B715" s="8"/>
      <c r="C715" s="8"/>
      <c r="D715" s="8"/>
      <c r="G715" s="8"/>
    </row>
    <row r="716" spans="2:7" s="9" customFormat="1" ht="15" customHeight="1" x14ac:dyDescent="0.2">
      <c r="B716" s="8"/>
      <c r="C716" s="8"/>
      <c r="D716" s="8"/>
      <c r="G716" s="8"/>
    </row>
    <row r="717" spans="2:7" s="9" customFormat="1" ht="15" customHeight="1" x14ac:dyDescent="0.2">
      <c r="B717" s="8"/>
      <c r="C717" s="8"/>
      <c r="D717" s="8"/>
      <c r="G717" s="8"/>
    </row>
    <row r="718" spans="2:7" s="9" customFormat="1" ht="15" customHeight="1" x14ac:dyDescent="0.2">
      <c r="B718" s="8"/>
      <c r="C718" s="8"/>
      <c r="D718" s="8"/>
      <c r="G718" s="8"/>
    </row>
    <row r="719" spans="2:7" s="9" customFormat="1" ht="15" customHeight="1" x14ac:dyDescent="0.2">
      <c r="B719" s="8"/>
      <c r="C719" s="8"/>
      <c r="D719" s="8"/>
      <c r="G719" s="8"/>
    </row>
    <row r="720" spans="2:7" s="9" customFormat="1" ht="15" customHeight="1" x14ac:dyDescent="0.2">
      <c r="B720" s="8"/>
      <c r="C720" s="8"/>
      <c r="D720" s="8"/>
      <c r="G720" s="8"/>
    </row>
    <row r="721" spans="2:7" s="9" customFormat="1" ht="15" customHeight="1" x14ac:dyDescent="0.2">
      <c r="B721" s="8"/>
      <c r="C721" s="8"/>
      <c r="D721" s="8"/>
      <c r="G721" s="8"/>
    </row>
    <row r="722" spans="2:7" s="9" customFormat="1" ht="15" customHeight="1" x14ac:dyDescent="0.2">
      <c r="B722" s="8"/>
      <c r="C722" s="8"/>
      <c r="D722" s="8"/>
      <c r="G722" s="8"/>
    </row>
    <row r="723" spans="2:7" s="9" customFormat="1" ht="15" customHeight="1" x14ac:dyDescent="0.2">
      <c r="B723" s="8"/>
      <c r="C723" s="8"/>
      <c r="D723" s="8"/>
      <c r="G723" s="8"/>
    </row>
    <row r="724" spans="2:7" s="9" customFormat="1" ht="15" customHeight="1" x14ac:dyDescent="0.2">
      <c r="B724" s="8"/>
      <c r="C724" s="8"/>
      <c r="D724" s="8"/>
      <c r="G724" s="8"/>
    </row>
    <row r="725" spans="2:7" s="9" customFormat="1" ht="15" customHeight="1" x14ac:dyDescent="0.2">
      <c r="B725" s="8"/>
      <c r="C725" s="8"/>
      <c r="D725" s="8"/>
      <c r="G725" s="8"/>
    </row>
    <row r="726" spans="2:7" s="9" customFormat="1" ht="15" customHeight="1" x14ac:dyDescent="0.2">
      <c r="B726" s="8"/>
      <c r="C726" s="8"/>
      <c r="D726" s="8"/>
      <c r="G726" s="8"/>
    </row>
    <row r="727" spans="2:7" s="9" customFormat="1" ht="15" customHeight="1" x14ac:dyDescent="0.2">
      <c r="B727" s="8"/>
      <c r="C727" s="8"/>
      <c r="D727" s="8"/>
      <c r="G727" s="8"/>
    </row>
    <row r="728" spans="2:7" s="9" customFormat="1" ht="15" customHeight="1" x14ac:dyDescent="0.2">
      <c r="B728" s="8"/>
      <c r="C728" s="8"/>
      <c r="D728" s="8"/>
      <c r="G728" s="8"/>
    </row>
    <row r="729" spans="2:7" s="9" customFormat="1" ht="15" customHeight="1" x14ac:dyDescent="0.2">
      <c r="B729" s="8"/>
      <c r="C729" s="8"/>
      <c r="D729" s="8"/>
      <c r="G729" s="8"/>
    </row>
    <row r="730" spans="2:7" s="9" customFormat="1" ht="15" customHeight="1" x14ac:dyDescent="0.2">
      <c r="B730" s="8"/>
      <c r="C730" s="8"/>
      <c r="D730" s="8"/>
      <c r="G730" s="8"/>
    </row>
    <row r="731" spans="2:7" s="9" customFormat="1" ht="15" customHeight="1" x14ac:dyDescent="0.2">
      <c r="B731" s="8"/>
      <c r="C731" s="8"/>
      <c r="D731" s="8"/>
      <c r="G731" s="8"/>
    </row>
    <row r="732" spans="2:7" s="9" customFormat="1" ht="15" customHeight="1" x14ac:dyDescent="0.2">
      <c r="B732" s="8"/>
      <c r="C732" s="8"/>
      <c r="D732" s="8"/>
      <c r="G732" s="8"/>
    </row>
    <row r="733" spans="2:7" s="9" customFormat="1" ht="15" customHeight="1" x14ac:dyDescent="0.2">
      <c r="B733" s="8"/>
      <c r="C733" s="8"/>
      <c r="D733" s="8"/>
      <c r="G733" s="8"/>
    </row>
    <row r="734" spans="2:7" s="9" customFormat="1" ht="15" customHeight="1" x14ac:dyDescent="0.2">
      <c r="B734" s="8"/>
      <c r="C734" s="8"/>
      <c r="D734" s="8"/>
      <c r="G734" s="8"/>
    </row>
    <row r="735" spans="2:7" s="9" customFormat="1" ht="15" customHeight="1" x14ac:dyDescent="0.2">
      <c r="B735" s="8"/>
      <c r="C735" s="8"/>
      <c r="D735" s="8"/>
      <c r="G735" s="8"/>
    </row>
    <row r="736" spans="2:7" s="9" customFormat="1" ht="15" customHeight="1" x14ac:dyDescent="0.2">
      <c r="B736" s="8"/>
      <c r="C736" s="8"/>
      <c r="D736" s="8"/>
      <c r="G736" s="8"/>
    </row>
    <row r="737" spans="2:7" s="9" customFormat="1" ht="15" customHeight="1" x14ac:dyDescent="0.2">
      <c r="B737" s="8"/>
      <c r="C737" s="8"/>
      <c r="D737" s="8"/>
      <c r="G737" s="8"/>
    </row>
    <row r="738" spans="2:7" s="9" customFormat="1" ht="15" customHeight="1" x14ac:dyDescent="0.2">
      <c r="B738" s="8"/>
      <c r="C738" s="8"/>
      <c r="D738" s="8"/>
      <c r="G738" s="8"/>
    </row>
    <row r="739" spans="2:7" s="9" customFormat="1" ht="15" customHeight="1" x14ac:dyDescent="0.2">
      <c r="B739" s="8"/>
      <c r="C739" s="8"/>
      <c r="D739" s="8"/>
      <c r="G739" s="8"/>
    </row>
    <row r="740" spans="2:7" s="9" customFormat="1" ht="15" customHeight="1" x14ac:dyDescent="0.2">
      <c r="B740" s="8"/>
      <c r="C740" s="8"/>
      <c r="D740" s="8"/>
      <c r="G740" s="8"/>
    </row>
    <row r="741" spans="2:7" s="9" customFormat="1" ht="15" customHeight="1" x14ac:dyDescent="0.2">
      <c r="B741" s="8"/>
      <c r="C741" s="8"/>
      <c r="D741" s="8"/>
      <c r="G741" s="8"/>
    </row>
    <row r="742" spans="2:7" s="9" customFormat="1" ht="15" customHeight="1" x14ac:dyDescent="0.2">
      <c r="B742" s="8"/>
      <c r="C742" s="8"/>
      <c r="D742" s="8"/>
      <c r="G742" s="8"/>
    </row>
    <row r="743" spans="2:7" s="9" customFormat="1" ht="15" customHeight="1" x14ac:dyDescent="0.2">
      <c r="B743" s="8"/>
      <c r="C743" s="8"/>
      <c r="D743" s="8"/>
      <c r="G743" s="8"/>
    </row>
    <row r="744" spans="2:7" s="9" customFormat="1" ht="15" customHeight="1" x14ac:dyDescent="0.2">
      <c r="B744" s="8"/>
      <c r="C744" s="8"/>
      <c r="D744" s="8"/>
      <c r="G744" s="8"/>
    </row>
    <row r="745" spans="2:7" s="9" customFormat="1" ht="15" customHeight="1" x14ac:dyDescent="0.2">
      <c r="B745" s="8"/>
      <c r="C745" s="8"/>
      <c r="D745" s="8"/>
      <c r="G745" s="8"/>
    </row>
    <row r="746" spans="2:7" s="9" customFormat="1" ht="15" customHeight="1" x14ac:dyDescent="0.2">
      <c r="B746" s="8"/>
      <c r="C746" s="8"/>
      <c r="D746" s="8"/>
      <c r="G746" s="8"/>
    </row>
    <row r="747" spans="2:7" s="9" customFormat="1" ht="15" customHeight="1" x14ac:dyDescent="0.2">
      <c r="B747" s="8"/>
      <c r="C747" s="8"/>
      <c r="D747" s="8"/>
      <c r="G747" s="8"/>
    </row>
    <row r="748" spans="2:7" s="9" customFormat="1" ht="15" customHeight="1" x14ac:dyDescent="0.2">
      <c r="B748" s="8"/>
      <c r="C748" s="8"/>
      <c r="D748" s="8"/>
      <c r="G748" s="8"/>
    </row>
    <row r="749" spans="2:7" s="9" customFormat="1" ht="15" customHeight="1" x14ac:dyDescent="0.2">
      <c r="B749" s="8"/>
      <c r="C749" s="8"/>
      <c r="D749" s="8"/>
      <c r="G749" s="8"/>
    </row>
    <row r="750" spans="2:7" s="9" customFormat="1" ht="15" customHeight="1" x14ac:dyDescent="0.2">
      <c r="B750" s="8"/>
      <c r="C750" s="8"/>
      <c r="D750" s="8"/>
      <c r="G750" s="8"/>
    </row>
    <row r="751" spans="2:7" s="9" customFormat="1" ht="15" customHeight="1" x14ac:dyDescent="0.2">
      <c r="B751" s="8"/>
      <c r="C751" s="8"/>
      <c r="D751" s="8"/>
      <c r="G751" s="8"/>
    </row>
    <row r="752" spans="2:7" s="9" customFormat="1" ht="15" customHeight="1" x14ac:dyDescent="0.2">
      <c r="B752" s="8"/>
      <c r="C752" s="8"/>
      <c r="D752" s="8"/>
      <c r="G752" s="8"/>
    </row>
    <row r="753" spans="2:7" s="9" customFormat="1" ht="15" customHeight="1" x14ac:dyDescent="0.2">
      <c r="B753" s="8"/>
      <c r="C753" s="8"/>
      <c r="D753" s="8"/>
      <c r="G753" s="8"/>
    </row>
    <row r="754" spans="2:7" s="9" customFormat="1" ht="15" customHeight="1" x14ac:dyDescent="0.2">
      <c r="B754" s="8"/>
      <c r="C754" s="8"/>
      <c r="D754" s="8"/>
      <c r="G754" s="8"/>
    </row>
    <row r="755" spans="2:7" s="9" customFormat="1" ht="15" customHeight="1" x14ac:dyDescent="0.2">
      <c r="B755" s="8"/>
      <c r="C755" s="8"/>
      <c r="D755" s="8"/>
      <c r="G755" s="8"/>
    </row>
    <row r="756" spans="2:7" s="9" customFormat="1" ht="15" customHeight="1" x14ac:dyDescent="0.2">
      <c r="B756" s="8"/>
      <c r="C756" s="8"/>
      <c r="D756" s="8"/>
      <c r="G756" s="8"/>
    </row>
    <row r="757" spans="2:7" s="9" customFormat="1" ht="15" customHeight="1" x14ac:dyDescent="0.2">
      <c r="B757" s="8"/>
      <c r="C757" s="8"/>
      <c r="D757" s="8"/>
      <c r="G757" s="8"/>
    </row>
    <row r="758" spans="2:7" s="9" customFormat="1" ht="15" customHeight="1" x14ac:dyDescent="0.2">
      <c r="B758" s="8"/>
      <c r="C758" s="8"/>
      <c r="D758" s="8"/>
      <c r="G758" s="8"/>
    </row>
    <row r="759" spans="2:7" s="9" customFormat="1" ht="15" customHeight="1" x14ac:dyDescent="0.2">
      <c r="B759" s="8"/>
      <c r="C759" s="8"/>
      <c r="D759" s="8"/>
      <c r="G759" s="8"/>
    </row>
    <row r="760" spans="2:7" s="9" customFormat="1" ht="15" customHeight="1" x14ac:dyDescent="0.2">
      <c r="B760" s="8"/>
      <c r="C760" s="8"/>
      <c r="D760" s="8"/>
      <c r="G760" s="8"/>
    </row>
    <row r="761" spans="2:7" s="9" customFormat="1" ht="15" customHeight="1" x14ac:dyDescent="0.2">
      <c r="B761" s="8"/>
      <c r="C761" s="8"/>
      <c r="D761" s="8"/>
      <c r="G761" s="8"/>
    </row>
    <row r="762" spans="2:7" s="9" customFormat="1" ht="15" customHeight="1" x14ac:dyDescent="0.2">
      <c r="B762" s="8"/>
      <c r="C762" s="8"/>
      <c r="D762" s="8"/>
      <c r="G762" s="8"/>
    </row>
    <row r="763" spans="2:7" s="9" customFormat="1" ht="15" customHeight="1" x14ac:dyDescent="0.2">
      <c r="B763" s="8"/>
      <c r="C763" s="8"/>
      <c r="D763" s="8"/>
      <c r="G763" s="8"/>
    </row>
    <row r="764" spans="2:7" s="9" customFormat="1" ht="15" customHeight="1" x14ac:dyDescent="0.2">
      <c r="B764" s="8"/>
      <c r="C764" s="8"/>
      <c r="D764" s="8"/>
      <c r="G764" s="8"/>
    </row>
    <row r="765" spans="2:7" s="9" customFormat="1" ht="15" customHeight="1" x14ac:dyDescent="0.2">
      <c r="B765" s="8"/>
      <c r="C765" s="8"/>
      <c r="D765" s="8"/>
      <c r="G765" s="8"/>
    </row>
    <row r="766" spans="2:7" s="9" customFormat="1" ht="15" customHeight="1" x14ac:dyDescent="0.2">
      <c r="B766" s="8"/>
      <c r="C766" s="8"/>
      <c r="D766" s="8"/>
      <c r="G766" s="8"/>
    </row>
    <row r="767" spans="2:7" s="9" customFormat="1" ht="15" customHeight="1" x14ac:dyDescent="0.2">
      <c r="B767" s="8"/>
      <c r="C767" s="8"/>
      <c r="D767" s="8"/>
      <c r="G767" s="8"/>
    </row>
    <row r="768" spans="2:7" s="9" customFormat="1" ht="15" customHeight="1" x14ac:dyDescent="0.2">
      <c r="B768" s="8"/>
      <c r="C768" s="8"/>
      <c r="D768" s="8"/>
      <c r="G768" s="8"/>
    </row>
    <row r="769" spans="2:7" s="9" customFormat="1" ht="15" customHeight="1" x14ac:dyDescent="0.2">
      <c r="B769" s="8"/>
      <c r="C769" s="8"/>
      <c r="D769" s="8"/>
      <c r="G769" s="8"/>
    </row>
    <row r="770" spans="2:7" s="9" customFormat="1" ht="15" customHeight="1" x14ac:dyDescent="0.2">
      <c r="B770" s="8"/>
      <c r="C770" s="8"/>
      <c r="D770" s="8"/>
      <c r="G770" s="8"/>
    </row>
    <row r="771" spans="2:7" s="9" customFormat="1" ht="15" customHeight="1" x14ac:dyDescent="0.2">
      <c r="B771" s="8"/>
      <c r="C771" s="8"/>
      <c r="D771" s="8"/>
      <c r="G771" s="8"/>
    </row>
    <row r="772" spans="2:7" s="9" customFormat="1" ht="15" customHeight="1" x14ac:dyDescent="0.2">
      <c r="B772" s="8"/>
      <c r="C772" s="8"/>
      <c r="D772" s="8"/>
      <c r="G772" s="8"/>
    </row>
    <row r="773" spans="2:7" s="9" customFormat="1" ht="15" customHeight="1" x14ac:dyDescent="0.2">
      <c r="B773" s="8"/>
      <c r="C773" s="8"/>
      <c r="D773" s="8"/>
      <c r="G773" s="8"/>
    </row>
    <row r="774" spans="2:7" s="9" customFormat="1" ht="15" customHeight="1" x14ac:dyDescent="0.2">
      <c r="B774" s="8"/>
      <c r="C774" s="8"/>
      <c r="D774" s="8"/>
      <c r="G774" s="8"/>
    </row>
    <row r="775" spans="2:7" s="9" customFormat="1" ht="15" customHeight="1" x14ac:dyDescent="0.2">
      <c r="B775" s="8"/>
      <c r="C775" s="8"/>
      <c r="D775" s="8"/>
      <c r="G775" s="8"/>
    </row>
    <row r="776" spans="2:7" s="9" customFormat="1" ht="15" customHeight="1" x14ac:dyDescent="0.2">
      <c r="B776" s="8"/>
      <c r="C776" s="8"/>
      <c r="D776" s="8"/>
      <c r="G776" s="8"/>
    </row>
    <row r="777" spans="2:7" s="9" customFormat="1" ht="15" customHeight="1" x14ac:dyDescent="0.2">
      <c r="B777" s="8"/>
      <c r="C777" s="8"/>
      <c r="D777" s="8"/>
      <c r="G777" s="8"/>
    </row>
    <row r="778" spans="2:7" s="9" customFormat="1" ht="15" customHeight="1" x14ac:dyDescent="0.2">
      <c r="B778" s="8"/>
      <c r="C778" s="8"/>
      <c r="D778" s="8"/>
      <c r="G778" s="8"/>
    </row>
    <row r="779" spans="2:7" s="9" customFormat="1" ht="15" customHeight="1" x14ac:dyDescent="0.2">
      <c r="B779" s="8"/>
      <c r="C779" s="8"/>
      <c r="D779" s="8"/>
      <c r="G779" s="8"/>
    </row>
    <row r="780" spans="2:7" s="9" customFormat="1" ht="15" customHeight="1" x14ac:dyDescent="0.2">
      <c r="B780" s="8"/>
      <c r="C780" s="8"/>
      <c r="D780" s="8"/>
      <c r="G780" s="8"/>
    </row>
    <row r="781" spans="2:7" s="9" customFormat="1" ht="15" customHeight="1" x14ac:dyDescent="0.2">
      <c r="B781" s="8"/>
      <c r="C781" s="8"/>
      <c r="D781" s="8"/>
      <c r="G781" s="8"/>
    </row>
    <row r="782" spans="2:7" s="9" customFormat="1" ht="15" customHeight="1" x14ac:dyDescent="0.2">
      <c r="B782" s="8"/>
      <c r="C782" s="8"/>
      <c r="D782" s="8"/>
      <c r="G782" s="8"/>
    </row>
    <row r="783" spans="2:7" s="9" customFormat="1" ht="15" customHeight="1" x14ac:dyDescent="0.2">
      <c r="B783" s="8"/>
      <c r="C783" s="8"/>
      <c r="D783" s="8"/>
      <c r="G783" s="8"/>
    </row>
    <row r="784" spans="2:7" s="9" customFormat="1" ht="15" customHeight="1" x14ac:dyDescent="0.2">
      <c r="B784" s="8"/>
      <c r="C784" s="8"/>
      <c r="D784" s="8"/>
      <c r="G784" s="8"/>
    </row>
    <row r="785" spans="2:7" s="9" customFormat="1" ht="15" customHeight="1" x14ac:dyDescent="0.2">
      <c r="B785" s="8"/>
      <c r="C785" s="8"/>
      <c r="D785" s="8"/>
      <c r="G785" s="8"/>
    </row>
    <row r="786" spans="2:7" s="9" customFormat="1" ht="15" customHeight="1" x14ac:dyDescent="0.2">
      <c r="B786" s="8"/>
      <c r="C786" s="8"/>
      <c r="D786" s="8"/>
      <c r="G786" s="8"/>
    </row>
    <row r="787" spans="2:7" s="9" customFormat="1" ht="15" customHeight="1" x14ac:dyDescent="0.2">
      <c r="B787" s="8"/>
      <c r="C787" s="8"/>
      <c r="D787" s="8"/>
      <c r="G787" s="8"/>
    </row>
    <row r="788" spans="2:7" s="9" customFormat="1" ht="15" customHeight="1" x14ac:dyDescent="0.2">
      <c r="B788" s="8"/>
      <c r="C788" s="8"/>
      <c r="D788" s="8"/>
      <c r="G788" s="8"/>
    </row>
    <row r="789" spans="2:7" s="9" customFormat="1" ht="15" customHeight="1" x14ac:dyDescent="0.2">
      <c r="B789" s="8"/>
      <c r="C789" s="8"/>
      <c r="D789" s="8"/>
      <c r="G789" s="8"/>
    </row>
    <row r="790" spans="2:7" s="9" customFormat="1" ht="15" customHeight="1" x14ac:dyDescent="0.2">
      <c r="B790" s="8"/>
      <c r="C790" s="8"/>
      <c r="D790" s="8"/>
      <c r="G790" s="8"/>
    </row>
    <row r="791" spans="2:7" s="9" customFormat="1" ht="15" customHeight="1" x14ac:dyDescent="0.2">
      <c r="B791" s="8"/>
      <c r="C791" s="8"/>
      <c r="D791" s="8"/>
      <c r="G791" s="8"/>
    </row>
    <row r="792" spans="2:7" s="9" customFormat="1" ht="15" customHeight="1" x14ac:dyDescent="0.2">
      <c r="B792" s="8"/>
      <c r="C792" s="8"/>
      <c r="D792" s="8"/>
      <c r="G792" s="8"/>
    </row>
    <row r="793" spans="2:7" s="9" customFormat="1" ht="15" customHeight="1" x14ac:dyDescent="0.2">
      <c r="B793" s="8"/>
      <c r="C793" s="8"/>
      <c r="D793" s="8"/>
      <c r="G793" s="8"/>
    </row>
    <row r="794" spans="2:7" s="9" customFormat="1" ht="15" customHeight="1" x14ac:dyDescent="0.2">
      <c r="B794" s="8"/>
      <c r="C794" s="8"/>
      <c r="D794" s="8"/>
      <c r="G794" s="8"/>
    </row>
    <row r="795" spans="2:7" s="9" customFormat="1" ht="15" customHeight="1" x14ac:dyDescent="0.2">
      <c r="B795" s="8"/>
      <c r="C795" s="8"/>
      <c r="D795" s="8"/>
      <c r="G795" s="8"/>
    </row>
    <row r="796" spans="2:7" s="9" customFormat="1" ht="15" customHeight="1" x14ac:dyDescent="0.2">
      <c r="B796" s="8"/>
      <c r="C796" s="8"/>
      <c r="D796" s="8"/>
      <c r="G796" s="8"/>
    </row>
    <row r="797" spans="2:7" s="9" customFormat="1" ht="15" customHeight="1" x14ac:dyDescent="0.2">
      <c r="B797" s="8"/>
      <c r="C797" s="8"/>
      <c r="D797" s="8"/>
      <c r="G797" s="8"/>
    </row>
    <row r="798" spans="2:7" s="9" customFormat="1" ht="15" customHeight="1" x14ac:dyDescent="0.2">
      <c r="B798" s="8"/>
      <c r="C798" s="8"/>
      <c r="D798" s="8"/>
      <c r="G798" s="8"/>
    </row>
    <row r="799" spans="2:7" s="9" customFormat="1" ht="15" customHeight="1" x14ac:dyDescent="0.2">
      <c r="B799" s="8"/>
      <c r="C799" s="8"/>
      <c r="D799" s="8"/>
      <c r="G799" s="8"/>
    </row>
    <row r="800" spans="2:7" s="9" customFormat="1" ht="15" customHeight="1" x14ac:dyDescent="0.2">
      <c r="B800" s="8"/>
      <c r="C800" s="8"/>
      <c r="D800" s="8"/>
      <c r="G800" s="8"/>
    </row>
    <row r="801" spans="2:7" s="9" customFormat="1" ht="15" customHeight="1" x14ac:dyDescent="0.2">
      <c r="B801" s="8"/>
      <c r="C801" s="8"/>
      <c r="D801" s="8"/>
      <c r="G801" s="8"/>
    </row>
    <row r="802" spans="2:7" s="9" customFormat="1" ht="15" customHeight="1" x14ac:dyDescent="0.2">
      <c r="B802" s="8"/>
      <c r="C802" s="8"/>
      <c r="D802" s="8"/>
      <c r="G802" s="8"/>
    </row>
    <row r="803" spans="2:7" s="9" customFormat="1" ht="15" customHeight="1" x14ac:dyDescent="0.2">
      <c r="B803" s="8"/>
      <c r="C803" s="8"/>
      <c r="D803" s="8"/>
      <c r="G803" s="8"/>
    </row>
    <row r="804" spans="2:7" s="9" customFormat="1" ht="15" customHeight="1" x14ac:dyDescent="0.2">
      <c r="B804" s="8"/>
      <c r="C804" s="8"/>
      <c r="D804" s="8"/>
      <c r="G804" s="8"/>
    </row>
    <row r="805" spans="2:7" s="9" customFormat="1" ht="15" customHeight="1" x14ac:dyDescent="0.2">
      <c r="B805" s="8"/>
      <c r="C805" s="8"/>
      <c r="D805" s="8"/>
      <c r="G805" s="8"/>
    </row>
    <row r="806" spans="2:7" s="9" customFormat="1" ht="15" customHeight="1" x14ac:dyDescent="0.2">
      <c r="B806" s="8"/>
      <c r="C806" s="8"/>
      <c r="D806" s="8"/>
      <c r="G806" s="8"/>
    </row>
    <row r="807" spans="2:7" s="9" customFormat="1" ht="15" customHeight="1" x14ac:dyDescent="0.2">
      <c r="B807" s="8"/>
      <c r="C807" s="8"/>
      <c r="D807" s="8"/>
      <c r="G807" s="8"/>
    </row>
    <row r="808" spans="2:7" s="9" customFormat="1" ht="15" customHeight="1" x14ac:dyDescent="0.2">
      <c r="B808" s="8"/>
      <c r="C808" s="8"/>
      <c r="D808" s="8"/>
      <c r="G808" s="8"/>
    </row>
    <row r="809" spans="2:7" s="9" customFormat="1" ht="15" customHeight="1" x14ac:dyDescent="0.2">
      <c r="B809" s="8"/>
      <c r="C809" s="8"/>
      <c r="D809" s="8"/>
      <c r="G809" s="8"/>
    </row>
    <row r="810" spans="2:7" s="9" customFormat="1" ht="15" customHeight="1" x14ac:dyDescent="0.2">
      <c r="B810" s="8"/>
      <c r="C810" s="8"/>
      <c r="D810" s="8"/>
      <c r="G810" s="8"/>
    </row>
    <row r="811" spans="2:7" s="9" customFormat="1" ht="15" customHeight="1" x14ac:dyDescent="0.2">
      <c r="B811" s="8"/>
      <c r="C811" s="8"/>
      <c r="D811" s="8"/>
      <c r="G811" s="8"/>
    </row>
    <row r="812" spans="2:7" s="9" customFormat="1" ht="15" customHeight="1" x14ac:dyDescent="0.2">
      <c r="B812" s="8"/>
      <c r="C812" s="8"/>
      <c r="D812" s="8"/>
      <c r="G812" s="8"/>
    </row>
    <row r="813" spans="2:7" s="9" customFormat="1" ht="15" customHeight="1" x14ac:dyDescent="0.2">
      <c r="B813" s="8"/>
      <c r="C813" s="8"/>
      <c r="D813" s="8"/>
      <c r="G813" s="8"/>
    </row>
    <row r="814" spans="2:7" s="9" customFormat="1" ht="15" customHeight="1" x14ac:dyDescent="0.2">
      <c r="B814" s="8"/>
      <c r="C814" s="8"/>
      <c r="D814" s="8"/>
      <c r="G814" s="8"/>
    </row>
    <row r="815" spans="2:7" s="9" customFormat="1" ht="15" customHeight="1" x14ac:dyDescent="0.2">
      <c r="B815" s="8"/>
      <c r="C815" s="8"/>
      <c r="D815" s="8"/>
      <c r="G815" s="8"/>
    </row>
    <row r="816" spans="2:7" s="9" customFormat="1" ht="15" customHeight="1" x14ac:dyDescent="0.2">
      <c r="B816" s="8"/>
      <c r="C816" s="8"/>
      <c r="D816" s="8"/>
      <c r="G816" s="8"/>
    </row>
    <row r="817" spans="2:7" s="9" customFormat="1" ht="15" customHeight="1" x14ac:dyDescent="0.2">
      <c r="B817" s="8"/>
      <c r="C817" s="8"/>
      <c r="D817" s="8"/>
      <c r="G817" s="8"/>
    </row>
    <row r="818" spans="2:7" s="9" customFormat="1" ht="15" customHeight="1" x14ac:dyDescent="0.2">
      <c r="B818" s="8"/>
      <c r="C818" s="8"/>
      <c r="D818" s="8"/>
      <c r="G818" s="8"/>
    </row>
    <row r="819" spans="2:7" s="9" customFormat="1" ht="15" customHeight="1" x14ac:dyDescent="0.2">
      <c r="B819" s="8"/>
      <c r="C819" s="8"/>
      <c r="D819" s="8"/>
      <c r="G819" s="8"/>
    </row>
    <row r="820" spans="2:7" s="9" customFormat="1" ht="15" customHeight="1" x14ac:dyDescent="0.2">
      <c r="B820" s="8"/>
      <c r="C820" s="8"/>
      <c r="D820" s="8"/>
      <c r="G820" s="8"/>
    </row>
    <row r="821" spans="2:7" s="9" customFormat="1" ht="15" customHeight="1" x14ac:dyDescent="0.2">
      <c r="B821" s="8"/>
      <c r="C821" s="8"/>
      <c r="D821" s="8"/>
      <c r="G821" s="8"/>
    </row>
    <row r="822" spans="2:7" s="9" customFormat="1" ht="15" customHeight="1" x14ac:dyDescent="0.2">
      <c r="B822" s="8"/>
      <c r="C822" s="8"/>
      <c r="D822" s="8"/>
      <c r="G822" s="8"/>
    </row>
    <row r="823" spans="2:7" s="9" customFormat="1" ht="15" customHeight="1" x14ac:dyDescent="0.2">
      <c r="B823" s="8"/>
      <c r="C823" s="8"/>
      <c r="D823" s="8"/>
      <c r="G823" s="8"/>
    </row>
    <row r="824" spans="2:7" s="9" customFormat="1" ht="15" customHeight="1" x14ac:dyDescent="0.2">
      <c r="B824" s="8"/>
      <c r="C824" s="8"/>
      <c r="D824" s="8"/>
      <c r="G824" s="8"/>
    </row>
    <row r="825" spans="2:7" s="9" customFormat="1" ht="15" customHeight="1" x14ac:dyDescent="0.2">
      <c r="B825" s="8"/>
      <c r="C825" s="8"/>
      <c r="D825" s="8"/>
      <c r="G825" s="8"/>
    </row>
    <row r="826" spans="2:7" s="9" customFormat="1" ht="15" customHeight="1" x14ac:dyDescent="0.2">
      <c r="B826" s="8"/>
      <c r="C826" s="8"/>
      <c r="D826" s="8"/>
      <c r="G826" s="8"/>
    </row>
    <row r="827" spans="2:7" s="9" customFormat="1" ht="15" customHeight="1" x14ac:dyDescent="0.2">
      <c r="B827" s="8"/>
      <c r="C827" s="8"/>
      <c r="D827" s="8"/>
      <c r="G827" s="8"/>
    </row>
    <row r="828" spans="2:7" s="9" customFormat="1" ht="15" customHeight="1" x14ac:dyDescent="0.2">
      <c r="B828" s="8"/>
      <c r="C828" s="8"/>
      <c r="D828" s="8"/>
      <c r="G828" s="8"/>
    </row>
    <row r="829" spans="2:7" s="9" customFormat="1" ht="15" customHeight="1" x14ac:dyDescent="0.2">
      <c r="B829" s="8"/>
      <c r="C829" s="8"/>
      <c r="D829" s="8"/>
      <c r="G829" s="8"/>
    </row>
    <row r="830" spans="2:7" s="9" customFormat="1" ht="15" customHeight="1" x14ac:dyDescent="0.2">
      <c r="B830" s="8"/>
      <c r="C830" s="8"/>
      <c r="D830" s="8"/>
      <c r="G830" s="8"/>
    </row>
    <row r="831" spans="2:7" s="9" customFormat="1" ht="15" customHeight="1" x14ac:dyDescent="0.2">
      <c r="B831" s="8"/>
      <c r="C831" s="8"/>
      <c r="D831" s="8"/>
      <c r="G831" s="8"/>
    </row>
    <row r="832" spans="2:7" s="9" customFormat="1" ht="15" customHeight="1" x14ac:dyDescent="0.2">
      <c r="B832" s="8"/>
      <c r="C832" s="8"/>
      <c r="D832" s="8"/>
      <c r="G832" s="8"/>
    </row>
    <row r="833" spans="2:7" s="9" customFormat="1" ht="15" customHeight="1" x14ac:dyDescent="0.2">
      <c r="B833" s="8"/>
      <c r="C833" s="8"/>
      <c r="D833" s="8"/>
      <c r="G833" s="8"/>
    </row>
    <row r="834" spans="2:7" s="9" customFormat="1" ht="15" customHeight="1" x14ac:dyDescent="0.2">
      <c r="B834" s="8"/>
      <c r="C834" s="8"/>
      <c r="D834" s="8"/>
      <c r="G834" s="8"/>
    </row>
    <row r="835" spans="2:7" s="9" customFormat="1" ht="15" customHeight="1" x14ac:dyDescent="0.2">
      <c r="B835" s="8"/>
      <c r="C835" s="8"/>
      <c r="D835" s="8"/>
      <c r="G835" s="8"/>
    </row>
    <row r="836" spans="2:7" s="9" customFormat="1" ht="15" customHeight="1" x14ac:dyDescent="0.2">
      <c r="B836" s="8"/>
      <c r="C836" s="8"/>
      <c r="D836" s="8"/>
      <c r="G836" s="8"/>
    </row>
    <row r="837" spans="2:7" s="9" customFormat="1" ht="15" customHeight="1" x14ac:dyDescent="0.2">
      <c r="B837" s="8"/>
      <c r="C837" s="8"/>
      <c r="D837" s="8"/>
      <c r="G837" s="8"/>
    </row>
    <row r="838" spans="2:7" s="9" customFormat="1" ht="15" customHeight="1" x14ac:dyDescent="0.2">
      <c r="B838" s="8"/>
      <c r="C838" s="8"/>
      <c r="D838" s="8"/>
      <c r="G838" s="8"/>
    </row>
    <row r="839" spans="2:7" s="9" customFormat="1" ht="15" customHeight="1" x14ac:dyDescent="0.2">
      <c r="B839" s="8"/>
      <c r="C839" s="8"/>
      <c r="D839" s="8"/>
      <c r="G839" s="8"/>
    </row>
    <row r="840" spans="2:7" s="9" customFormat="1" ht="15" customHeight="1" x14ac:dyDescent="0.2">
      <c r="B840" s="8"/>
      <c r="C840" s="8"/>
      <c r="D840" s="8"/>
      <c r="G840" s="8"/>
    </row>
    <row r="841" spans="2:7" s="9" customFormat="1" ht="15" customHeight="1" x14ac:dyDescent="0.2">
      <c r="B841" s="8"/>
      <c r="C841" s="8"/>
      <c r="D841" s="8"/>
      <c r="G841" s="8"/>
    </row>
    <row r="842" spans="2:7" s="9" customFormat="1" ht="15" customHeight="1" x14ac:dyDescent="0.2">
      <c r="B842" s="8"/>
      <c r="C842" s="8"/>
      <c r="D842" s="8"/>
      <c r="G842" s="8"/>
    </row>
    <row r="843" spans="2:7" s="9" customFormat="1" ht="15" customHeight="1" x14ac:dyDescent="0.2">
      <c r="B843" s="8"/>
      <c r="C843" s="8"/>
      <c r="D843" s="8"/>
      <c r="G843" s="8"/>
    </row>
    <row r="844" spans="2:7" s="9" customFormat="1" ht="15" customHeight="1" x14ac:dyDescent="0.2">
      <c r="B844" s="8"/>
      <c r="C844" s="8"/>
      <c r="D844" s="8"/>
      <c r="G844" s="8"/>
    </row>
    <row r="845" spans="2:7" s="9" customFormat="1" ht="15" customHeight="1" x14ac:dyDescent="0.2">
      <c r="B845" s="8"/>
      <c r="C845" s="8"/>
      <c r="D845" s="8"/>
      <c r="G845" s="8"/>
    </row>
    <row r="846" spans="2:7" s="9" customFormat="1" ht="15" customHeight="1" x14ac:dyDescent="0.2">
      <c r="B846" s="8"/>
      <c r="C846" s="8"/>
      <c r="D846" s="8"/>
      <c r="G846" s="8"/>
    </row>
    <row r="847" spans="2:7" s="9" customFormat="1" ht="15" customHeight="1" x14ac:dyDescent="0.2">
      <c r="B847" s="8"/>
      <c r="C847" s="8"/>
      <c r="D847" s="8"/>
      <c r="G847" s="8"/>
    </row>
    <row r="848" spans="2:7" s="9" customFormat="1" ht="15" customHeight="1" x14ac:dyDescent="0.2">
      <c r="B848" s="8"/>
      <c r="C848" s="8"/>
      <c r="D848" s="8"/>
      <c r="G848" s="8"/>
    </row>
    <row r="849" spans="2:7" s="9" customFormat="1" ht="15" customHeight="1" x14ac:dyDescent="0.2">
      <c r="B849" s="8"/>
      <c r="C849" s="8"/>
      <c r="D849" s="8"/>
      <c r="G849" s="8"/>
    </row>
    <row r="850" spans="2:7" s="9" customFormat="1" ht="15" customHeight="1" x14ac:dyDescent="0.2">
      <c r="B850" s="8"/>
      <c r="C850" s="8"/>
      <c r="D850" s="8"/>
      <c r="G850" s="8"/>
    </row>
    <row r="851" spans="2:7" s="9" customFormat="1" ht="15" customHeight="1" x14ac:dyDescent="0.2">
      <c r="B851" s="8"/>
      <c r="C851" s="8"/>
      <c r="D851" s="8"/>
      <c r="G851" s="8"/>
    </row>
    <row r="852" spans="2:7" s="9" customFormat="1" ht="15" customHeight="1" x14ac:dyDescent="0.2">
      <c r="B852" s="8"/>
      <c r="C852" s="8"/>
      <c r="D852" s="8"/>
      <c r="G852" s="8"/>
    </row>
    <row r="853" spans="2:7" s="9" customFormat="1" ht="15" customHeight="1" x14ac:dyDescent="0.2">
      <c r="B853" s="8"/>
      <c r="C853" s="8"/>
      <c r="D853" s="8"/>
      <c r="G853" s="8"/>
    </row>
    <row r="854" spans="2:7" s="9" customFormat="1" ht="15" customHeight="1" x14ac:dyDescent="0.2">
      <c r="B854" s="8"/>
      <c r="C854" s="8"/>
      <c r="D854" s="8"/>
      <c r="G854" s="8"/>
    </row>
    <row r="855" spans="2:7" s="9" customFormat="1" ht="15" customHeight="1" x14ac:dyDescent="0.2">
      <c r="B855" s="8"/>
      <c r="C855" s="8"/>
      <c r="D855" s="8"/>
      <c r="G855" s="8"/>
    </row>
    <row r="856" spans="2:7" s="9" customFormat="1" ht="15" customHeight="1" x14ac:dyDescent="0.2">
      <c r="B856" s="8"/>
      <c r="C856" s="8"/>
      <c r="D856" s="8"/>
      <c r="G856" s="8"/>
    </row>
    <row r="857" spans="2:7" s="9" customFormat="1" ht="15" customHeight="1" x14ac:dyDescent="0.2">
      <c r="B857" s="8"/>
      <c r="C857" s="8"/>
      <c r="D857" s="8"/>
      <c r="G857" s="8"/>
    </row>
    <row r="858" spans="2:7" s="9" customFormat="1" ht="15" customHeight="1" x14ac:dyDescent="0.2">
      <c r="B858" s="8"/>
      <c r="C858" s="8"/>
      <c r="D858" s="8"/>
      <c r="G858" s="8"/>
    </row>
    <row r="859" spans="2:7" s="9" customFormat="1" ht="15" customHeight="1" x14ac:dyDescent="0.2">
      <c r="B859" s="8"/>
      <c r="C859" s="8"/>
      <c r="D859" s="8"/>
      <c r="G859" s="8"/>
    </row>
    <row r="860" spans="2:7" s="9" customFormat="1" ht="15" customHeight="1" x14ac:dyDescent="0.2">
      <c r="B860" s="8"/>
      <c r="C860" s="8"/>
      <c r="D860" s="8"/>
      <c r="G860" s="8"/>
    </row>
    <row r="861" spans="2:7" s="9" customFormat="1" ht="15" customHeight="1" x14ac:dyDescent="0.2">
      <c r="B861" s="8"/>
      <c r="C861" s="8"/>
      <c r="D861" s="8"/>
      <c r="G861" s="8"/>
    </row>
    <row r="862" spans="2:7" s="9" customFormat="1" ht="15" customHeight="1" x14ac:dyDescent="0.2">
      <c r="B862" s="8"/>
      <c r="C862" s="8"/>
      <c r="D862" s="8"/>
      <c r="G862" s="8"/>
    </row>
    <row r="863" spans="2:7" s="9" customFormat="1" ht="15" customHeight="1" x14ac:dyDescent="0.2">
      <c r="B863" s="8"/>
      <c r="C863" s="8"/>
      <c r="D863" s="8"/>
      <c r="G863" s="8"/>
    </row>
    <row r="864" spans="2:7" s="9" customFormat="1" ht="15" customHeight="1" x14ac:dyDescent="0.2">
      <c r="B864" s="8"/>
      <c r="C864" s="8"/>
      <c r="D864" s="8"/>
      <c r="G864" s="8"/>
    </row>
    <row r="865" spans="2:7" s="9" customFormat="1" ht="15" customHeight="1" x14ac:dyDescent="0.2">
      <c r="B865" s="8"/>
      <c r="C865" s="8"/>
      <c r="D865" s="8"/>
      <c r="G865" s="8"/>
    </row>
    <row r="866" spans="2:7" s="9" customFormat="1" ht="15" customHeight="1" x14ac:dyDescent="0.2">
      <c r="B866" s="8"/>
      <c r="C866" s="8"/>
      <c r="D866" s="8"/>
      <c r="G866" s="8"/>
    </row>
    <row r="867" spans="2:7" s="9" customFormat="1" ht="15" customHeight="1" x14ac:dyDescent="0.2">
      <c r="B867" s="8"/>
      <c r="C867" s="8"/>
      <c r="D867" s="8"/>
      <c r="G867" s="8"/>
    </row>
    <row r="868" spans="2:7" s="9" customFormat="1" ht="15" customHeight="1" x14ac:dyDescent="0.2">
      <c r="B868" s="8"/>
      <c r="C868" s="8"/>
      <c r="D868" s="8"/>
      <c r="G868" s="8"/>
    </row>
    <row r="869" spans="2:7" s="9" customFormat="1" ht="15" customHeight="1" x14ac:dyDescent="0.2">
      <c r="B869" s="8"/>
      <c r="C869" s="8"/>
      <c r="D869" s="8"/>
      <c r="G869" s="8"/>
    </row>
    <row r="870" spans="2:7" s="9" customFormat="1" ht="15" customHeight="1" x14ac:dyDescent="0.2">
      <c r="B870" s="8"/>
      <c r="C870" s="8"/>
      <c r="D870" s="8"/>
      <c r="G870" s="8"/>
    </row>
    <row r="871" spans="2:7" s="9" customFormat="1" ht="15" customHeight="1" x14ac:dyDescent="0.2">
      <c r="B871" s="8"/>
      <c r="C871" s="8"/>
      <c r="D871" s="8"/>
      <c r="G871" s="8"/>
    </row>
    <row r="872" spans="2:7" s="9" customFormat="1" ht="15" customHeight="1" x14ac:dyDescent="0.2">
      <c r="B872" s="8"/>
      <c r="C872" s="8"/>
      <c r="D872" s="8"/>
      <c r="G872" s="8"/>
    </row>
    <row r="873" spans="2:7" s="9" customFormat="1" ht="15" customHeight="1" x14ac:dyDescent="0.2">
      <c r="B873" s="8"/>
      <c r="C873" s="8"/>
      <c r="D873" s="8"/>
      <c r="G873" s="8"/>
    </row>
    <row r="874" spans="2:7" s="9" customFormat="1" ht="15" customHeight="1" x14ac:dyDescent="0.2">
      <c r="B874" s="8"/>
      <c r="C874" s="8"/>
      <c r="D874" s="8"/>
      <c r="G874" s="8"/>
    </row>
    <row r="875" spans="2:7" s="9" customFormat="1" ht="15" customHeight="1" x14ac:dyDescent="0.2">
      <c r="B875" s="8"/>
      <c r="C875" s="8"/>
      <c r="D875" s="8"/>
      <c r="G875" s="8"/>
    </row>
    <row r="876" spans="2:7" s="9" customFormat="1" ht="15" customHeight="1" x14ac:dyDescent="0.2">
      <c r="B876" s="8"/>
      <c r="C876" s="8"/>
      <c r="D876" s="8"/>
      <c r="G876" s="8"/>
    </row>
    <row r="877" spans="2:7" s="9" customFormat="1" ht="15" customHeight="1" x14ac:dyDescent="0.2">
      <c r="B877" s="8"/>
      <c r="C877" s="8"/>
      <c r="D877" s="8"/>
      <c r="G877" s="8"/>
    </row>
    <row r="878" spans="2:7" s="9" customFormat="1" ht="15" customHeight="1" x14ac:dyDescent="0.2">
      <c r="B878" s="8"/>
      <c r="C878" s="8"/>
      <c r="D878" s="8"/>
      <c r="G878" s="8"/>
    </row>
    <row r="879" spans="2:7" s="9" customFormat="1" ht="15" customHeight="1" x14ac:dyDescent="0.2">
      <c r="B879" s="8"/>
      <c r="C879" s="8"/>
      <c r="D879" s="8"/>
      <c r="G879" s="8"/>
    </row>
    <row r="880" spans="2:7" s="9" customFormat="1" ht="15" customHeight="1" x14ac:dyDescent="0.2">
      <c r="B880" s="8"/>
      <c r="C880" s="8"/>
      <c r="D880" s="8"/>
      <c r="G880" s="8"/>
    </row>
    <row r="881" spans="2:7" s="9" customFormat="1" ht="15" customHeight="1" x14ac:dyDescent="0.2">
      <c r="B881" s="8"/>
      <c r="C881" s="8"/>
      <c r="D881" s="8"/>
      <c r="G881" s="8"/>
    </row>
    <row r="882" spans="2:7" s="9" customFormat="1" ht="15" customHeight="1" x14ac:dyDescent="0.2">
      <c r="B882" s="8"/>
      <c r="C882" s="8"/>
      <c r="D882" s="8"/>
      <c r="G882" s="8"/>
    </row>
    <row r="883" spans="2:7" s="9" customFormat="1" ht="15" customHeight="1" x14ac:dyDescent="0.2">
      <c r="B883" s="8"/>
      <c r="C883" s="8"/>
      <c r="D883" s="8"/>
      <c r="G883" s="8"/>
    </row>
    <row r="884" spans="2:7" s="9" customFormat="1" ht="15" customHeight="1" x14ac:dyDescent="0.2">
      <c r="B884" s="8"/>
      <c r="C884" s="8"/>
      <c r="D884" s="8"/>
      <c r="G884" s="8"/>
    </row>
    <row r="885" spans="2:7" s="9" customFormat="1" ht="15" customHeight="1" x14ac:dyDescent="0.2">
      <c r="B885" s="8"/>
      <c r="C885" s="8"/>
      <c r="D885" s="8"/>
      <c r="G885" s="8"/>
    </row>
    <row r="886" spans="2:7" s="9" customFormat="1" ht="15" customHeight="1" x14ac:dyDescent="0.2">
      <c r="B886" s="8"/>
      <c r="C886" s="8"/>
      <c r="D886" s="8"/>
      <c r="G886" s="8"/>
    </row>
    <row r="887" spans="2:7" s="9" customFormat="1" ht="15" customHeight="1" x14ac:dyDescent="0.2">
      <c r="B887" s="8"/>
      <c r="C887" s="8"/>
      <c r="D887" s="8"/>
      <c r="G887" s="8"/>
    </row>
    <row r="888" spans="2:7" s="9" customFormat="1" ht="15" customHeight="1" x14ac:dyDescent="0.2">
      <c r="B888" s="8"/>
      <c r="C888" s="8"/>
      <c r="D888" s="8"/>
      <c r="G888" s="8"/>
    </row>
    <row r="889" spans="2:7" s="9" customFormat="1" ht="15" customHeight="1" x14ac:dyDescent="0.2">
      <c r="B889" s="8"/>
      <c r="C889" s="8"/>
      <c r="D889" s="8"/>
      <c r="G889" s="8"/>
    </row>
    <row r="890" spans="2:7" s="9" customFormat="1" ht="15" customHeight="1" x14ac:dyDescent="0.2">
      <c r="B890" s="8"/>
      <c r="C890" s="8"/>
      <c r="D890" s="8"/>
      <c r="G890" s="8"/>
    </row>
    <row r="891" spans="2:7" s="9" customFormat="1" ht="15" customHeight="1" x14ac:dyDescent="0.2">
      <c r="B891" s="8"/>
      <c r="C891" s="8"/>
      <c r="D891" s="8"/>
      <c r="G891" s="8"/>
    </row>
    <row r="892" spans="2:7" s="9" customFormat="1" ht="15" customHeight="1" x14ac:dyDescent="0.2">
      <c r="B892" s="8"/>
      <c r="C892" s="8"/>
      <c r="D892" s="8"/>
      <c r="G892" s="8"/>
    </row>
    <row r="893" spans="2:7" s="9" customFormat="1" ht="15" customHeight="1" x14ac:dyDescent="0.2">
      <c r="B893" s="8"/>
      <c r="C893" s="8"/>
      <c r="D893" s="8"/>
      <c r="G893" s="8"/>
    </row>
    <row r="894" spans="2:7" s="9" customFormat="1" ht="15" customHeight="1" x14ac:dyDescent="0.2">
      <c r="B894" s="8"/>
      <c r="C894" s="8"/>
      <c r="D894" s="8"/>
      <c r="G894" s="8"/>
    </row>
    <row r="895" spans="2:7" s="9" customFormat="1" ht="15" customHeight="1" x14ac:dyDescent="0.2">
      <c r="B895" s="8"/>
      <c r="C895" s="8"/>
      <c r="D895" s="8"/>
      <c r="G895" s="8"/>
    </row>
    <row r="896" spans="2:7" s="9" customFormat="1" ht="15" customHeight="1" x14ac:dyDescent="0.2">
      <c r="B896" s="8"/>
      <c r="C896" s="8"/>
      <c r="D896" s="8"/>
      <c r="G896" s="8"/>
    </row>
    <row r="897" spans="2:7" s="9" customFormat="1" ht="15" customHeight="1" x14ac:dyDescent="0.2">
      <c r="B897" s="8"/>
      <c r="C897" s="8"/>
      <c r="D897" s="8"/>
      <c r="G897" s="8"/>
    </row>
    <row r="898" spans="2:7" s="9" customFormat="1" ht="15" customHeight="1" x14ac:dyDescent="0.2">
      <c r="B898" s="8"/>
      <c r="C898" s="8"/>
      <c r="D898" s="8"/>
      <c r="G898" s="8"/>
    </row>
    <row r="899" spans="2:7" s="9" customFormat="1" ht="15" customHeight="1" x14ac:dyDescent="0.2">
      <c r="B899" s="8"/>
      <c r="C899" s="8"/>
      <c r="D899" s="8"/>
      <c r="G899" s="8"/>
    </row>
    <row r="900" spans="2:7" s="9" customFormat="1" ht="15" customHeight="1" x14ac:dyDescent="0.2">
      <c r="B900" s="8"/>
      <c r="C900" s="8"/>
      <c r="D900" s="8"/>
      <c r="G900" s="8"/>
    </row>
    <row r="901" spans="2:7" s="9" customFormat="1" ht="15" customHeight="1" x14ac:dyDescent="0.2">
      <c r="B901" s="8"/>
      <c r="C901" s="8"/>
      <c r="D901" s="8"/>
      <c r="G901" s="8"/>
    </row>
    <row r="902" spans="2:7" s="9" customFormat="1" ht="15" customHeight="1" x14ac:dyDescent="0.2">
      <c r="B902" s="8"/>
      <c r="C902" s="8"/>
      <c r="D902" s="8"/>
      <c r="G902" s="8"/>
    </row>
    <row r="903" spans="2:7" s="9" customFormat="1" ht="15" customHeight="1" x14ac:dyDescent="0.2">
      <c r="B903" s="8"/>
      <c r="C903" s="8"/>
      <c r="D903" s="8"/>
      <c r="G903" s="8"/>
    </row>
    <row r="904" spans="2:7" s="9" customFormat="1" ht="15" customHeight="1" x14ac:dyDescent="0.2">
      <c r="B904" s="8"/>
      <c r="C904" s="8"/>
      <c r="D904" s="8"/>
      <c r="G904" s="8"/>
    </row>
    <row r="905" spans="2:7" s="9" customFormat="1" ht="15" customHeight="1" x14ac:dyDescent="0.2">
      <c r="B905" s="8"/>
      <c r="C905" s="8"/>
      <c r="D905" s="8"/>
      <c r="G905" s="8"/>
    </row>
    <row r="906" spans="2:7" s="9" customFormat="1" ht="15" customHeight="1" x14ac:dyDescent="0.2">
      <c r="B906" s="8"/>
      <c r="C906" s="8"/>
      <c r="D906" s="8"/>
      <c r="G906" s="8"/>
    </row>
    <row r="907" spans="2:7" s="9" customFormat="1" ht="15" customHeight="1" x14ac:dyDescent="0.2">
      <c r="B907" s="8"/>
      <c r="C907" s="8"/>
      <c r="D907" s="8"/>
      <c r="G907" s="8"/>
    </row>
    <row r="908" spans="2:7" s="9" customFormat="1" ht="15" customHeight="1" x14ac:dyDescent="0.2">
      <c r="B908" s="8"/>
      <c r="C908" s="8"/>
      <c r="D908" s="8"/>
      <c r="G908" s="8"/>
    </row>
    <row r="909" spans="2:7" s="9" customFormat="1" ht="15" customHeight="1" x14ac:dyDescent="0.2">
      <c r="B909" s="8"/>
      <c r="C909" s="8"/>
      <c r="D909" s="8"/>
      <c r="G909" s="8"/>
    </row>
    <row r="910" spans="2:7" s="9" customFormat="1" ht="15" customHeight="1" x14ac:dyDescent="0.2">
      <c r="B910" s="8"/>
      <c r="C910" s="8"/>
      <c r="D910" s="8"/>
      <c r="G910" s="8"/>
    </row>
    <row r="911" spans="2:7" s="9" customFormat="1" ht="15" customHeight="1" x14ac:dyDescent="0.2">
      <c r="B911" s="8"/>
      <c r="C911" s="8"/>
      <c r="D911" s="8"/>
      <c r="G911" s="8"/>
    </row>
    <row r="912" spans="2:7" s="9" customFormat="1" ht="15" customHeight="1" x14ac:dyDescent="0.2">
      <c r="B912" s="8"/>
      <c r="C912" s="8"/>
      <c r="D912" s="8"/>
      <c r="G912" s="8"/>
    </row>
    <row r="913" spans="2:7" s="9" customFormat="1" ht="15" customHeight="1" x14ac:dyDescent="0.2">
      <c r="B913" s="8"/>
      <c r="C913" s="8"/>
      <c r="D913" s="8"/>
      <c r="G913" s="8"/>
    </row>
    <row r="914" spans="2:7" s="9" customFormat="1" ht="15" customHeight="1" x14ac:dyDescent="0.2">
      <c r="B914" s="8"/>
      <c r="C914" s="8"/>
      <c r="D914" s="8"/>
      <c r="G914" s="8"/>
    </row>
    <row r="915" spans="2:7" s="9" customFormat="1" ht="15" customHeight="1" x14ac:dyDescent="0.2">
      <c r="B915" s="8"/>
      <c r="C915" s="8"/>
      <c r="D915" s="8"/>
      <c r="G915" s="8"/>
    </row>
    <row r="916" spans="2:7" s="9" customFormat="1" ht="15" customHeight="1" x14ac:dyDescent="0.2">
      <c r="B916" s="8"/>
      <c r="C916" s="8"/>
      <c r="D916" s="8"/>
      <c r="G916" s="8"/>
    </row>
    <row r="917" spans="2:7" s="9" customFormat="1" ht="15" customHeight="1" x14ac:dyDescent="0.2">
      <c r="B917" s="8"/>
      <c r="C917" s="8"/>
      <c r="D917" s="8"/>
      <c r="G917" s="8"/>
    </row>
    <row r="918" spans="2:7" s="9" customFormat="1" ht="15" customHeight="1" x14ac:dyDescent="0.2">
      <c r="B918" s="8"/>
      <c r="C918" s="8"/>
      <c r="D918" s="8"/>
      <c r="G918" s="8"/>
    </row>
    <row r="919" spans="2:7" s="9" customFormat="1" ht="15" customHeight="1" x14ac:dyDescent="0.2">
      <c r="B919" s="8"/>
      <c r="C919" s="8"/>
      <c r="D919" s="8"/>
      <c r="G919" s="8"/>
    </row>
    <row r="920" spans="2:7" s="9" customFormat="1" ht="15" customHeight="1" x14ac:dyDescent="0.2">
      <c r="B920" s="8"/>
      <c r="C920" s="8"/>
      <c r="D920" s="8"/>
      <c r="G920" s="8"/>
    </row>
    <row r="921" spans="2:7" s="9" customFormat="1" ht="15" customHeight="1" x14ac:dyDescent="0.2">
      <c r="B921" s="8"/>
      <c r="C921" s="8"/>
      <c r="D921" s="8"/>
      <c r="G921" s="8"/>
    </row>
    <row r="922" spans="2:7" s="9" customFormat="1" ht="15" customHeight="1" x14ac:dyDescent="0.2">
      <c r="B922" s="8"/>
      <c r="C922" s="8"/>
      <c r="D922" s="8"/>
      <c r="G922" s="8"/>
    </row>
    <row r="923" spans="2:7" s="9" customFormat="1" ht="15" customHeight="1" x14ac:dyDescent="0.2">
      <c r="B923" s="8"/>
      <c r="C923" s="8"/>
      <c r="D923" s="8"/>
      <c r="G923" s="8"/>
    </row>
    <row r="924" spans="2:7" s="9" customFormat="1" ht="15" customHeight="1" x14ac:dyDescent="0.2">
      <c r="B924" s="8"/>
      <c r="C924" s="8"/>
      <c r="D924" s="8"/>
      <c r="G924" s="8"/>
    </row>
    <row r="925" spans="2:7" s="9" customFormat="1" ht="15" customHeight="1" x14ac:dyDescent="0.2">
      <c r="B925" s="8"/>
      <c r="C925" s="8"/>
      <c r="D925" s="8"/>
      <c r="G925" s="8"/>
    </row>
    <row r="926" spans="2:7" s="9" customFormat="1" ht="15" customHeight="1" x14ac:dyDescent="0.2">
      <c r="B926" s="8"/>
      <c r="C926" s="8"/>
      <c r="D926" s="8"/>
      <c r="G926" s="8"/>
    </row>
    <row r="927" spans="2:7" s="9" customFormat="1" ht="15" customHeight="1" x14ac:dyDescent="0.2">
      <c r="B927" s="8"/>
      <c r="C927" s="8"/>
      <c r="D927" s="8"/>
      <c r="G927" s="8"/>
    </row>
    <row r="928" spans="2:7" s="9" customFormat="1" ht="15" customHeight="1" x14ac:dyDescent="0.2">
      <c r="B928" s="8"/>
      <c r="C928" s="8"/>
      <c r="D928" s="8"/>
      <c r="G928" s="8"/>
    </row>
    <row r="929" spans="2:7" s="9" customFormat="1" ht="15" customHeight="1" x14ac:dyDescent="0.2">
      <c r="B929" s="8"/>
      <c r="C929" s="8"/>
      <c r="D929" s="8"/>
      <c r="G929" s="8"/>
    </row>
    <row r="930" spans="2:7" s="9" customFormat="1" ht="15" customHeight="1" x14ac:dyDescent="0.2">
      <c r="B930" s="8"/>
      <c r="C930" s="8"/>
      <c r="D930" s="8"/>
      <c r="G930" s="8"/>
    </row>
    <row r="931" spans="2:7" s="9" customFormat="1" ht="15" customHeight="1" x14ac:dyDescent="0.2">
      <c r="B931" s="8"/>
      <c r="C931" s="8"/>
      <c r="D931" s="8"/>
      <c r="G931" s="8"/>
    </row>
    <row r="932" spans="2:7" s="9" customFormat="1" ht="15" customHeight="1" x14ac:dyDescent="0.2">
      <c r="B932" s="8"/>
      <c r="C932" s="8"/>
      <c r="D932" s="8"/>
      <c r="G932" s="8"/>
    </row>
    <row r="933" spans="2:7" s="9" customFormat="1" ht="15" customHeight="1" x14ac:dyDescent="0.2">
      <c r="B933" s="8"/>
      <c r="C933" s="8"/>
      <c r="D933" s="8"/>
      <c r="G933" s="8"/>
    </row>
    <row r="934" spans="2:7" s="9" customFormat="1" ht="15" customHeight="1" x14ac:dyDescent="0.2">
      <c r="B934" s="8"/>
      <c r="C934" s="8"/>
      <c r="D934" s="8"/>
      <c r="G934" s="8"/>
    </row>
    <row r="935" spans="2:7" s="9" customFormat="1" ht="15" customHeight="1" x14ac:dyDescent="0.2">
      <c r="B935" s="8"/>
      <c r="C935" s="8"/>
      <c r="D935" s="8"/>
      <c r="G935" s="8"/>
    </row>
    <row r="936" spans="2:7" s="9" customFormat="1" ht="15" customHeight="1" x14ac:dyDescent="0.2">
      <c r="B936" s="8"/>
      <c r="C936" s="8"/>
      <c r="D936" s="8"/>
      <c r="G936" s="8"/>
    </row>
    <row r="937" spans="2:7" s="9" customFormat="1" ht="15" customHeight="1" x14ac:dyDescent="0.2">
      <c r="B937" s="8"/>
      <c r="C937" s="8"/>
      <c r="D937" s="8"/>
      <c r="G937" s="8"/>
    </row>
    <row r="938" spans="2:7" s="9" customFormat="1" ht="15" customHeight="1" x14ac:dyDescent="0.2">
      <c r="B938" s="8"/>
      <c r="C938" s="8"/>
      <c r="D938" s="8"/>
      <c r="G938" s="8"/>
    </row>
    <row r="939" spans="2:7" s="9" customFormat="1" ht="15" customHeight="1" x14ac:dyDescent="0.2">
      <c r="B939" s="8"/>
      <c r="C939" s="8"/>
      <c r="D939" s="8"/>
      <c r="G939" s="8"/>
    </row>
    <row r="940" spans="2:7" s="9" customFormat="1" ht="15" customHeight="1" x14ac:dyDescent="0.2">
      <c r="B940" s="8"/>
      <c r="C940" s="8"/>
      <c r="D940" s="8"/>
      <c r="G940" s="8"/>
    </row>
    <row r="941" spans="2:7" s="9" customFormat="1" ht="15" customHeight="1" x14ac:dyDescent="0.2">
      <c r="B941" s="8"/>
      <c r="C941" s="8"/>
      <c r="D941" s="8"/>
      <c r="G941" s="8"/>
    </row>
    <row r="942" spans="2:7" s="9" customFormat="1" ht="15" customHeight="1" x14ac:dyDescent="0.2">
      <c r="B942" s="8"/>
      <c r="C942" s="8"/>
      <c r="D942" s="8"/>
      <c r="G942" s="8"/>
    </row>
    <row r="943" spans="2:7" s="9" customFormat="1" ht="15" customHeight="1" x14ac:dyDescent="0.2">
      <c r="B943" s="8"/>
      <c r="C943" s="8"/>
      <c r="D943" s="8"/>
      <c r="G943" s="8"/>
    </row>
    <row r="944" spans="2:7" s="9" customFormat="1" ht="15" customHeight="1" x14ac:dyDescent="0.2">
      <c r="B944" s="8"/>
      <c r="C944" s="8"/>
      <c r="D944" s="8"/>
      <c r="G944" s="8"/>
    </row>
    <row r="945" spans="2:7" s="9" customFormat="1" ht="15" customHeight="1" x14ac:dyDescent="0.2">
      <c r="B945" s="8"/>
      <c r="C945" s="8"/>
      <c r="D945" s="8"/>
      <c r="G945" s="8"/>
    </row>
    <row r="946" spans="2:7" s="9" customFormat="1" ht="15" customHeight="1" x14ac:dyDescent="0.2">
      <c r="B946" s="8"/>
      <c r="C946" s="8"/>
      <c r="D946" s="8"/>
      <c r="G946" s="8"/>
    </row>
    <row r="947" spans="2:7" s="9" customFormat="1" ht="15" customHeight="1" x14ac:dyDescent="0.2">
      <c r="B947" s="8"/>
      <c r="C947" s="8"/>
      <c r="D947" s="8"/>
      <c r="G947" s="8"/>
    </row>
    <row r="948" spans="2:7" s="9" customFormat="1" ht="15" customHeight="1" x14ac:dyDescent="0.2">
      <c r="B948" s="8"/>
      <c r="C948" s="8"/>
      <c r="D948" s="8"/>
      <c r="G948" s="8"/>
    </row>
    <row r="949" spans="2:7" s="9" customFormat="1" ht="15" customHeight="1" x14ac:dyDescent="0.2">
      <c r="B949" s="8"/>
      <c r="C949" s="8"/>
      <c r="D949" s="8"/>
      <c r="G949" s="8"/>
    </row>
    <row r="950" spans="2:7" s="9" customFormat="1" ht="15" customHeight="1" x14ac:dyDescent="0.2">
      <c r="B950" s="8"/>
      <c r="C950" s="8"/>
      <c r="D950" s="8"/>
      <c r="G950" s="8"/>
    </row>
    <row r="951" spans="2:7" s="9" customFormat="1" ht="15" customHeight="1" x14ac:dyDescent="0.2">
      <c r="B951" s="8"/>
      <c r="C951" s="8"/>
      <c r="D951" s="8"/>
      <c r="G951" s="8"/>
    </row>
    <row r="952" spans="2:7" s="9" customFormat="1" ht="15" customHeight="1" x14ac:dyDescent="0.2">
      <c r="B952" s="8"/>
      <c r="C952" s="8"/>
      <c r="D952" s="8"/>
      <c r="G952" s="8"/>
    </row>
    <row r="953" spans="2:7" s="9" customFormat="1" ht="15" customHeight="1" x14ac:dyDescent="0.2">
      <c r="B953" s="8"/>
      <c r="C953" s="8"/>
      <c r="D953" s="8"/>
      <c r="G953" s="8"/>
    </row>
    <row r="954" spans="2:7" s="9" customFormat="1" ht="15" customHeight="1" x14ac:dyDescent="0.2">
      <c r="B954" s="8"/>
      <c r="C954" s="8"/>
      <c r="D954" s="8"/>
      <c r="G954" s="8"/>
    </row>
    <row r="955" spans="2:7" s="9" customFormat="1" ht="15" customHeight="1" x14ac:dyDescent="0.2">
      <c r="B955" s="8"/>
      <c r="C955" s="8"/>
      <c r="D955" s="8"/>
      <c r="G955" s="8"/>
    </row>
    <row r="956" spans="2:7" s="9" customFormat="1" ht="15" customHeight="1" x14ac:dyDescent="0.2">
      <c r="B956" s="8"/>
      <c r="C956" s="8"/>
      <c r="D956" s="8"/>
      <c r="G956" s="8"/>
    </row>
    <row r="957" spans="2:7" s="9" customFormat="1" ht="15" customHeight="1" x14ac:dyDescent="0.2">
      <c r="B957" s="8"/>
      <c r="C957" s="8"/>
      <c r="D957" s="8"/>
      <c r="G957" s="8"/>
    </row>
    <row r="958" spans="2:7" s="9" customFormat="1" ht="15" customHeight="1" x14ac:dyDescent="0.2">
      <c r="B958" s="8"/>
      <c r="C958" s="8"/>
      <c r="D958" s="8"/>
      <c r="G958" s="8"/>
    </row>
    <row r="959" spans="2:7" s="9" customFormat="1" ht="15" customHeight="1" x14ac:dyDescent="0.2">
      <c r="B959" s="8"/>
      <c r="C959" s="8"/>
      <c r="D959" s="8"/>
      <c r="G959" s="8"/>
    </row>
    <row r="960" spans="2:7" s="9" customFormat="1" ht="15" customHeight="1" x14ac:dyDescent="0.2">
      <c r="B960" s="8"/>
      <c r="C960" s="8"/>
      <c r="D960" s="8"/>
      <c r="G960" s="8"/>
    </row>
    <row r="961" spans="2:7" s="9" customFormat="1" ht="15" customHeight="1" x14ac:dyDescent="0.2">
      <c r="B961" s="8"/>
      <c r="C961" s="8"/>
      <c r="D961" s="8"/>
      <c r="G961" s="8"/>
    </row>
    <row r="962" spans="2:7" s="9" customFormat="1" ht="15" customHeight="1" x14ac:dyDescent="0.2">
      <c r="B962" s="8"/>
      <c r="C962" s="8"/>
      <c r="D962" s="8"/>
      <c r="G962" s="8"/>
    </row>
    <row r="963" spans="2:7" s="9" customFormat="1" ht="15" customHeight="1" x14ac:dyDescent="0.2">
      <c r="B963" s="8"/>
      <c r="C963" s="8"/>
      <c r="D963" s="8"/>
      <c r="G963" s="8"/>
    </row>
    <row r="964" spans="2:7" s="9" customFormat="1" ht="15" customHeight="1" x14ac:dyDescent="0.2">
      <c r="B964" s="8"/>
      <c r="C964" s="8"/>
      <c r="D964" s="8"/>
      <c r="G964" s="8"/>
    </row>
    <row r="965" spans="2:7" s="9" customFormat="1" ht="15" customHeight="1" x14ac:dyDescent="0.2">
      <c r="B965" s="8"/>
      <c r="C965" s="8"/>
      <c r="D965" s="8"/>
      <c r="G965" s="8"/>
    </row>
    <row r="966" spans="2:7" s="9" customFormat="1" ht="15" customHeight="1" x14ac:dyDescent="0.2">
      <c r="B966" s="8"/>
      <c r="C966" s="8"/>
      <c r="D966" s="8"/>
      <c r="G966" s="8"/>
    </row>
    <row r="967" spans="2:7" s="9" customFormat="1" ht="15" customHeight="1" x14ac:dyDescent="0.2">
      <c r="B967" s="8"/>
      <c r="C967" s="8"/>
      <c r="D967" s="8"/>
      <c r="G967" s="8"/>
    </row>
    <row r="968" spans="2:7" s="9" customFormat="1" ht="15" customHeight="1" x14ac:dyDescent="0.2">
      <c r="B968" s="8"/>
      <c r="C968" s="8"/>
      <c r="D968" s="8"/>
      <c r="G968" s="8"/>
    </row>
    <row r="969" spans="2:7" s="9" customFormat="1" ht="15" customHeight="1" x14ac:dyDescent="0.2">
      <c r="B969" s="8"/>
      <c r="C969" s="8"/>
      <c r="D969" s="8"/>
      <c r="G969" s="8"/>
    </row>
    <row r="970" spans="2:7" s="9" customFormat="1" ht="15" customHeight="1" x14ac:dyDescent="0.2">
      <c r="B970" s="8"/>
      <c r="C970" s="8"/>
      <c r="D970" s="8"/>
      <c r="G970" s="8"/>
    </row>
    <row r="971" spans="2:7" s="9" customFormat="1" ht="15" customHeight="1" x14ac:dyDescent="0.2">
      <c r="B971" s="8"/>
      <c r="C971" s="8"/>
      <c r="D971" s="8"/>
      <c r="G971" s="8"/>
    </row>
    <row r="972" spans="2:7" s="9" customFormat="1" ht="15" customHeight="1" x14ac:dyDescent="0.2">
      <c r="B972" s="8"/>
      <c r="C972" s="8"/>
      <c r="D972" s="8"/>
      <c r="G972" s="8"/>
    </row>
    <row r="973" spans="2:7" s="9" customFormat="1" ht="15" customHeight="1" x14ac:dyDescent="0.2">
      <c r="B973" s="8"/>
      <c r="C973" s="8"/>
      <c r="D973" s="8"/>
      <c r="G973" s="8"/>
    </row>
    <row r="974" spans="2:7" s="9" customFormat="1" ht="15" customHeight="1" x14ac:dyDescent="0.2">
      <c r="B974" s="8"/>
      <c r="C974" s="8"/>
      <c r="D974" s="8"/>
      <c r="G974" s="8"/>
    </row>
    <row r="975" spans="2:7" s="9" customFormat="1" ht="15" customHeight="1" x14ac:dyDescent="0.2">
      <c r="B975" s="8"/>
      <c r="C975" s="8"/>
      <c r="D975" s="8"/>
      <c r="G975" s="8"/>
    </row>
    <row r="976" spans="2:7" s="9" customFormat="1" ht="15" customHeight="1" x14ac:dyDescent="0.2">
      <c r="B976" s="8"/>
      <c r="C976" s="8"/>
      <c r="D976" s="8"/>
      <c r="G976" s="8"/>
    </row>
    <row r="977" spans="2:7" s="9" customFormat="1" ht="15" customHeight="1" x14ac:dyDescent="0.2">
      <c r="B977" s="8"/>
      <c r="C977" s="8"/>
      <c r="D977" s="8"/>
      <c r="G977" s="8"/>
    </row>
    <row r="978" spans="2:7" s="9" customFormat="1" ht="15" customHeight="1" x14ac:dyDescent="0.2">
      <c r="B978" s="8"/>
      <c r="C978" s="8"/>
      <c r="D978" s="8"/>
      <c r="G978" s="8"/>
    </row>
    <row r="979" spans="2:7" s="9" customFormat="1" ht="15" customHeight="1" x14ac:dyDescent="0.2">
      <c r="B979" s="8"/>
      <c r="C979" s="8"/>
      <c r="D979" s="8"/>
      <c r="G979" s="8"/>
    </row>
    <row r="980" spans="2:7" s="9" customFormat="1" ht="15" customHeight="1" x14ac:dyDescent="0.2">
      <c r="B980" s="8"/>
      <c r="C980" s="8"/>
      <c r="D980" s="8"/>
      <c r="G980" s="8"/>
    </row>
    <row r="981" spans="2:7" s="9" customFormat="1" ht="15" customHeight="1" x14ac:dyDescent="0.2">
      <c r="B981" s="8"/>
      <c r="C981" s="8"/>
      <c r="D981" s="8"/>
      <c r="G981" s="8"/>
    </row>
    <row r="982" spans="2:7" s="9" customFormat="1" ht="15" customHeight="1" x14ac:dyDescent="0.2">
      <c r="B982" s="8"/>
      <c r="C982" s="8"/>
      <c r="D982" s="8"/>
      <c r="G982" s="8"/>
    </row>
    <row r="983" spans="2:7" s="9" customFormat="1" ht="15" customHeight="1" x14ac:dyDescent="0.2">
      <c r="B983" s="8"/>
      <c r="C983" s="8"/>
      <c r="D983" s="8"/>
      <c r="G983" s="8"/>
    </row>
    <row r="984" spans="2:7" s="9" customFormat="1" ht="15" customHeight="1" x14ac:dyDescent="0.2">
      <c r="B984" s="8"/>
      <c r="C984" s="8"/>
      <c r="D984" s="8"/>
      <c r="G984" s="8"/>
    </row>
    <row r="985" spans="2:7" s="9" customFormat="1" ht="15" customHeight="1" x14ac:dyDescent="0.2">
      <c r="B985" s="8"/>
      <c r="C985" s="8"/>
      <c r="D985" s="8"/>
      <c r="G985" s="8"/>
    </row>
    <row r="986" spans="2:7" s="9" customFormat="1" ht="15" customHeight="1" x14ac:dyDescent="0.2">
      <c r="B986" s="8"/>
      <c r="C986" s="8"/>
      <c r="D986" s="8"/>
      <c r="G986" s="8"/>
    </row>
    <row r="987" spans="2:7" s="9" customFormat="1" ht="15" customHeight="1" x14ac:dyDescent="0.2">
      <c r="B987" s="8"/>
      <c r="C987" s="8"/>
      <c r="D987" s="8"/>
      <c r="G987" s="8"/>
    </row>
    <row r="988" spans="2:7" s="9" customFormat="1" ht="15" customHeight="1" x14ac:dyDescent="0.2">
      <c r="B988" s="8"/>
      <c r="C988" s="8"/>
      <c r="D988" s="8"/>
      <c r="G988" s="8"/>
    </row>
    <row r="989" spans="2:7" s="9" customFormat="1" ht="15" customHeight="1" x14ac:dyDescent="0.2">
      <c r="B989" s="8"/>
      <c r="C989" s="8"/>
      <c r="D989" s="8"/>
      <c r="G989" s="8"/>
    </row>
    <row r="990" spans="2:7" s="9" customFormat="1" ht="15" customHeight="1" x14ac:dyDescent="0.2">
      <c r="B990" s="8"/>
      <c r="C990" s="8"/>
      <c r="D990" s="8"/>
      <c r="G990" s="8"/>
    </row>
    <row r="991" spans="2:7" s="9" customFormat="1" ht="15" customHeight="1" x14ac:dyDescent="0.2">
      <c r="B991" s="8"/>
      <c r="C991" s="8"/>
      <c r="D991" s="8"/>
      <c r="G991" s="8"/>
    </row>
    <row r="992" spans="2:7" s="9" customFormat="1" ht="15" customHeight="1" x14ac:dyDescent="0.2">
      <c r="B992" s="8"/>
      <c r="C992" s="8"/>
      <c r="D992" s="8"/>
      <c r="G992" s="8"/>
    </row>
    <row r="993" spans="2:7" s="9" customFormat="1" ht="15" customHeight="1" x14ac:dyDescent="0.2">
      <c r="B993" s="8"/>
      <c r="C993" s="8"/>
      <c r="D993" s="8"/>
      <c r="G993" s="8"/>
    </row>
    <row r="994" spans="2:7" s="9" customFormat="1" ht="15" customHeight="1" x14ac:dyDescent="0.2">
      <c r="B994" s="8"/>
      <c r="C994" s="8"/>
      <c r="D994" s="8"/>
      <c r="G994" s="8"/>
    </row>
    <row r="995" spans="2:7" s="9" customFormat="1" ht="15" customHeight="1" x14ac:dyDescent="0.2">
      <c r="B995" s="8"/>
      <c r="C995" s="8"/>
      <c r="D995" s="8"/>
      <c r="G995" s="8"/>
    </row>
    <row r="996" spans="2:7" s="9" customFormat="1" ht="15" customHeight="1" x14ac:dyDescent="0.2">
      <c r="B996" s="8"/>
      <c r="C996" s="8"/>
      <c r="D996" s="8"/>
      <c r="G996" s="8"/>
    </row>
    <row r="997" spans="2:7" s="9" customFormat="1" ht="15" customHeight="1" x14ac:dyDescent="0.2">
      <c r="B997" s="8"/>
      <c r="C997" s="8"/>
      <c r="D997" s="8"/>
      <c r="G997" s="8"/>
    </row>
    <row r="998" spans="2:7" s="9" customFormat="1" ht="15" customHeight="1" x14ac:dyDescent="0.2">
      <c r="B998" s="8"/>
      <c r="C998" s="8"/>
      <c r="D998" s="8"/>
      <c r="G998" s="8"/>
    </row>
    <row r="999" spans="2:7" s="9" customFormat="1" ht="15" customHeight="1" x14ac:dyDescent="0.2">
      <c r="B999" s="8"/>
      <c r="C999" s="8"/>
      <c r="D999" s="8"/>
      <c r="G999" s="8"/>
    </row>
    <row r="1000" spans="2:7" s="9" customFormat="1" ht="15" customHeight="1" x14ac:dyDescent="0.2">
      <c r="B1000" s="8"/>
      <c r="C1000" s="8"/>
      <c r="D1000" s="8"/>
      <c r="G1000" s="8"/>
    </row>
    <row r="1001" spans="2:7" s="9" customFormat="1" ht="15" customHeight="1" x14ac:dyDescent="0.2">
      <c r="B1001" s="8"/>
      <c r="C1001" s="8"/>
      <c r="D1001" s="8"/>
      <c r="G1001" s="8"/>
    </row>
    <row r="1002" spans="2:7" s="9" customFormat="1" ht="15" customHeight="1" x14ac:dyDescent="0.2">
      <c r="B1002" s="8"/>
      <c r="C1002" s="8"/>
      <c r="D1002" s="8"/>
      <c r="G1002" s="8"/>
    </row>
    <row r="1003" spans="2:7" s="9" customFormat="1" ht="15" customHeight="1" x14ac:dyDescent="0.2">
      <c r="B1003" s="8"/>
      <c r="C1003" s="8"/>
      <c r="D1003" s="8"/>
      <c r="G1003" s="8"/>
    </row>
    <row r="1004" spans="2:7" s="9" customFormat="1" ht="15" customHeight="1" x14ac:dyDescent="0.2">
      <c r="B1004" s="8"/>
      <c r="C1004" s="8"/>
      <c r="D1004" s="8"/>
      <c r="G1004" s="8"/>
    </row>
    <row r="1005" spans="2:7" s="9" customFormat="1" ht="15" customHeight="1" x14ac:dyDescent="0.2">
      <c r="B1005" s="8"/>
      <c r="C1005" s="8"/>
      <c r="D1005" s="8"/>
      <c r="G1005" s="8"/>
    </row>
    <row r="1006" spans="2:7" s="9" customFormat="1" ht="15" customHeight="1" x14ac:dyDescent="0.2">
      <c r="B1006" s="8"/>
      <c r="C1006" s="8"/>
      <c r="D1006" s="8"/>
      <c r="G1006" s="8"/>
    </row>
    <row r="1007" spans="2:7" s="9" customFormat="1" ht="15" customHeight="1" x14ac:dyDescent="0.2">
      <c r="B1007" s="8"/>
      <c r="C1007" s="8"/>
      <c r="D1007" s="8"/>
      <c r="G1007" s="8"/>
    </row>
    <row r="1008" spans="2:7" s="9" customFormat="1" ht="15" customHeight="1" x14ac:dyDescent="0.2">
      <c r="B1008" s="8"/>
      <c r="C1008" s="8"/>
      <c r="D1008" s="8"/>
      <c r="G1008" s="8"/>
    </row>
    <row r="1009" spans="2:7" s="9" customFormat="1" ht="15" customHeight="1" x14ac:dyDescent="0.2">
      <c r="B1009" s="8"/>
      <c r="C1009" s="8"/>
      <c r="D1009" s="8"/>
      <c r="G1009" s="8"/>
    </row>
    <row r="1010" spans="2:7" s="9" customFormat="1" ht="15" customHeight="1" x14ac:dyDescent="0.2">
      <c r="B1010" s="8"/>
      <c r="C1010" s="8"/>
      <c r="D1010" s="8"/>
      <c r="G1010" s="8"/>
    </row>
    <row r="1011" spans="2:7" s="9" customFormat="1" ht="15" customHeight="1" x14ac:dyDescent="0.2">
      <c r="B1011" s="8"/>
      <c r="C1011" s="8"/>
      <c r="D1011" s="8"/>
      <c r="G1011" s="8"/>
    </row>
    <row r="1012" spans="2:7" s="9" customFormat="1" ht="15" customHeight="1" x14ac:dyDescent="0.2">
      <c r="B1012" s="8"/>
      <c r="C1012" s="8"/>
      <c r="D1012" s="8"/>
      <c r="G1012" s="8"/>
    </row>
    <row r="1013" spans="2:7" s="9" customFormat="1" ht="15" customHeight="1" x14ac:dyDescent="0.2">
      <c r="B1013" s="8"/>
      <c r="C1013" s="8"/>
      <c r="D1013" s="8"/>
      <c r="G1013" s="8"/>
    </row>
    <row r="1014" spans="2:7" s="9" customFormat="1" ht="15" customHeight="1" x14ac:dyDescent="0.2">
      <c r="B1014" s="8"/>
      <c r="C1014" s="8"/>
      <c r="D1014" s="8"/>
      <c r="G1014" s="8"/>
    </row>
    <row r="1015" spans="2:7" s="9" customFormat="1" ht="15" customHeight="1" x14ac:dyDescent="0.2">
      <c r="B1015" s="8"/>
      <c r="C1015" s="8"/>
      <c r="D1015" s="8"/>
      <c r="G1015" s="8"/>
    </row>
    <row r="1016" spans="2:7" s="9" customFormat="1" ht="15" customHeight="1" x14ac:dyDescent="0.2">
      <c r="B1016" s="8"/>
      <c r="C1016" s="8"/>
      <c r="D1016" s="8"/>
      <c r="G1016" s="8"/>
    </row>
    <row r="1017" spans="2:7" s="9" customFormat="1" ht="15" customHeight="1" x14ac:dyDescent="0.2">
      <c r="B1017" s="8"/>
      <c r="C1017" s="8"/>
      <c r="D1017" s="8"/>
      <c r="G1017" s="8"/>
    </row>
    <row r="1018" spans="2:7" s="9" customFormat="1" ht="15" customHeight="1" x14ac:dyDescent="0.2">
      <c r="B1018" s="8"/>
      <c r="C1018" s="8"/>
      <c r="D1018" s="8"/>
      <c r="G1018" s="8"/>
    </row>
    <row r="1019" spans="2:7" s="9" customFormat="1" ht="15" customHeight="1" x14ac:dyDescent="0.2">
      <c r="B1019" s="8"/>
      <c r="C1019" s="8"/>
      <c r="D1019" s="8"/>
      <c r="G1019" s="8"/>
    </row>
    <row r="1020" spans="2:7" s="9" customFormat="1" ht="15" customHeight="1" x14ac:dyDescent="0.2">
      <c r="B1020" s="8"/>
      <c r="C1020" s="8"/>
      <c r="D1020" s="8"/>
      <c r="G1020" s="8"/>
    </row>
    <row r="1021" spans="2:7" s="9" customFormat="1" ht="15" customHeight="1" x14ac:dyDescent="0.2">
      <c r="B1021" s="8"/>
      <c r="C1021" s="8"/>
      <c r="D1021" s="8"/>
      <c r="G1021" s="8"/>
    </row>
    <row r="1022" spans="2:7" s="9" customFormat="1" ht="15" customHeight="1" x14ac:dyDescent="0.2">
      <c r="B1022" s="8"/>
      <c r="C1022" s="8"/>
      <c r="D1022" s="8"/>
      <c r="G1022" s="8"/>
    </row>
    <row r="1023" spans="2:7" s="9" customFormat="1" ht="15" customHeight="1" x14ac:dyDescent="0.2">
      <c r="B1023" s="8"/>
      <c r="C1023" s="8"/>
      <c r="D1023" s="8"/>
      <c r="G1023" s="8"/>
    </row>
    <row r="1024" spans="2:7" s="9" customFormat="1" ht="15" customHeight="1" x14ac:dyDescent="0.2">
      <c r="B1024" s="8"/>
      <c r="C1024" s="8"/>
      <c r="D1024" s="8"/>
      <c r="G1024" s="8"/>
    </row>
    <row r="1025" spans="2:7" s="9" customFormat="1" ht="15" customHeight="1" x14ac:dyDescent="0.2">
      <c r="B1025" s="8"/>
      <c r="C1025" s="8"/>
      <c r="D1025" s="8"/>
      <c r="G1025" s="8"/>
    </row>
    <row r="1026" spans="2:7" s="9" customFormat="1" ht="15" customHeight="1" x14ac:dyDescent="0.2">
      <c r="B1026" s="8"/>
      <c r="C1026" s="8"/>
      <c r="D1026" s="8"/>
      <c r="G1026" s="8"/>
    </row>
    <row r="1027" spans="2:7" s="9" customFormat="1" ht="15" customHeight="1" x14ac:dyDescent="0.2">
      <c r="B1027" s="8"/>
      <c r="C1027" s="8"/>
      <c r="D1027" s="8"/>
      <c r="G1027" s="8"/>
    </row>
    <row r="1028" spans="2:7" s="9" customFormat="1" ht="15" customHeight="1" x14ac:dyDescent="0.2">
      <c r="B1028" s="8"/>
      <c r="C1028" s="8"/>
      <c r="D1028" s="8"/>
      <c r="G1028" s="8"/>
    </row>
    <row r="1029" spans="2:7" s="9" customFormat="1" ht="15" customHeight="1" x14ac:dyDescent="0.2">
      <c r="B1029" s="8"/>
      <c r="C1029" s="8"/>
      <c r="D1029" s="8"/>
      <c r="G1029" s="8"/>
    </row>
    <row r="1030" spans="2:7" s="9" customFormat="1" ht="15" customHeight="1" x14ac:dyDescent="0.2">
      <c r="B1030" s="8"/>
      <c r="C1030" s="8"/>
      <c r="D1030" s="8"/>
      <c r="G1030" s="8"/>
    </row>
    <row r="1031" spans="2:7" s="9" customFormat="1" ht="15" customHeight="1" x14ac:dyDescent="0.2">
      <c r="B1031" s="8"/>
      <c r="C1031" s="8"/>
      <c r="D1031" s="8"/>
      <c r="G1031" s="8"/>
    </row>
    <row r="1032" spans="2:7" s="9" customFormat="1" ht="15" customHeight="1" x14ac:dyDescent="0.2">
      <c r="B1032" s="8"/>
      <c r="C1032" s="8"/>
      <c r="D1032" s="8"/>
      <c r="G1032" s="8"/>
    </row>
    <row r="1033" spans="2:7" s="9" customFormat="1" ht="15" customHeight="1" x14ac:dyDescent="0.2">
      <c r="B1033" s="8"/>
      <c r="C1033" s="8"/>
      <c r="D1033" s="8"/>
      <c r="G1033" s="8"/>
    </row>
    <row r="1034" spans="2:7" s="9" customFormat="1" ht="15" customHeight="1" x14ac:dyDescent="0.2">
      <c r="B1034" s="8"/>
      <c r="C1034" s="8"/>
      <c r="D1034" s="8"/>
      <c r="G1034" s="8"/>
    </row>
    <row r="1035" spans="2:7" s="9" customFormat="1" ht="15" customHeight="1" x14ac:dyDescent="0.2">
      <c r="B1035" s="8"/>
      <c r="C1035" s="8"/>
      <c r="D1035" s="8"/>
      <c r="G1035" s="8"/>
    </row>
    <row r="1036" spans="2:7" s="9" customFormat="1" ht="15" customHeight="1" x14ac:dyDescent="0.2">
      <c r="B1036" s="8"/>
      <c r="C1036" s="8"/>
      <c r="D1036" s="8"/>
      <c r="G1036" s="8"/>
    </row>
    <row r="1037" spans="2:7" s="9" customFormat="1" ht="15" customHeight="1" x14ac:dyDescent="0.2">
      <c r="B1037" s="8"/>
      <c r="C1037" s="8"/>
      <c r="D1037" s="8"/>
      <c r="G1037" s="8"/>
    </row>
    <row r="1038" spans="2:7" s="9" customFormat="1" ht="15" customHeight="1" x14ac:dyDescent="0.2">
      <c r="B1038" s="8"/>
      <c r="C1038" s="8"/>
      <c r="D1038" s="8"/>
      <c r="G1038" s="8"/>
    </row>
    <row r="1039" spans="2:7" s="9" customFormat="1" ht="15" customHeight="1" x14ac:dyDescent="0.2">
      <c r="B1039" s="8"/>
      <c r="C1039" s="8"/>
      <c r="D1039" s="8"/>
      <c r="G1039" s="8"/>
    </row>
    <row r="1040" spans="2:7" s="9" customFormat="1" ht="15" customHeight="1" x14ac:dyDescent="0.2">
      <c r="B1040" s="8"/>
      <c r="C1040" s="8"/>
      <c r="D1040" s="8"/>
      <c r="G1040" s="8"/>
    </row>
    <row r="1041" spans="2:7" s="9" customFormat="1" ht="15" customHeight="1" x14ac:dyDescent="0.2">
      <c r="B1041" s="8"/>
      <c r="C1041" s="8"/>
      <c r="D1041" s="8"/>
      <c r="G1041" s="8"/>
    </row>
    <row r="1042" spans="2:7" s="9" customFormat="1" ht="15" customHeight="1" x14ac:dyDescent="0.2">
      <c r="B1042" s="8"/>
      <c r="C1042" s="8"/>
      <c r="D1042" s="8"/>
      <c r="G1042" s="8"/>
    </row>
    <row r="1043" spans="2:7" s="9" customFormat="1" ht="15" customHeight="1" x14ac:dyDescent="0.2">
      <c r="B1043" s="8"/>
      <c r="C1043" s="8"/>
      <c r="D1043" s="8"/>
      <c r="G1043" s="8"/>
    </row>
    <row r="1044" spans="2:7" s="9" customFormat="1" ht="15" customHeight="1" x14ac:dyDescent="0.2">
      <c r="B1044" s="8"/>
      <c r="C1044" s="8"/>
      <c r="D1044" s="8"/>
      <c r="G1044" s="8"/>
    </row>
    <row r="1045" spans="2:7" s="9" customFormat="1" ht="15" customHeight="1" x14ac:dyDescent="0.2">
      <c r="B1045" s="8"/>
      <c r="C1045" s="8"/>
      <c r="D1045" s="8"/>
      <c r="G1045" s="8"/>
    </row>
    <row r="1046" spans="2:7" s="9" customFormat="1" ht="15" customHeight="1" x14ac:dyDescent="0.2">
      <c r="B1046" s="8"/>
      <c r="C1046" s="8"/>
      <c r="D1046" s="8"/>
      <c r="G1046" s="8"/>
    </row>
    <row r="1047" spans="2:7" s="9" customFormat="1" ht="15" customHeight="1" x14ac:dyDescent="0.2">
      <c r="B1047" s="8"/>
      <c r="C1047" s="8"/>
      <c r="D1047" s="8"/>
      <c r="G1047" s="8"/>
    </row>
    <row r="1048" spans="2:7" s="9" customFormat="1" ht="15" customHeight="1" x14ac:dyDescent="0.2">
      <c r="B1048" s="8"/>
      <c r="C1048" s="8"/>
      <c r="D1048" s="8"/>
      <c r="G1048" s="8"/>
    </row>
    <row r="1049" spans="2:7" s="9" customFormat="1" ht="15" customHeight="1" x14ac:dyDescent="0.2">
      <c r="B1049" s="8"/>
      <c r="C1049" s="8"/>
      <c r="D1049" s="8"/>
      <c r="G1049" s="8"/>
    </row>
    <row r="1050" spans="2:7" s="9" customFormat="1" ht="15" customHeight="1" x14ac:dyDescent="0.2">
      <c r="B1050" s="8"/>
      <c r="C1050" s="8"/>
      <c r="D1050" s="8"/>
      <c r="G1050" s="8"/>
    </row>
    <row r="1051" spans="2:7" s="9" customFormat="1" ht="15" customHeight="1" x14ac:dyDescent="0.2">
      <c r="B1051" s="8"/>
      <c r="C1051" s="8"/>
      <c r="D1051" s="8"/>
      <c r="G1051" s="8"/>
    </row>
    <row r="1052" spans="2:7" s="9" customFormat="1" ht="15" customHeight="1" x14ac:dyDescent="0.2">
      <c r="B1052" s="8"/>
      <c r="C1052" s="8"/>
      <c r="D1052" s="8"/>
      <c r="G1052" s="8"/>
    </row>
    <row r="1053" spans="2:7" s="9" customFormat="1" ht="15" customHeight="1" x14ac:dyDescent="0.2">
      <c r="B1053" s="8"/>
      <c r="C1053" s="8"/>
      <c r="D1053" s="8"/>
      <c r="G1053" s="8"/>
    </row>
    <row r="1054" spans="2:7" s="9" customFormat="1" ht="15" customHeight="1" x14ac:dyDescent="0.2">
      <c r="B1054" s="8"/>
      <c r="C1054" s="8"/>
      <c r="D1054" s="8"/>
      <c r="G1054" s="8"/>
    </row>
    <row r="1055" spans="2:7" s="9" customFormat="1" ht="15" customHeight="1" x14ac:dyDescent="0.2">
      <c r="B1055" s="8"/>
      <c r="C1055" s="8"/>
      <c r="D1055" s="8"/>
      <c r="G1055" s="8"/>
    </row>
    <row r="1056" spans="2:7" s="9" customFormat="1" ht="15" customHeight="1" x14ac:dyDescent="0.2">
      <c r="B1056" s="8"/>
      <c r="C1056" s="8"/>
      <c r="D1056" s="8"/>
      <c r="G1056" s="8"/>
    </row>
    <row r="1057" spans="2:7" s="9" customFormat="1" ht="15" customHeight="1" x14ac:dyDescent="0.2">
      <c r="B1057" s="8"/>
      <c r="C1057" s="8"/>
      <c r="D1057" s="8"/>
      <c r="G1057" s="8"/>
    </row>
    <row r="1058" spans="2:7" s="9" customFormat="1" ht="15" customHeight="1" x14ac:dyDescent="0.2">
      <c r="B1058" s="8"/>
      <c r="C1058" s="8"/>
      <c r="D1058" s="8"/>
      <c r="G1058" s="8"/>
    </row>
    <row r="1059" spans="2:7" s="9" customFormat="1" ht="15" customHeight="1" x14ac:dyDescent="0.2">
      <c r="B1059" s="8"/>
      <c r="C1059" s="8"/>
      <c r="D1059" s="8"/>
      <c r="G1059" s="8"/>
    </row>
    <row r="1060" spans="2:7" s="9" customFormat="1" ht="15" customHeight="1" x14ac:dyDescent="0.2">
      <c r="B1060" s="8"/>
      <c r="C1060" s="8"/>
      <c r="D1060" s="8"/>
      <c r="G1060" s="8"/>
    </row>
    <row r="1061" spans="2:7" s="9" customFormat="1" ht="15" customHeight="1" x14ac:dyDescent="0.2">
      <c r="B1061" s="8"/>
      <c r="C1061" s="8"/>
      <c r="D1061" s="8"/>
      <c r="G1061" s="8"/>
    </row>
  </sheetData>
  <mergeCells count="4">
    <mergeCell ref="B1:G1"/>
    <mergeCell ref="B4:C4"/>
    <mergeCell ref="D4:E4"/>
    <mergeCell ref="B2:G2"/>
  </mergeCells>
  <printOptions horizontalCentered="1" verticalCentered="1"/>
  <pageMargins left="0" right="0" top="0" bottom="0" header="0.11811023622047245" footer="0"/>
  <pageSetup paperSize="9" scale="48" orientation="portrait" r:id="rId1"/>
  <headerFooter alignWithMargins="0">
    <oddHeader xml:space="preserve">&amp;C
&amp;R&amp;"Calibri,Félkövér"&amp;11 &amp;12 18. melléklet a 10/2024.(V.31.) önkormányzati rendelethez 
&amp;"Cambria,Félkövér"&amp;14
</oddHeader>
  </headerFooter>
  <rowBreaks count="1" manualBreakCount="1">
    <brk id="61" min="1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5A44-8E5D-451C-B2A5-0EC6BE5C518B}">
  <dimension ref="B1:C108"/>
  <sheetViews>
    <sheetView view="pageLayout" zoomScaleNormal="75" zoomScaleSheetLayoutView="75" workbookViewId="0">
      <selection activeCell="E10" sqref="E10"/>
    </sheetView>
  </sheetViews>
  <sheetFormatPr defaultColWidth="12" defaultRowHeight="15" x14ac:dyDescent="0.2"/>
  <cols>
    <col min="1" max="1" width="9.1640625" style="625" customWidth="1"/>
    <col min="2" max="2" width="82.6640625" style="625" customWidth="1"/>
    <col min="3" max="3" width="24" style="625" customWidth="1"/>
    <col min="4" max="4" width="12" style="625"/>
    <col min="5" max="5" width="22.83203125" style="625" customWidth="1"/>
    <col min="6" max="6" width="16.1640625" style="625" customWidth="1"/>
    <col min="7" max="16384" width="12" style="625"/>
  </cols>
  <sheetData>
    <row r="1" spans="2:3" ht="40.5" customHeight="1" x14ac:dyDescent="0.3">
      <c r="B1" s="1860" t="s">
        <v>1180</v>
      </c>
      <c r="C1" s="1860"/>
    </row>
    <row r="2" spans="2:3" ht="43.5" customHeight="1" thickBot="1" x14ac:dyDescent="0.3">
      <c r="B2" s="626"/>
      <c r="C2" s="627" t="s">
        <v>15</v>
      </c>
    </row>
    <row r="3" spans="2:3" ht="39.950000000000003" customHeight="1" x14ac:dyDescent="0.25">
      <c r="B3" s="1475" t="s">
        <v>711</v>
      </c>
      <c r="C3" s="1484">
        <v>7649426</v>
      </c>
    </row>
    <row r="4" spans="2:3" s="628" customFormat="1" ht="39.950000000000003" customHeight="1" x14ac:dyDescent="0.25">
      <c r="B4" s="1476" t="s">
        <v>712</v>
      </c>
      <c r="C4" s="1485">
        <f>'1 kiemelt előirányzatok telj. '!E20</f>
        <v>38603310</v>
      </c>
    </row>
    <row r="5" spans="2:3" ht="39.950000000000003" customHeight="1" x14ac:dyDescent="0.25">
      <c r="B5" s="1477" t="s">
        <v>713</v>
      </c>
      <c r="C5" s="1486">
        <v>-296267</v>
      </c>
    </row>
    <row r="6" spans="2:3" ht="39.950000000000003" customHeight="1" x14ac:dyDescent="0.25">
      <c r="B6" s="1478" t="s">
        <v>1179</v>
      </c>
      <c r="C6" s="1487">
        <f>(-6797739678-483143544)/1000</f>
        <v>-7280883.2220000001</v>
      </c>
    </row>
    <row r="7" spans="2:3" ht="57" customHeight="1" x14ac:dyDescent="0.25">
      <c r="B7" s="1479" t="s">
        <v>1181</v>
      </c>
      <c r="C7" s="1487">
        <v>-2260</v>
      </c>
    </row>
    <row r="8" spans="2:3" s="628" customFormat="1" ht="39.950000000000003" customHeight="1" x14ac:dyDescent="0.25">
      <c r="B8" s="1476" t="s">
        <v>714</v>
      </c>
      <c r="C8" s="1485">
        <f>-'1 kiemelt előirányzatok telj. '!J20</f>
        <v>-31059665</v>
      </c>
    </row>
    <row r="9" spans="2:3" ht="39.950000000000003" customHeight="1" thickBot="1" x14ac:dyDescent="0.3">
      <c r="B9" s="1480" t="s">
        <v>715</v>
      </c>
      <c r="C9" s="1488">
        <f>SUM(C3:C8)</f>
        <v>7613660.7779999971</v>
      </c>
    </row>
    <row r="10" spans="2:3" ht="39.950000000000003" customHeight="1" x14ac:dyDescent="0.25">
      <c r="B10" s="1481" t="s">
        <v>716</v>
      </c>
      <c r="C10" s="1489"/>
    </row>
    <row r="11" spans="2:3" ht="39.950000000000003" customHeight="1" x14ac:dyDescent="0.25">
      <c r="B11" s="1482" t="s">
        <v>717</v>
      </c>
      <c r="C11" s="1490">
        <v>467199</v>
      </c>
    </row>
    <row r="12" spans="2:3" ht="39.950000000000003" customHeight="1" thickBot="1" x14ac:dyDescent="0.3">
      <c r="B12" s="1483" t="s">
        <v>718</v>
      </c>
      <c r="C12" s="1491">
        <v>7146462</v>
      </c>
    </row>
    <row r="13" spans="2:3" ht="35.1" customHeight="1" x14ac:dyDescent="0.2"/>
    <row r="14" spans="2:3" ht="35.1" customHeight="1" x14ac:dyDescent="0.2"/>
    <row r="15" spans="2:3" ht="35.1" customHeight="1" x14ac:dyDescent="0.2"/>
    <row r="16" spans="2:3" ht="35.1" customHeight="1" x14ac:dyDescent="0.2"/>
    <row r="17" spans="2:3" ht="35.1" customHeight="1" x14ac:dyDescent="0.2"/>
    <row r="18" spans="2:3" ht="35.1" customHeight="1" x14ac:dyDescent="0.2"/>
    <row r="19" spans="2:3" ht="35.1" customHeight="1" x14ac:dyDescent="0.2">
      <c r="B19" s="629"/>
    </row>
    <row r="20" spans="2:3" ht="35.1" customHeight="1" x14ac:dyDescent="0.2"/>
    <row r="21" spans="2:3" ht="35.1" customHeight="1" x14ac:dyDescent="0.2">
      <c r="B21" s="629"/>
      <c r="C21" s="630"/>
    </row>
    <row r="22" spans="2:3" ht="35.1" customHeight="1" x14ac:dyDescent="0.2">
      <c r="C22" s="630"/>
    </row>
    <row r="23" spans="2:3" ht="35.1" customHeight="1" x14ac:dyDescent="0.2"/>
    <row r="24" spans="2:3" ht="35.1" customHeight="1" x14ac:dyDescent="0.2">
      <c r="C24" s="50"/>
    </row>
    <row r="25" spans="2:3" ht="35.1" customHeight="1" x14ac:dyDescent="0.2">
      <c r="B25"/>
      <c r="C25" s="50"/>
    </row>
    <row r="26" spans="2:3" ht="35.1" customHeight="1" x14ac:dyDescent="0.2">
      <c r="B26"/>
      <c r="C26" s="50"/>
    </row>
    <row r="27" spans="2:3" ht="35.1" customHeight="1" x14ac:dyDescent="0.2">
      <c r="B27"/>
      <c r="C27" s="50"/>
    </row>
    <row r="28" spans="2:3" ht="35.1" customHeight="1" x14ac:dyDescent="0.2">
      <c r="C28" s="50"/>
    </row>
    <row r="29" spans="2:3" ht="35.1" customHeight="1" x14ac:dyDescent="0.2">
      <c r="C29" s="50"/>
    </row>
    <row r="30" spans="2:3" ht="35.1" customHeight="1" x14ac:dyDescent="0.2">
      <c r="C30" s="50"/>
    </row>
    <row r="31" spans="2:3" ht="35.1" customHeight="1" x14ac:dyDescent="0.2">
      <c r="C31" s="50"/>
    </row>
    <row r="32" spans="2:3" ht="35.1" customHeight="1" x14ac:dyDescent="0.2">
      <c r="C32" s="50"/>
    </row>
    <row r="33" spans="3:3" ht="35.1" customHeight="1" x14ac:dyDescent="0.2">
      <c r="C33" s="50"/>
    </row>
    <row r="34" spans="3:3" ht="35.1" customHeight="1" x14ac:dyDescent="0.2">
      <c r="C34" s="50"/>
    </row>
    <row r="35" spans="3:3" ht="35.1" customHeight="1" x14ac:dyDescent="0.2">
      <c r="C35" s="50"/>
    </row>
    <row r="36" spans="3:3" ht="35.1" customHeight="1" x14ac:dyDescent="0.2">
      <c r="C36" s="50"/>
    </row>
    <row r="37" spans="3:3" ht="35.1" customHeight="1" x14ac:dyDescent="0.2">
      <c r="C37" s="50"/>
    </row>
    <row r="38" spans="3:3" ht="35.1" customHeight="1" x14ac:dyDescent="0.2">
      <c r="C38" s="50"/>
    </row>
    <row r="39" spans="3:3" ht="35.1" customHeight="1" x14ac:dyDescent="0.2">
      <c r="C39" s="50"/>
    </row>
    <row r="40" spans="3:3" ht="35.1" customHeight="1" x14ac:dyDescent="0.2">
      <c r="C40" s="50"/>
    </row>
    <row r="41" spans="3:3" ht="35.1" customHeight="1" x14ac:dyDescent="0.2">
      <c r="C41" s="50"/>
    </row>
    <row r="42" spans="3:3" ht="35.1" customHeight="1" x14ac:dyDescent="0.2">
      <c r="C42" s="50"/>
    </row>
    <row r="43" spans="3:3" ht="35.1" customHeight="1" x14ac:dyDescent="0.2">
      <c r="C43" s="50"/>
    </row>
    <row r="44" spans="3:3" ht="35.1" customHeight="1" x14ac:dyDescent="0.2">
      <c r="C44" s="50"/>
    </row>
    <row r="45" spans="3:3" ht="35.1" customHeight="1" x14ac:dyDescent="0.2">
      <c r="C45" s="50"/>
    </row>
    <row r="46" spans="3:3" ht="35.1" customHeight="1" x14ac:dyDescent="0.2">
      <c r="C46" s="50"/>
    </row>
    <row r="47" spans="3:3" ht="35.1" customHeight="1" x14ac:dyDescent="0.2">
      <c r="C47" s="50"/>
    </row>
    <row r="48" spans="3:3" ht="35.1" customHeight="1" x14ac:dyDescent="0.2">
      <c r="C48" s="50"/>
    </row>
    <row r="49" spans="3:3" ht="35.1" customHeight="1" x14ac:dyDescent="0.2">
      <c r="C49" s="50"/>
    </row>
    <row r="50" spans="3:3" ht="63" customHeight="1" x14ac:dyDescent="0.2">
      <c r="C50" s="50"/>
    </row>
    <row r="51" spans="3:3" ht="35.1" customHeight="1" x14ac:dyDescent="0.2">
      <c r="C51" s="50"/>
    </row>
    <row r="52" spans="3:3" x14ac:dyDescent="0.2">
      <c r="C52" s="50"/>
    </row>
    <row r="53" spans="3:3" ht="35.1" customHeight="1" x14ac:dyDescent="0.2">
      <c r="C53" s="50"/>
    </row>
    <row r="54" spans="3:3" ht="35.1" customHeight="1" x14ac:dyDescent="0.2">
      <c r="C54" s="50"/>
    </row>
    <row r="55" spans="3:3" ht="35.1" customHeight="1" x14ac:dyDescent="0.2">
      <c r="C55" s="50"/>
    </row>
    <row r="56" spans="3:3" ht="35.1" customHeight="1" x14ac:dyDescent="0.2">
      <c r="C56" s="50"/>
    </row>
    <row r="57" spans="3:3" ht="35.1" customHeight="1" x14ac:dyDescent="0.2">
      <c r="C57" s="50"/>
    </row>
    <row r="58" spans="3:3" ht="35.1" customHeight="1" x14ac:dyDescent="0.2">
      <c r="C58" s="50"/>
    </row>
    <row r="59" spans="3:3" ht="35.1" customHeight="1" x14ac:dyDescent="0.2">
      <c r="C59" s="50"/>
    </row>
    <row r="60" spans="3:3" ht="35.1" customHeight="1" x14ac:dyDescent="0.2">
      <c r="C60" s="50"/>
    </row>
    <row r="61" spans="3:3" ht="35.1" customHeight="1" x14ac:dyDescent="0.2">
      <c r="C61" s="50"/>
    </row>
    <row r="62" spans="3:3" ht="35.1" customHeight="1" x14ac:dyDescent="0.2">
      <c r="C62" s="50"/>
    </row>
    <row r="63" spans="3:3" ht="35.1" customHeight="1" x14ac:dyDescent="0.2">
      <c r="C63" s="50"/>
    </row>
    <row r="64" spans="3:3" ht="35.1" customHeight="1" x14ac:dyDescent="0.2">
      <c r="C64" s="50"/>
    </row>
    <row r="65" spans="3:3" ht="35.1" customHeight="1" x14ac:dyDescent="0.2">
      <c r="C65" s="50"/>
    </row>
    <row r="66" spans="3:3" ht="35.1" customHeight="1" x14ac:dyDescent="0.2">
      <c r="C66" s="50"/>
    </row>
    <row r="67" spans="3:3" ht="35.1" customHeight="1" x14ac:dyDescent="0.2">
      <c r="C67" s="50"/>
    </row>
    <row r="68" spans="3:3" ht="35.1" customHeight="1" x14ac:dyDescent="0.2">
      <c r="C68" s="50"/>
    </row>
    <row r="69" spans="3:3" ht="35.1" customHeight="1" x14ac:dyDescent="0.2">
      <c r="C69" s="50"/>
    </row>
    <row r="70" spans="3:3" ht="35.1" customHeight="1" x14ac:dyDescent="0.2">
      <c r="C70" s="50"/>
    </row>
    <row r="71" spans="3:3" ht="35.1" customHeight="1" x14ac:dyDescent="0.2">
      <c r="C71" s="50"/>
    </row>
    <row r="72" spans="3:3" ht="35.1" customHeight="1" x14ac:dyDescent="0.2">
      <c r="C72" s="50"/>
    </row>
    <row r="73" spans="3:3" ht="35.1" customHeight="1" x14ac:dyDescent="0.2">
      <c r="C73" s="50"/>
    </row>
    <row r="74" spans="3:3" ht="35.1" customHeight="1" x14ac:dyDescent="0.2">
      <c r="C74" s="50"/>
    </row>
    <row r="75" spans="3:3" ht="35.1" customHeight="1" x14ac:dyDescent="0.2">
      <c r="C75" s="50"/>
    </row>
    <row r="76" spans="3:3" ht="35.1" customHeight="1" x14ac:dyDescent="0.2">
      <c r="C76" s="50"/>
    </row>
    <row r="77" spans="3:3" ht="35.1" customHeight="1" x14ac:dyDescent="0.2">
      <c r="C77" s="50"/>
    </row>
    <row r="78" spans="3:3" ht="35.1" customHeight="1" x14ac:dyDescent="0.2">
      <c r="C78" s="50"/>
    </row>
    <row r="79" spans="3:3" ht="35.1" customHeight="1" x14ac:dyDescent="0.2">
      <c r="C79" s="50"/>
    </row>
    <row r="80" spans="3:3" ht="35.1" customHeight="1" x14ac:dyDescent="0.2">
      <c r="C80" s="50"/>
    </row>
    <row r="81" spans="3:3" ht="35.1" customHeight="1" x14ac:dyDescent="0.2">
      <c r="C81" s="50"/>
    </row>
    <row r="82" spans="3:3" ht="35.1" customHeight="1" x14ac:dyDescent="0.2">
      <c r="C82" s="50"/>
    </row>
    <row r="83" spans="3:3" ht="35.1" customHeight="1" x14ac:dyDescent="0.2">
      <c r="C83" s="50"/>
    </row>
    <row r="84" spans="3:3" ht="35.1" customHeight="1" x14ac:dyDescent="0.2">
      <c r="C84" s="50"/>
    </row>
    <row r="85" spans="3:3" ht="70.5" customHeight="1" x14ac:dyDescent="0.2">
      <c r="C85" s="50"/>
    </row>
    <row r="86" spans="3:3" ht="70.5" customHeight="1" x14ac:dyDescent="0.2">
      <c r="C86" s="50"/>
    </row>
    <row r="87" spans="3:3" ht="35.1" customHeight="1" x14ac:dyDescent="0.2">
      <c r="C87" s="50"/>
    </row>
    <row r="88" spans="3:3" ht="35.1" customHeight="1" x14ac:dyDescent="0.2">
      <c r="C88" s="50"/>
    </row>
    <row r="89" spans="3:3" ht="35.1" customHeight="1" x14ac:dyDescent="0.2">
      <c r="C89" s="50"/>
    </row>
    <row r="90" spans="3:3" ht="35.1" customHeight="1" x14ac:dyDescent="0.2">
      <c r="C90" s="50"/>
    </row>
    <row r="91" spans="3:3" ht="35.1" customHeight="1" x14ac:dyDescent="0.2">
      <c r="C91" s="50"/>
    </row>
    <row r="92" spans="3:3" ht="35.1" customHeight="1" x14ac:dyDescent="0.2">
      <c r="C92" s="50"/>
    </row>
    <row r="93" spans="3:3" ht="35.1" customHeight="1" x14ac:dyDescent="0.2">
      <c r="C93" s="50"/>
    </row>
    <row r="94" spans="3:3" ht="35.1" customHeight="1" x14ac:dyDescent="0.2">
      <c r="C94" s="50"/>
    </row>
    <row r="95" spans="3:3" ht="35.1" customHeight="1" x14ac:dyDescent="0.2">
      <c r="C95" s="50"/>
    </row>
    <row r="96" spans="3:3" ht="35.1" customHeight="1" x14ac:dyDescent="0.2">
      <c r="C96" s="50"/>
    </row>
    <row r="97" ht="35.1" customHeight="1" x14ac:dyDescent="0.2"/>
    <row r="98" ht="70.5" customHeight="1" x14ac:dyDescent="0.2"/>
    <row r="99" ht="70.5" customHeight="1" x14ac:dyDescent="0.2"/>
    <row r="100" ht="69" customHeight="1" x14ac:dyDescent="0.2"/>
    <row r="101" ht="35.1" customHeight="1" x14ac:dyDescent="0.2"/>
    <row r="102" ht="75" customHeight="1" x14ac:dyDescent="0.2"/>
    <row r="103" ht="35.1" customHeight="1" x14ac:dyDescent="0.2"/>
    <row r="104" ht="35.1" customHeight="1" x14ac:dyDescent="0.2"/>
    <row r="105" ht="35.1" customHeight="1" x14ac:dyDescent="0.2"/>
    <row r="106" ht="35.1" customHeight="1" x14ac:dyDescent="0.2"/>
    <row r="107" ht="35.1" customHeight="1" x14ac:dyDescent="0.2"/>
    <row r="108" ht="19.5" customHeight="1" x14ac:dyDescent="0.2"/>
  </sheetData>
  <mergeCells count="1">
    <mergeCell ref="B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>
    <oddHeader xml:space="preserve">&amp;R&amp;"Arial CE,Normál"&amp;11 &amp;10 &amp;"Abadi,Félkövér"&amp;11 &amp;"Calibri,Félkövér"&amp;12 19. melléklet a 10/2024. (V.31.) önkormányzati rendelethez </oddHeader>
  </headerFooter>
  <rowBreaks count="1" manualBreakCount="1">
    <brk id="2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2"/>
  <sheetViews>
    <sheetView view="pageLayout" topLeftCell="G27" zoomScaleNormal="75" workbookViewId="0">
      <selection activeCell="F58" sqref="F58"/>
    </sheetView>
  </sheetViews>
  <sheetFormatPr defaultColWidth="9.33203125" defaultRowHeight="15" customHeight="1" x14ac:dyDescent="0.25"/>
  <cols>
    <col min="1" max="1" width="3.1640625" style="21" customWidth="1"/>
    <col min="2" max="2" width="5" style="21" customWidth="1"/>
    <col min="3" max="3" width="84.1640625" style="21" customWidth="1"/>
    <col min="4" max="4" width="26.1640625" style="21" customWidth="1"/>
    <col min="5" max="5" width="26.6640625" style="21" customWidth="1"/>
    <col min="6" max="6" width="25.83203125" style="21" customWidth="1"/>
    <col min="7" max="7" width="27.33203125" style="21" bestFit="1" customWidth="1"/>
    <col min="8" max="8" width="8.5" style="21" customWidth="1"/>
    <col min="9" max="9" width="115.83203125" style="21" customWidth="1"/>
    <col min="10" max="10" width="26.5" style="21" customWidth="1"/>
    <col min="11" max="11" width="26" style="21" customWidth="1"/>
    <col min="12" max="12" width="24.5" style="21" customWidth="1"/>
    <col min="13" max="13" width="23.83203125" style="21" customWidth="1"/>
    <col min="14" max="14" width="17.5" style="21" customWidth="1"/>
    <col min="15" max="15" width="9.33203125" style="21"/>
    <col min="16" max="16" width="34.33203125" style="21" customWidth="1"/>
    <col min="17" max="16384" width="9.33203125" style="21"/>
  </cols>
  <sheetData>
    <row r="1" spans="1:13" ht="15" customHeight="1" x14ac:dyDescent="0.25">
      <c r="C1" s="22"/>
    </row>
    <row r="2" spans="1:13" ht="28.5" customHeight="1" x14ac:dyDescent="0.25">
      <c r="A2" s="1863" t="s">
        <v>174</v>
      </c>
      <c r="B2" s="1863"/>
      <c r="C2" s="1863"/>
      <c r="D2" s="1863"/>
      <c r="E2" s="1863"/>
      <c r="F2" s="1863"/>
      <c r="G2" s="1863"/>
      <c r="H2" s="1863"/>
      <c r="I2" s="1863"/>
      <c r="J2" s="1863"/>
      <c r="K2" s="1863"/>
      <c r="L2" s="1863"/>
      <c r="M2" s="1863"/>
    </row>
    <row r="3" spans="1:13" ht="21" customHeight="1" thickBot="1" x14ac:dyDescent="0.3">
      <c r="A3" s="86"/>
      <c r="B3" s="86"/>
      <c r="C3" s="86"/>
      <c r="D3" s="87"/>
      <c r="E3" s="87"/>
      <c r="F3" s="64"/>
      <c r="G3" s="64"/>
      <c r="H3" s="86"/>
      <c r="I3" s="86"/>
      <c r="J3" s="64"/>
      <c r="K3" s="64"/>
      <c r="L3" s="82"/>
      <c r="M3" s="64" t="s">
        <v>15</v>
      </c>
    </row>
    <row r="4" spans="1:13" ht="24" customHeight="1" x14ac:dyDescent="0.3">
      <c r="A4" s="71" t="s">
        <v>196</v>
      </c>
      <c r="B4" s="162"/>
      <c r="C4" s="444"/>
      <c r="D4" s="1864" t="s">
        <v>514</v>
      </c>
      <c r="E4" s="1864"/>
      <c r="F4" s="147" t="s">
        <v>305</v>
      </c>
      <c r="G4" s="148" t="s">
        <v>90</v>
      </c>
      <c r="H4" s="448" t="s">
        <v>197</v>
      </c>
      <c r="I4" s="323"/>
      <c r="J4" s="1864" t="s">
        <v>514</v>
      </c>
      <c r="K4" s="1864"/>
      <c r="L4" s="147" t="s">
        <v>305</v>
      </c>
      <c r="M4" s="279" t="s">
        <v>90</v>
      </c>
    </row>
    <row r="5" spans="1:13" ht="24.75" customHeight="1" thickBot="1" x14ac:dyDescent="0.35">
      <c r="A5" s="90"/>
      <c r="B5" s="445"/>
      <c r="C5" s="445"/>
      <c r="D5" s="260" t="s">
        <v>184</v>
      </c>
      <c r="E5" s="260" t="s">
        <v>88</v>
      </c>
      <c r="F5" s="261" t="s">
        <v>89</v>
      </c>
      <c r="G5" s="446" t="s">
        <v>91</v>
      </c>
      <c r="H5" s="445"/>
      <c r="I5" s="231"/>
      <c r="J5" s="260" t="s">
        <v>184</v>
      </c>
      <c r="K5" s="260" t="s">
        <v>88</v>
      </c>
      <c r="L5" s="261" t="s">
        <v>89</v>
      </c>
      <c r="M5" s="453" t="s">
        <v>91</v>
      </c>
    </row>
    <row r="6" spans="1:13" ht="30" customHeight="1" x14ac:dyDescent="0.3">
      <c r="A6" s="1039" t="s">
        <v>202</v>
      </c>
      <c r="B6" s="81"/>
      <c r="C6" s="81"/>
      <c r="D6" s="137">
        <f>+'3 bev.részl'!F97</f>
        <v>1950731</v>
      </c>
      <c r="E6" s="137">
        <f>+'3 bev.részl'!G97</f>
        <v>3927199</v>
      </c>
      <c r="F6" s="137">
        <f>+'3 bev.részl'!H97</f>
        <v>3445040</v>
      </c>
      <c r="G6" s="138">
        <f>+F6/E6*100</f>
        <v>87.722572754780188</v>
      </c>
      <c r="H6" s="1001" t="s">
        <v>11</v>
      </c>
      <c r="I6" s="1374"/>
      <c r="J6" s="173">
        <f>+'8 okt.'!C28</f>
        <v>4728919</v>
      </c>
      <c r="K6" s="173">
        <f>+'8 okt.'!D28</f>
        <v>5210912</v>
      </c>
      <c r="L6" s="173">
        <f>+'8 okt.'!E28</f>
        <v>4716563</v>
      </c>
      <c r="M6" s="174">
        <f>+L6/K6*100</f>
        <v>90.513196154531101</v>
      </c>
    </row>
    <row r="7" spans="1:13" ht="30" customHeight="1" x14ac:dyDescent="0.3">
      <c r="A7" s="498" t="s">
        <v>142</v>
      </c>
      <c r="B7" s="73"/>
      <c r="C7" s="73"/>
      <c r="D7" s="139">
        <f>+'3 bev.részl'!F51</f>
        <v>8840888</v>
      </c>
      <c r="E7" s="139">
        <f>+'3 bev.részl'!G51</f>
        <v>8988871</v>
      </c>
      <c r="F7" s="139">
        <f>+'3 bev.részl'!H51</f>
        <v>8988871</v>
      </c>
      <c r="G7" s="140">
        <f t="shared" ref="G7:G10" si="0">+F7/E7*100</f>
        <v>100</v>
      </c>
      <c r="H7" s="498" t="s">
        <v>601</v>
      </c>
      <c r="I7" s="1375"/>
      <c r="J7" s="155">
        <f>+'9 kult.'!B79</f>
        <v>2915925</v>
      </c>
      <c r="K7" s="155">
        <f>+'9 kult.'!C79</f>
        <v>4138611</v>
      </c>
      <c r="L7" s="155">
        <f>+'9 kult.'!D79</f>
        <v>3666442</v>
      </c>
      <c r="M7" s="175">
        <f>+L7/K7*100</f>
        <v>88.591123930226829</v>
      </c>
    </row>
    <row r="8" spans="1:13" ht="30" customHeight="1" x14ac:dyDescent="0.3">
      <c r="A8" s="498" t="s">
        <v>147</v>
      </c>
      <c r="B8" s="73"/>
      <c r="C8" s="73"/>
      <c r="D8" s="139">
        <f>+'3 bev.részl'!F115</f>
        <v>700000</v>
      </c>
      <c r="E8" s="139">
        <f>+'3 bev.részl'!G115</f>
        <v>179056</v>
      </c>
      <c r="F8" s="139">
        <f>+'3 bev.részl'!H115</f>
        <v>110231</v>
      </c>
      <c r="G8" s="140">
        <f t="shared" si="0"/>
        <v>61.562304530426239</v>
      </c>
      <c r="H8" s="498" t="s">
        <v>68</v>
      </c>
      <c r="I8" s="1376"/>
      <c r="J8" s="155">
        <f>+'10 szoc.'!B39</f>
        <v>1713978</v>
      </c>
      <c r="K8" s="155">
        <f>+'10 szoc.'!C39</f>
        <v>2203419</v>
      </c>
      <c r="L8" s="155">
        <f>+'10 szoc.'!D39</f>
        <v>2066559</v>
      </c>
      <c r="M8" s="175">
        <f t="shared" ref="M8:M16" si="1">+L8/K8*100</f>
        <v>93.788743765938293</v>
      </c>
    </row>
    <row r="9" spans="1:13" ht="30" customHeight="1" x14ac:dyDescent="0.3">
      <c r="A9" s="498" t="s">
        <v>83</v>
      </c>
      <c r="B9" s="73"/>
      <c r="C9" s="73"/>
      <c r="D9" s="139">
        <f>+'3 bev.részl'!F65</f>
        <v>11515000</v>
      </c>
      <c r="E9" s="139">
        <f>+'3 bev.részl'!G65</f>
        <v>13764655</v>
      </c>
      <c r="F9" s="139">
        <f>+'3 bev.részl'!H65</f>
        <v>13757712</v>
      </c>
      <c r="G9" s="140">
        <f t="shared" si="0"/>
        <v>99.949559215250943</v>
      </c>
      <c r="H9" s="498" t="s">
        <v>79</v>
      </c>
      <c r="I9" s="1376"/>
      <c r="J9" s="155">
        <f>+'11 eü.'!B23</f>
        <v>1244008</v>
      </c>
      <c r="K9" s="155">
        <f>+'11 eü.'!C23</f>
        <v>1388293</v>
      </c>
      <c r="L9" s="155">
        <f>+'11 eü.'!D23</f>
        <v>1188905</v>
      </c>
      <c r="M9" s="175">
        <f t="shared" si="1"/>
        <v>85.63790208551076</v>
      </c>
    </row>
    <row r="10" spans="1:13" ht="30" customHeight="1" x14ac:dyDescent="0.3">
      <c r="A10" s="498" t="s">
        <v>337</v>
      </c>
      <c r="B10" s="73"/>
      <c r="C10" s="73"/>
      <c r="D10" s="139">
        <f>+'3 bev.részl'!F128</f>
        <v>2044691</v>
      </c>
      <c r="E10" s="139">
        <f>+'3 bev.részl'!G128</f>
        <v>2573957</v>
      </c>
      <c r="F10" s="139">
        <f>+'3 bev.részl'!H128</f>
        <v>2512322</v>
      </c>
      <c r="G10" s="140">
        <f t="shared" si="0"/>
        <v>97.605437853079906</v>
      </c>
      <c r="H10" s="498" t="s">
        <v>335</v>
      </c>
      <c r="I10" s="1376"/>
      <c r="J10" s="155">
        <f>+'12 Gyerm.'!B13</f>
        <v>1446902</v>
      </c>
      <c r="K10" s="155">
        <f>+'12 Gyerm.'!C13</f>
        <v>1560222</v>
      </c>
      <c r="L10" s="155">
        <f>+'12 Gyerm.'!D13</f>
        <v>1540633</v>
      </c>
      <c r="M10" s="175">
        <f t="shared" si="1"/>
        <v>98.74447354286761</v>
      </c>
    </row>
    <row r="11" spans="1:13" ht="30" customHeight="1" x14ac:dyDescent="0.3">
      <c r="A11" s="72"/>
      <c r="B11" s="60"/>
      <c r="C11" s="60"/>
      <c r="D11" s="137"/>
      <c r="E11" s="137"/>
      <c r="F11" s="137"/>
      <c r="G11" s="379"/>
      <c r="H11" s="498" t="s">
        <v>336</v>
      </c>
      <c r="I11" s="1375"/>
      <c r="J11" s="155">
        <f>+'13 egyéb'!B101</f>
        <v>10538442</v>
      </c>
      <c r="K11" s="155">
        <f>+'13 egyéb'!C101</f>
        <v>11120167</v>
      </c>
      <c r="L11" s="155">
        <f>+'13 egyéb'!D101</f>
        <v>10689170</v>
      </c>
      <c r="M11" s="175">
        <f t="shared" si="1"/>
        <v>96.124185904762044</v>
      </c>
    </row>
    <row r="12" spans="1:13" ht="30" customHeight="1" x14ac:dyDescent="0.3">
      <c r="A12" s="72"/>
      <c r="B12" s="60"/>
      <c r="C12" s="60"/>
      <c r="D12" s="137"/>
      <c r="E12" s="137"/>
      <c r="F12" s="137"/>
      <c r="G12" s="141"/>
      <c r="H12" s="498" t="s">
        <v>183</v>
      </c>
      <c r="I12" s="1377"/>
      <c r="J12" s="155">
        <f>+'14 sport'!B22</f>
        <v>975877</v>
      </c>
      <c r="K12" s="155">
        <f>+'14 sport'!C22</f>
        <v>1079769</v>
      </c>
      <c r="L12" s="155">
        <f>+'14 sport'!D22</f>
        <v>1031447</v>
      </c>
      <c r="M12" s="175">
        <f t="shared" si="1"/>
        <v>95.524783541664931</v>
      </c>
    </row>
    <row r="13" spans="1:13" ht="30" customHeight="1" x14ac:dyDescent="0.3">
      <c r="A13" s="72"/>
      <c r="B13" s="82"/>
      <c r="C13" s="60"/>
      <c r="D13" s="137"/>
      <c r="E13" s="137"/>
      <c r="F13" s="137"/>
      <c r="G13" s="141"/>
      <c r="H13" s="498" t="s">
        <v>148</v>
      </c>
      <c r="I13" s="1378"/>
      <c r="J13" s="155">
        <f>+'15 város.ü.,körny'!F26</f>
        <v>1813488</v>
      </c>
      <c r="K13" s="155">
        <f>+'15 város.ü.,körny'!G26</f>
        <v>2082332</v>
      </c>
      <c r="L13" s="155">
        <f>+'15 város.ü.,körny'!H26</f>
        <v>1878154</v>
      </c>
      <c r="M13" s="175">
        <f t="shared" si="1"/>
        <v>90.194743201372304</v>
      </c>
    </row>
    <row r="14" spans="1:13" ht="30" customHeight="1" x14ac:dyDescent="0.3">
      <c r="A14" s="72"/>
      <c r="B14" s="82"/>
      <c r="C14" s="60"/>
      <c r="D14" s="137"/>
      <c r="E14" s="137"/>
      <c r="F14" s="137"/>
      <c r="G14" s="141"/>
      <c r="H14" s="498" t="s">
        <v>175</v>
      </c>
      <c r="I14" s="1378"/>
      <c r="J14" s="155">
        <f>+'16 út-híd'!B40</f>
        <v>550000</v>
      </c>
      <c r="K14" s="155">
        <f>+'16 út-híd'!C40</f>
        <v>1379593</v>
      </c>
      <c r="L14" s="155">
        <f>+'16 út-híd'!D40</f>
        <v>582104</v>
      </c>
      <c r="M14" s="175">
        <f t="shared" si="1"/>
        <v>42.193893416391646</v>
      </c>
    </row>
    <row r="15" spans="1:13" ht="30" customHeight="1" x14ac:dyDescent="0.3">
      <c r="A15" s="72"/>
      <c r="B15" s="82"/>
      <c r="C15" s="60"/>
      <c r="D15" s="137"/>
      <c r="E15" s="137"/>
      <c r="F15" s="137"/>
      <c r="G15" s="141"/>
      <c r="H15" s="976" t="s">
        <v>51</v>
      </c>
      <c r="I15" s="1001"/>
      <c r="J15" s="173"/>
      <c r="K15" s="173"/>
      <c r="L15" s="173"/>
      <c r="M15" s="955"/>
    </row>
    <row r="16" spans="1:13" ht="18.75" x14ac:dyDescent="0.3">
      <c r="A16" s="72"/>
      <c r="B16" s="82"/>
      <c r="C16" s="60"/>
      <c r="D16" s="137"/>
      <c r="E16" s="137"/>
      <c r="F16" s="137"/>
      <c r="G16" s="141"/>
      <c r="H16" s="976"/>
      <c r="I16" s="1001" t="s">
        <v>599</v>
      </c>
      <c r="J16" s="173"/>
      <c r="K16" s="173">
        <v>2446031</v>
      </c>
      <c r="L16" s="173"/>
      <c r="M16" s="190">
        <f t="shared" si="1"/>
        <v>0</v>
      </c>
    </row>
    <row r="17" spans="1:13" ht="30" customHeight="1" x14ac:dyDescent="0.3">
      <c r="A17" s="77"/>
      <c r="B17" s="81"/>
      <c r="C17" s="81"/>
      <c r="D17" s="137"/>
      <c r="E17" s="137"/>
      <c r="F17" s="137"/>
      <c r="G17" s="141"/>
      <c r="H17" s="1001"/>
      <c r="I17" s="1073" t="s">
        <v>203</v>
      </c>
      <c r="J17" s="139">
        <v>142714</v>
      </c>
      <c r="K17" s="139">
        <v>0</v>
      </c>
      <c r="L17" s="139"/>
      <c r="M17" s="175"/>
    </row>
    <row r="18" spans="1:13" ht="30" customHeight="1" x14ac:dyDescent="0.3">
      <c r="A18" s="77"/>
      <c r="B18" s="81"/>
      <c r="C18" s="81"/>
      <c r="D18" s="137"/>
      <c r="E18" s="137"/>
      <c r="F18" s="137"/>
      <c r="G18" s="141"/>
      <c r="H18" s="1001"/>
      <c r="I18" s="1077" t="s">
        <v>210</v>
      </c>
      <c r="J18" s="139">
        <v>5109</v>
      </c>
      <c r="K18" s="139">
        <v>0</v>
      </c>
      <c r="L18" s="139"/>
      <c r="M18" s="175"/>
    </row>
    <row r="19" spans="1:13" ht="30" customHeight="1" x14ac:dyDescent="0.3">
      <c r="A19" s="77"/>
      <c r="B19" s="81"/>
      <c r="C19" s="81"/>
      <c r="D19" s="137"/>
      <c r="E19" s="137"/>
      <c r="F19" s="137"/>
      <c r="G19" s="141"/>
      <c r="H19" s="1001"/>
      <c r="I19" s="1077" t="s">
        <v>521</v>
      </c>
      <c r="J19" s="166">
        <v>311928</v>
      </c>
      <c r="K19" s="166">
        <v>0</v>
      </c>
      <c r="L19" s="176"/>
      <c r="M19" s="175"/>
    </row>
    <row r="20" spans="1:13" ht="30" customHeight="1" x14ac:dyDescent="0.3">
      <c r="A20" s="77"/>
      <c r="B20" s="81"/>
      <c r="C20" s="81"/>
      <c r="D20" s="137"/>
      <c r="E20" s="137"/>
      <c r="F20" s="137"/>
      <c r="G20" s="141"/>
      <c r="H20" s="1001"/>
      <c r="I20" s="1077" t="s">
        <v>470</v>
      </c>
      <c r="J20" s="166"/>
      <c r="K20" s="166">
        <v>0</v>
      </c>
      <c r="L20" s="176"/>
      <c r="M20" s="175"/>
    </row>
    <row r="21" spans="1:13" ht="30" customHeight="1" x14ac:dyDescent="0.3">
      <c r="A21" s="77"/>
      <c r="B21" s="81"/>
      <c r="C21" s="81"/>
      <c r="D21" s="137"/>
      <c r="E21" s="137"/>
      <c r="F21" s="137"/>
      <c r="G21" s="141"/>
      <c r="H21" s="1001"/>
      <c r="I21" s="1077" t="s">
        <v>471</v>
      </c>
      <c r="J21" s="166">
        <v>300000</v>
      </c>
      <c r="K21" s="463">
        <v>0</v>
      </c>
      <c r="L21" s="176"/>
      <c r="M21" s="175"/>
    </row>
    <row r="22" spans="1:13" ht="30" customHeight="1" x14ac:dyDescent="0.3">
      <c r="A22" s="77"/>
      <c r="B22" s="81"/>
      <c r="C22" s="81"/>
      <c r="D22" s="137"/>
      <c r="E22" s="137"/>
      <c r="F22" s="137"/>
      <c r="G22" s="141"/>
      <c r="H22" s="1001"/>
      <c r="I22" s="1133" t="s">
        <v>366</v>
      </c>
      <c r="J22" s="166">
        <v>1753</v>
      </c>
      <c r="K22" s="166">
        <v>0</v>
      </c>
      <c r="L22" s="176"/>
      <c r="M22" s="175"/>
    </row>
    <row r="23" spans="1:13" ht="30" customHeight="1" x14ac:dyDescent="0.3">
      <c r="A23" s="77"/>
      <c r="B23" s="81"/>
      <c r="C23" s="81"/>
      <c r="D23" s="137"/>
      <c r="E23" s="137"/>
      <c r="F23" s="137"/>
      <c r="G23" s="141"/>
      <c r="H23" s="1001"/>
      <c r="I23" s="1133" t="s">
        <v>441</v>
      </c>
      <c r="J23" s="166">
        <v>150000</v>
      </c>
      <c r="K23" s="166">
        <v>0</v>
      </c>
      <c r="L23" s="139"/>
      <c r="M23" s="175"/>
    </row>
    <row r="24" spans="1:13" ht="30" customHeight="1" thickBot="1" x14ac:dyDescent="0.35">
      <c r="A24" s="74"/>
      <c r="B24" s="60"/>
      <c r="C24" s="82"/>
      <c r="D24" s="137"/>
      <c r="E24" s="137"/>
      <c r="F24" s="137"/>
      <c r="G24" s="141"/>
      <c r="H24" s="1379"/>
      <c r="I24" s="1133" t="s">
        <v>522</v>
      </c>
      <c r="J24" s="137">
        <v>300000</v>
      </c>
      <c r="K24" s="137">
        <v>0</v>
      </c>
      <c r="L24" s="137"/>
      <c r="M24" s="175"/>
    </row>
    <row r="25" spans="1:13" ht="30" customHeight="1" thickBot="1" x14ac:dyDescent="0.35">
      <c r="A25" s="91"/>
      <c r="B25" s="92"/>
      <c r="C25" s="93"/>
      <c r="D25" s="142"/>
      <c r="E25" s="142"/>
      <c r="F25" s="142"/>
      <c r="G25" s="143"/>
      <c r="H25" s="977" t="s">
        <v>149</v>
      </c>
      <c r="I25" s="1408"/>
      <c r="J25" s="159">
        <f>SUM(J17:J24)</f>
        <v>1211504</v>
      </c>
      <c r="K25" s="159">
        <f>SUM(K16:K24)</f>
        <v>2446031</v>
      </c>
      <c r="L25" s="159">
        <f>SUM(L17:L24)</f>
        <v>0</v>
      </c>
      <c r="M25" s="177">
        <f>+L25/J25*100</f>
        <v>0</v>
      </c>
    </row>
    <row r="26" spans="1:13" ht="30" customHeight="1" thickBot="1" x14ac:dyDescent="0.35">
      <c r="A26" s="1865" t="s">
        <v>150</v>
      </c>
      <c r="B26" s="1866"/>
      <c r="C26" s="1867"/>
      <c r="D26" s="144">
        <f>SUM(D6:D25)</f>
        <v>25051310</v>
      </c>
      <c r="E26" s="144">
        <f>SUM(E6:E25)</f>
        <v>29433738</v>
      </c>
      <c r="F26" s="144">
        <f>SUM(F6:F25)</f>
        <v>28814176</v>
      </c>
      <c r="G26" s="145">
        <f>+F26/E26*100</f>
        <v>97.895061782502793</v>
      </c>
      <c r="H26" s="1868" t="s">
        <v>182</v>
      </c>
      <c r="I26" s="1869"/>
      <c r="J26" s="178">
        <f>+J25+J14+J13+J12+J11+J10+J9+J8+J7+J6</f>
        <v>27139043</v>
      </c>
      <c r="K26" s="178">
        <f>+K25+K14+K13+K12+K11+K10+K9+K8+K7+K6</f>
        <v>32609349</v>
      </c>
      <c r="L26" s="178">
        <f>+L25+L14+L13+L12+L11+L10+L9+L8+L7+L6</f>
        <v>27359977</v>
      </c>
      <c r="M26" s="179">
        <f>+L26/J26*100</f>
        <v>100.81408176404747</v>
      </c>
    </row>
    <row r="27" spans="1:13" ht="18.75" customHeight="1" thickBot="1" x14ac:dyDescent="0.35">
      <c r="A27" s="94"/>
      <c r="B27" s="94"/>
      <c r="C27" s="94"/>
      <c r="D27" s="146"/>
      <c r="E27" s="146"/>
      <c r="F27" s="146"/>
      <c r="G27" s="146"/>
      <c r="H27" s="86"/>
      <c r="I27" s="86"/>
      <c r="J27" s="1728"/>
      <c r="K27" s="1728"/>
      <c r="L27" s="1728"/>
      <c r="M27" s="180" t="s">
        <v>15</v>
      </c>
    </row>
    <row r="28" spans="1:13" ht="24.75" customHeight="1" x14ac:dyDescent="0.3">
      <c r="A28" s="447"/>
      <c r="B28" s="448"/>
      <c r="C28" s="448" t="s">
        <v>244</v>
      </c>
      <c r="D28" s="1864" t="s">
        <v>514</v>
      </c>
      <c r="E28" s="1864"/>
      <c r="F28" s="147" t="s">
        <v>305</v>
      </c>
      <c r="G28" s="148" t="s">
        <v>90</v>
      </c>
      <c r="H28" s="454"/>
      <c r="I28" s="448" t="s">
        <v>151</v>
      </c>
      <c r="J28" s="1864" t="s">
        <v>514</v>
      </c>
      <c r="K28" s="1864"/>
      <c r="L28" s="147" t="s">
        <v>305</v>
      </c>
      <c r="M28" s="181" t="s">
        <v>90</v>
      </c>
    </row>
    <row r="29" spans="1:13" ht="24" customHeight="1" thickBot="1" x14ac:dyDescent="0.35">
      <c r="A29" s="449"/>
      <c r="B29" s="450"/>
      <c r="C29" s="450"/>
      <c r="D29" s="260" t="s">
        <v>184</v>
      </c>
      <c r="E29" s="260" t="s">
        <v>88</v>
      </c>
      <c r="F29" s="149" t="s">
        <v>89</v>
      </c>
      <c r="G29" s="150" t="s">
        <v>91</v>
      </c>
      <c r="H29" s="455"/>
      <c r="I29" s="450"/>
      <c r="J29" s="260" t="s">
        <v>184</v>
      </c>
      <c r="K29" s="260" t="s">
        <v>88</v>
      </c>
      <c r="L29" s="149" t="s">
        <v>89</v>
      </c>
      <c r="M29" s="182" t="s">
        <v>91</v>
      </c>
    </row>
    <row r="30" spans="1:13" ht="18.75" customHeight="1" thickBot="1" x14ac:dyDescent="0.35">
      <c r="A30" s="451"/>
      <c r="B30" s="452"/>
      <c r="C30" s="452"/>
      <c r="D30" s="151"/>
      <c r="E30" s="151"/>
      <c r="F30" s="151"/>
      <c r="G30" s="152"/>
      <c r="H30" s="456"/>
      <c r="I30" s="457"/>
      <c r="J30" s="151"/>
      <c r="K30" s="151"/>
      <c r="L30" s="151"/>
      <c r="M30" s="183"/>
    </row>
    <row r="31" spans="1:13" ht="30" customHeight="1" x14ac:dyDescent="0.3">
      <c r="A31" s="1380" t="s">
        <v>158</v>
      </c>
      <c r="B31" s="1381"/>
      <c r="C31" s="97"/>
      <c r="D31" s="137">
        <f>+'17 fbev.'!C26</f>
        <v>666911</v>
      </c>
      <c r="E31" s="137">
        <f>+'17 fbev.'!D26</f>
        <v>1204487</v>
      </c>
      <c r="F31" s="137">
        <f>+'17 fbev.'!E26</f>
        <v>1203487</v>
      </c>
      <c r="G31" s="153">
        <f t="shared" ref="G31:G34" si="2">+F31/E31*100</f>
        <v>99.916977103115272</v>
      </c>
      <c r="H31" s="976" t="s">
        <v>152</v>
      </c>
      <c r="I31" s="1374"/>
      <c r="J31" s="156"/>
      <c r="K31" s="156"/>
      <c r="L31" s="156"/>
      <c r="M31" s="184"/>
    </row>
    <row r="32" spans="1:13" ht="30" customHeight="1" x14ac:dyDescent="0.3">
      <c r="A32" s="1382" t="s">
        <v>153</v>
      </c>
      <c r="B32" s="1378"/>
      <c r="C32" s="98"/>
      <c r="D32" s="139">
        <f>+'17 fbev.'!C19</f>
        <v>0</v>
      </c>
      <c r="E32" s="139">
        <f>+'17 fbev.'!D19</f>
        <v>1303148</v>
      </c>
      <c r="F32" s="139">
        <f>+'17 fbev.'!E19</f>
        <v>734277</v>
      </c>
      <c r="G32" s="154">
        <f t="shared" si="2"/>
        <v>56.346401176228646</v>
      </c>
      <c r="H32" s="498" t="s">
        <v>11</v>
      </c>
      <c r="I32" s="1386"/>
      <c r="J32" s="155">
        <f>+'8 okt.'!C36</f>
        <v>0</v>
      </c>
      <c r="K32" s="155">
        <f>+'8 okt.'!D36</f>
        <v>188989</v>
      </c>
      <c r="L32" s="155">
        <f>+'8 okt.'!E36</f>
        <v>93571</v>
      </c>
      <c r="M32" s="175">
        <f t="shared" ref="M32:M37" si="3">+L32/K32*100</f>
        <v>49.511347221266846</v>
      </c>
    </row>
    <row r="33" spans="1:13" ht="30" customHeight="1" x14ac:dyDescent="0.3">
      <c r="A33" s="1382" t="s">
        <v>154</v>
      </c>
      <c r="B33" s="1383"/>
      <c r="C33" s="98"/>
      <c r="D33" s="139">
        <f>+'17 fbev.'!C36</f>
        <v>11000</v>
      </c>
      <c r="E33" s="139">
        <f>+'17 fbev.'!D36</f>
        <v>377400</v>
      </c>
      <c r="F33" s="139">
        <f>+'17 fbev.'!E36</f>
        <v>274386</v>
      </c>
      <c r="G33" s="154">
        <f t="shared" si="2"/>
        <v>72.704292527821934</v>
      </c>
      <c r="H33" s="498" t="s">
        <v>601</v>
      </c>
      <c r="I33" s="1386"/>
      <c r="J33" s="155">
        <f>+'9 kult.'!B90</f>
        <v>0</v>
      </c>
      <c r="K33" s="155">
        <f>+'9 kult.'!C90</f>
        <v>108266</v>
      </c>
      <c r="L33" s="155">
        <f>+'9 kult.'!D90</f>
        <v>40405</v>
      </c>
      <c r="M33" s="175">
        <f t="shared" si="3"/>
        <v>37.320118966249794</v>
      </c>
    </row>
    <row r="34" spans="1:13" ht="30" customHeight="1" x14ac:dyDescent="0.3">
      <c r="A34" s="1384" t="s">
        <v>338</v>
      </c>
      <c r="B34" s="1385"/>
      <c r="C34" s="99"/>
      <c r="D34" s="155">
        <f>'17 fbev.'!C50</f>
        <v>2995</v>
      </c>
      <c r="E34" s="155">
        <f>'17 fbev.'!D50</f>
        <v>38832</v>
      </c>
      <c r="F34" s="155">
        <f>'17 fbev.'!E50</f>
        <v>38833</v>
      </c>
      <c r="G34" s="154">
        <f t="shared" si="2"/>
        <v>100.00257519571487</v>
      </c>
      <c r="H34" s="498" t="s">
        <v>68</v>
      </c>
      <c r="I34" s="1386"/>
      <c r="J34" s="155">
        <f>+'10 szoc.'!B47</f>
        <v>0</v>
      </c>
      <c r="K34" s="155">
        <f>+'10 szoc.'!C47</f>
        <v>85640</v>
      </c>
      <c r="L34" s="155">
        <f>+'10 szoc.'!D47</f>
        <v>19307</v>
      </c>
      <c r="M34" s="175">
        <f t="shared" si="3"/>
        <v>22.544371788883698</v>
      </c>
    </row>
    <row r="35" spans="1:13" ht="30" customHeight="1" x14ac:dyDescent="0.3">
      <c r="A35" s="100"/>
      <c r="B35" s="97"/>
      <c r="C35" s="97"/>
      <c r="D35" s="156"/>
      <c r="E35" s="156"/>
      <c r="F35" s="156"/>
      <c r="G35" s="157"/>
      <c r="H35" s="498" t="s">
        <v>79</v>
      </c>
      <c r="I35" s="1386"/>
      <c r="J35" s="155">
        <f>+'11 eü.'!B31</f>
        <v>4773</v>
      </c>
      <c r="K35" s="155">
        <f>+'11 eü.'!C31</f>
        <v>36797</v>
      </c>
      <c r="L35" s="155">
        <f>+'11 eü.'!D31</f>
        <v>34434</v>
      </c>
      <c r="M35" s="175">
        <f t="shared" si="3"/>
        <v>93.578280838111809</v>
      </c>
    </row>
    <row r="36" spans="1:13" ht="30" customHeight="1" x14ac:dyDescent="0.3">
      <c r="A36" s="100"/>
      <c r="B36" s="97"/>
      <c r="C36" s="97"/>
      <c r="D36" s="156"/>
      <c r="E36" s="156"/>
      <c r="F36" s="156"/>
      <c r="G36" s="157"/>
      <c r="H36" s="498" t="s">
        <v>339</v>
      </c>
      <c r="I36" s="1386"/>
      <c r="J36" s="155">
        <f>+'12 Gyerm.'!B21</f>
        <v>0</v>
      </c>
      <c r="K36" s="155">
        <f>+'12 Gyerm.'!C21</f>
        <v>54090</v>
      </c>
      <c r="L36" s="155">
        <f>+'12 Gyerm.'!D21</f>
        <v>21846</v>
      </c>
      <c r="M36" s="175">
        <f t="shared" si="3"/>
        <v>40.388241819190242</v>
      </c>
    </row>
    <row r="37" spans="1:13" ht="30" customHeight="1" thickBot="1" x14ac:dyDescent="0.35">
      <c r="A37" s="101"/>
      <c r="B37" s="102"/>
      <c r="C37" s="102"/>
      <c r="D37" s="156"/>
      <c r="E37" s="156"/>
      <c r="F37" s="156"/>
      <c r="G37" s="157"/>
      <c r="H37" s="498" t="s">
        <v>336</v>
      </c>
      <c r="I37" s="1386"/>
      <c r="J37" s="155">
        <f>+'13 egyéb'!B110</f>
        <v>18000</v>
      </c>
      <c r="K37" s="155">
        <f>+'13 egyéb'!C110</f>
        <v>59034</v>
      </c>
      <c r="L37" s="155">
        <f>+'13 egyéb'!D110</f>
        <v>51490</v>
      </c>
      <c r="M37" s="175">
        <f t="shared" si="3"/>
        <v>87.220923535589662</v>
      </c>
    </row>
    <row r="38" spans="1:13" ht="30" customHeight="1" thickBot="1" x14ac:dyDescent="0.35">
      <c r="A38" s="101"/>
      <c r="B38" s="102"/>
      <c r="C38" s="102"/>
      <c r="D38" s="156"/>
      <c r="E38" s="156"/>
      <c r="F38" s="156"/>
      <c r="G38" s="158"/>
      <c r="H38" s="977" t="s">
        <v>155</v>
      </c>
      <c r="I38" s="1387"/>
      <c r="J38" s="185">
        <f>SUM(J31:J37)</f>
        <v>22773</v>
      </c>
      <c r="K38" s="185">
        <f>SUM(K31:K37)</f>
        <v>532816</v>
      </c>
      <c r="L38" s="185">
        <f>SUM(L31:L37)</f>
        <v>261053</v>
      </c>
      <c r="M38" s="160">
        <f>+L38/K38*100</f>
        <v>48.994962613735318</v>
      </c>
    </row>
    <row r="39" spans="1:13" ht="30" customHeight="1" x14ac:dyDescent="0.3">
      <c r="A39" s="72"/>
      <c r="B39" s="82"/>
      <c r="C39" s="82"/>
      <c r="D39" s="137"/>
      <c r="E39" s="137"/>
      <c r="F39" s="137"/>
      <c r="G39" s="141"/>
      <c r="H39" s="1001" t="s">
        <v>81</v>
      </c>
      <c r="I39" s="1381"/>
      <c r="J39" s="137">
        <f>+'18 fkia.'!D9</f>
        <v>0</v>
      </c>
      <c r="K39" s="137">
        <f>+'18 fkia.'!E9</f>
        <v>44785</v>
      </c>
      <c r="L39" s="137">
        <f>+'18 fkia.'!F9</f>
        <v>0</v>
      </c>
      <c r="M39" s="175">
        <f t="shared" ref="M39:M45" si="4">+L39/K39*100</f>
        <v>0</v>
      </c>
    </row>
    <row r="40" spans="1:13" ht="30" customHeight="1" x14ac:dyDescent="0.3">
      <c r="A40" s="72"/>
      <c r="B40" s="82"/>
      <c r="C40" s="82"/>
      <c r="D40" s="137"/>
      <c r="E40" s="137"/>
      <c r="F40" s="137"/>
      <c r="G40" s="141"/>
      <c r="H40" s="498" t="s">
        <v>32</v>
      </c>
      <c r="I40" s="1378"/>
      <c r="J40" s="139">
        <f>+'18 fkia.'!D12</f>
        <v>0</v>
      </c>
      <c r="K40" s="139">
        <f>+'18 fkia.'!E12</f>
        <v>1251</v>
      </c>
      <c r="L40" s="139">
        <f>+'18 fkia.'!F12</f>
        <v>1251</v>
      </c>
      <c r="M40" s="175">
        <f t="shared" si="4"/>
        <v>100</v>
      </c>
    </row>
    <row r="41" spans="1:13" ht="30" customHeight="1" x14ac:dyDescent="0.3">
      <c r="A41" s="72"/>
      <c r="B41" s="82"/>
      <c r="C41" s="82"/>
      <c r="D41" s="137"/>
      <c r="E41" s="137"/>
      <c r="F41" s="137"/>
      <c r="G41" s="141"/>
      <c r="H41" s="498" t="s">
        <v>164</v>
      </c>
      <c r="I41" s="1377"/>
      <c r="J41" s="139">
        <f>+'18 fkia.'!D15</f>
        <v>0</v>
      </c>
      <c r="K41" s="139">
        <f>+'18 fkia.'!E15</f>
        <v>5000</v>
      </c>
      <c r="L41" s="139">
        <f>+'18 fkia.'!F15</f>
        <v>5000</v>
      </c>
      <c r="M41" s="175">
        <f t="shared" si="4"/>
        <v>100</v>
      </c>
    </row>
    <row r="42" spans="1:13" ht="30" customHeight="1" x14ac:dyDescent="0.3">
      <c r="A42" s="103"/>
      <c r="B42" s="104"/>
      <c r="C42" s="82"/>
      <c r="D42" s="137"/>
      <c r="E42" s="137"/>
      <c r="F42" s="137"/>
      <c r="G42" s="141"/>
      <c r="H42" s="498" t="s">
        <v>168</v>
      </c>
      <c r="I42" s="1377"/>
      <c r="J42" s="139">
        <f>+'18 fkia.'!D18</f>
        <v>0</v>
      </c>
      <c r="K42" s="139">
        <f>+'18 fkia.'!E18</f>
        <v>758</v>
      </c>
      <c r="L42" s="139">
        <f>+'18 fkia.'!F18</f>
        <v>27</v>
      </c>
      <c r="M42" s="175">
        <f t="shared" si="4"/>
        <v>3.5620052770448551</v>
      </c>
    </row>
    <row r="43" spans="1:13" ht="30" customHeight="1" x14ac:dyDescent="0.3">
      <c r="A43" s="103"/>
      <c r="B43" s="104"/>
      <c r="C43" s="105"/>
      <c r="D43" s="137"/>
      <c r="E43" s="137"/>
      <c r="F43" s="137"/>
      <c r="G43" s="141"/>
      <c r="H43" s="498" t="s">
        <v>173</v>
      </c>
      <c r="I43" s="1377"/>
      <c r="J43" s="139">
        <f>+'18 fkia.'!D113</f>
        <v>3660213</v>
      </c>
      <c r="K43" s="139">
        <f>+'18 fkia.'!E113</f>
        <v>6078542</v>
      </c>
      <c r="L43" s="139">
        <f>+'18 fkia.'!F113</f>
        <v>3073151</v>
      </c>
      <c r="M43" s="175">
        <f t="shared" si="4"/>
        <v>50.55737050101817</v>
      </c>
    </row>
    <row r="44" spans="1:13" ht="30" customHeight="1" x14ac:dyDescent="0.3">
      <c r="A44" s="79"/>
      <c r="B44" s="80"/>
      <c r="C44" s="105"/>
      <c r="D44" s="137"/>
      <c r="E44" s="137"/>
      <c r="F44" s="137"/>
      <c r="G44" s="141"/>
      <c r="H44" s="498" t="s">
        <v>602</v>
      </c>
      <c r="I44" s="1073"/>
      <c r="J44" s="139">
        <f>+'18 fkia.'!D116</f>
        <v>0</v>
      </c>
      <c r="K44" s="139">
        <f>+'18 fkia.'!E116</f>
        <v>0</v>
      </c>
      <c r="L44" s="139">
        <f>+'18 fkia.'!F116</f>
        <v>0</v>
      </c>
      <c r="M44" s="175"/>
    </row>
    <row r="45" spans="1:13" ht="30" customHeight="1" x14ac:dyDescent="0.3">
      <c r="A45" s="79"/>
      <c r="B45" s="80"/>
      <c r="C45" s="105"/>
      <c r="D45" s="137"/>
      <c r="E45" s="137"/>
      <c r="F45" s="137"/>
      <c r="G45" s="141"/>
      <c r="H45" s="1001" t="s">
        <v>53</v>
      </c>
      <c r="I45" s="1001"/>
      <c r="J45" s="137">
        <f>+'18 fkia.'!D117</f>
        <v>10000</v>
      </c>
      <c r="K45" s="137">
        <f>+'18 fkia.'!E117</f>
        <v>10600</v>
      </c>
      <c r="L45" s="137">
        <f>+'18 fkia.'!F117</f>
        <v>3819</v>
      </c>
      <c r="M45" s="175">
        <f t="shared" si="4"/>
        <v>36.028301886792455</v>
      </c>
    </row>
    <row r="46" spans="1:13" ht="30" customHeight="1" thickBot="1" x14ac:dyDescent="0.35">
      <c r="A46" s="79"/>
      <c r="B46" s="80"/>
      <c r="C46" s="105"/>
      <c r="D46" s="137"/>
      <c r="E46" s="137"/>
      <c r="F46" s="137"/>
      <c r="G46" s="141"/>
      <c r="H46" s="1388" t="s">
        <v>156</v>
      </c>
      <c r="I46" s="1389"/>
      <c r="J46" s="186">
        <f>SUM(J39:J45)</f>
        <v>3670213</v>
      </c>
      <c r="K46" s="186">
        <f>SUM(K39:K45)</f>
        <v>6140936</v>
      </c>
      <c r="L46" s="186">
        <f>SUM(L39:L45)</f>
        <v>3083248</v>
      </c>
      <c r="M46" s="187">
        <f>+L46/K46*100</f>
        <v>50.208111597320013</v>
      </c>
    </row>
    <row r="47" spans="1:13" ht="30" customHeight="1" thickBot="1" x14ac:dyDescent="0.35">
      <c r="A47" s="1868" t="s">
        <v>301</v>
      </c>
      <c r="B47" s="1870"/>
      <c r="C47" s="1869"/>
      <c r="D47" s="159">
        <f>SUM(D31:D46)</f>
        <v>680906</v>
      </c>
      <c r="E47" s="159">
        <f>SUM(E31:E46)</f>
        <v>2923867</v>
      </c>
      <c r="F47" s="159">
        <f>SUM(F31:F46)</f>
        <v>2250983</v>
      </c>
      <c r="G47" s="160">
        <f>+F47/E47*100</f>
        <v>76.986504516108283</v>
      </c>
      <c r="H47" s="1868" t="s">
        <v>302</v>
      </c>
      <c r="I47" s="1869"/>
      <c r="J47" s="159">
        <f>+J46+J38</f>
        <v>3692986</v>
      </c>
      <c r="K47" s="159">
        <f>+K46+K38</f>
        <v>6673752</v>
      </c>
      <c r="L47" s="159">
        <f>+L46+L38</f>
        <v>3344301</v>
      </c>
      <c r="M47" s="160">
        <f>+L47/J47*100</f>
        <v>90.558182457231084</v>
      </c>
    </row>
    <row r="48" spans="1:13" ht="18.75" customHeight="1" thickBot="1" x14ac:dyDescent="0.35">
      <c r="A48" s="75"/>
      <c r="B48" s="75"/>
      <c r="C48" s="88"/>
      <c r="D48" s="161"/>
      <c r="E48" s="161"/>
      <c r="F48" s="161"/>
      <c r="G48" s="162"/>
      <c r="H48" s="89"/>
      <c r="I48" s="89"/>
      <c r="J48" s="161"/>
      <c r="K48" s="161"/>
      <c r="L48" s="161"/>
      <c r="M48" s="188"/>
    </row>
    <row r="49" spans="1:13" ht="30" customHeight="1" x14ac:dyDescent="0.3">
      <c r="A49" s="1390" t="s">
        <v>76</v>
      </c>
      <c r="B49" s="1391"/>
      <c r="C49" s="1392"/>
      <c r="D49" s="163"/>
      <c r="E49" s="163"/>
      <c r="F49" s="163"/>
      <c r="G49" s="164"/>
      <c r="H49" s="1399" t="s">
        <v>76</v>
      </c>
      <c r="I49" s="1400"/>
      <c r="J49" s="161"/>
      <c r="K49" s="161"/>
      <c r="L49" s="161"/>
      <c r="M49" s="189"/>
    </row>
    <row r="50" spans="1:13" ht="30" customHeight="1" x14ac:dyDescent="0.3">
      <c r="A50" s="1393"/>
      <c r="B50" s="1103"/>
      <c r="C50" s="1112" t="s">
        <v>31</v>
      </c>
      <c r="D50" s="165">
        <v>1800000</v>
      </c>
      <c r="E50" s="165">
        <v>3895365</v>
      </c>
      <c r="F50" s="166">
        <v>3895365</v>
      </c>
      <c r="G50" s="167">
        <f t="shared" ref="G50:G54" si="5">+F50/E50*100</f>
        <v>100</v>
      </c>
      <c r="H50" s="1382"/>
      <c r="I50" s="1401"/>
      <c r="J50" s="139"/>
      <c r="K50" s="139"/>
      <c r="L50" s="139"/>
      <c r="M50" s="190"/>
    </row>
    <row r="51" spans="1:13" ht="30" customHeight="1" x14ac:dyDescent="0.3">
      <c r="A51" s="1393"/>
      <c r="B51" s="1103"/>
      <c r="C51" s="1112" t="s">
        <v>290</v>
      </c>
      <c r="D51" s="165">
        <v>25350</v>
      </c>
      <c r="E51" s="165">
        <v>0</v>
      </c>
      <c r="F51" s="166"/>
      <c r="G51" s="167"/>
      <c r="H51" s="1402" t="s">
        <v>365</v>
      </c>
      <c r="I51" s="1403"/>
      <c r="J51" s="139">
        <v>120750</v>
      </c>
      <c r="K51" s="139">
        <v>120750</v>
      </c>
      <c r="L51" s="139">
        <v>120749</v>
      </c>
      <c r="M51" s="190">
        <f>+L51/K51*100</f>
        <v>99.9991718426501</v>
      </c>
    </row>
    <row r="52" spans="1:13" ht="55.5" customHeight="1" x14ac:dyDescent="0.3">
      <c r="A52" s="1393"/>
      <c r="B52" s="1103"/>
      <c r="C52" s="1394" t="s">
        <v>504</v>
      </c>
      <c r="D52" s="165">
        <v>234638</v>
      </c>
      <c r="E52" s="165">
        <v>0</v>
      </c>
      <c r="F52" s="459"/>
      <c r="G52" s="167"/>
      <c r="H52" s="1876" t="s">
        <v>603</v>
      </c>
      <c r="I52" s="1877"/>
      <c r="J52" s="139">
        <v>234638</v>
      </c>
      <c r="K52" s="139">
        <v>234638</v>
      </c>
      <c r="L52" s="139">
        <v>234638</v>
      </c>
      <c r="M52" s="190">
        <f>+L52/K52*100</f>
        <v>100</v>
      </c>
    </row>
    <row r="53" spans="1:13" ht="55.5" customHeight="1" x14ac:dyDescent="0.3">
      <c r="A53" s="1393"/>
      <c r="B53" s="1103"/>
      <c r="C53" s="1394" t="s">
        <v>588</v>
      </c>
      <c r="D53" s="165"/>
      <c r="E53" s="165">
        <v>257267</v>
      </c>
      <c r="F53" s="166">
        <v>257267</v>
      </c>
      <c r="G53" s="167">
        <f t="shared" si="5"/>
        <v>100</v>
      </c>
      <c r="H53" s="1876" t="s">
        <v>604</v>
      </c>
      <c r="I53" s="1877"/>
      <c r="J53" s="139"/>
      <c r="K53" s="139">
        <v>257267</v>
      </c>
      <c r="L53" s="139"/>
      <c r="M53" s="190">
        <f>+L53/K53*100</f>
        <v>0</v>
      </c>
    </row>
    <row r="54" spans="1:13" ht="30" customHeight="1" x14ac:dyDescent="0.3">
      <c r="A54" s="1393"/>
      <c r="B54" s="1103"/>
      <c r="C54" s="1112" t="s">
        <v>291</v>
      </c>
      <c r="D54" s="165">
        <v>450789</v>
      </c>
      <c r="E54" s="165">
        <v>2902375</v>
      </c>
      <c r="F54" s="166">
        <v>2902375</v>
      </c>
      <c r="G54" s="167">
        <f t="shared" si="5"/>
        <v>100</v>
      </c>
      <c r="H54" s="1382"/>
      <c r="I54" s="1401"/>
      <c r="J54" s="139"/>
      <c r="K54" s="139"/>
      <c r="L54" s="139"/>
      <c r="M54" s="190"/>
    </row>
    <row r="55" spans="1:13" ht="30" customHeight="1" x14ac:dyDescent="0.3">
      <c r="A55" s="1393"/>
      <c r="B55" s="1103"/>
      <c r="C55" s="1112" t="s">
        <v>292</v>
      </c>
      <c r="D55" s="165">
        <v>2944424</v>
      </c>
      <c r="E55" s="165">
        <v>0</v>
      </c>
      <c r="F55" s="166"/>
      <c r="G55" s="167"/>
      <c r="H55" s="1382"/>
      <c r="I55" s="1401"/>
      <c r="J55" s="139"/>
      <c r="K55" s="139"/>
      <c r="L55" s="139"/>
      <c r="M55" s="190"/>
    </row>
    <row r="56" spans="1:13" ht="46.5" customHeight="1" x14ac:dyDescent="0.3">
      <c r="A56" s="1393"/>
      <c r="B56" s="1103"/>
      <c r="C56" s="1112" t="s">
        <v>234</v>
      </c>
      <c r="D56" s="168"/>
      <c r="E56" s="168">
        <v>483144</v>
      </c>
      <c r="F56" s="139">
        <v>483144</v>
      </c>
      <c r="G56" s="167">
        <f>+F56/E56*100</f>
        <v>100</v>
      </c>
      <c r="H56" s="1382"/>
      <c r="I56" s="1401"/>
      <c r="J56" s="139"/>
      <c r="K56" s="139"/>
      <c r="L56" s="139"/>
      <c r="M56" s="190"/>
    </row>
    <row r="57" spans="1:13" ht="48" customHeight="1" thickBot="1" x14ac:dyDescent="0.35">
      <c r="A57" s="1393"/>
      <c r="B57" s="1103"/>
      <c r="C57" s="1394"/>
      <c r="D57" s="139"/>
      <c r="E57" s="139"/>
      <c r="F57" s="139"/>
      <c r="G57" s="154"/>
      <c r="H57" s="1001"/>
      <c r="I57" s="1404"/>
      <c r="J57" s="137"/>
      <c r="K57" s="137"/>
      <c r="L57" s="137"/>
      <c r="M57" s="192"/>
    </row>
    <row r="58" spans="1:13" ht="30" customHeight="1" thickBot="1" x14ac:dyDescent="0.35">
      <c r="A58" s="1873" t="s">
        <v>77</v>
      </c>
      <c r="B58" s="1874"/>
      <c r="C58" s="1875"/>
      <c r="D58" s="159">
        <f>SUM(D49:D57)</f>
        <v>5455201</v>
      </c>
      <c r="E58" s="159">
        <f>SUM(E49:E57)</f>
        <v>7538151</v>
      </c>
      <c r="F58" s="159">
        <f>SUM(F49:F57)</f>
        <v>7538151</v>
      </c>
      <c r="G58" s="160">
        <f>+F58/E58*100</f>
        <v>100</v>
      </c>
      <c r="H58" s="1871" t="s">
        <v>77</v>
      </c>
      <c r="I58" s="1872"/>
      <c r="J58" s="159">
        <f>SUM(J51:J57)</f>
        <v>355388</v>
      </c>
      <c r="K58" s="159">
        <f>SUM(K49:K57)</f>
        <v>612655</v>
      </c>
      <c r="L58" s="159">
        <f>SUM(L49:L57)</f>
        <v>355387</v>
      </c>
      <c r="M58" s="160">
        <f>+L58/K58*100</f>
        <v>58.007687850421533</v>
      </c>
    </row>
    <row r="59" spans="1:13" ht="30" customHeight="1" x14ac:dyDescent="0.3">
      <c r="A59" s="1393"/>
      <c r="B59" s="1396"/>
      <c r="C59" s="1396"/>
      <c r="D59" s="169"/>
      <c r="E59" s="169"/>
      <c r="F59" s="169"/>
      <c r="G59" s="170"/>
      <c r="H59" s="1405"/>
      <c r="I59" s="1406"/>
      <c r="J59" s="161"/>
      <c r="K59" s="161"/>
      <c r="L59" s="161"/>
      <c r="M59" s="189"/>
    </row>
    <row r="60" spans="1:13" ht="30" customHeight="1" thickBot="1" x14ac:dyDescent="0.35">
      <c r="A60" s="1397"/>
      <c r="B60" s="1398"/>
      <c r="C60" s="1398"/>
      <c r="D60" s="171"/>
      <c r="E60" s="171"/>
      <c r="F60" s="171"/>
      <c r="G60" s="172"/>
      <c r="H60" s="1407"/>
      <c r="I60" s="1398"/>
      <c r="J60" s="171"/>
      <c r="K60" s="171"/>
      <c r="L60" s="171"/>
      <c r="M60" s="193"/>
    </row>
    <row r="61" spans="1:13" ht="19.5" thickBot="1" x14ac:dyDescent="0.35">
      <c r="A61" s="1873" t="s">
        <v>304</v>
      </c>
      <c r="B61" s="1874"/>
      <c r="C61" s="1875"/>
      <c r="D61" s="159">
        <f>+D58+D47+D26</f>
        <v>31187417</v>
      </c>
      <c r="E61" s="159">
        <f>+E58+E47+E26</f>
        <v>39895756</v>
      </c>
      <c r="F61" s="159">
        <f>+F58+F47+F26</f>
        <v>38603310</v>
      </c>
      <c r="G61" s="160">
        <f>+F61/E61*100</f>
        <v>96.760442388909738</v>
      </c>
      <c r="H61" s="1871" t="s">
        <v>303</v>
      </c>
      <c r="I61" s="1872"/>
      <c r="J61" s="159">
        <f>+J58+J47+J26</f>
        <v>31187417</v>
      </c>
      <c r="K61" s="159">
        <f>+K58+K47+K26</f>
        <v>39895756</v>
      </c>
      <c r="L61" s="159">
        <f>+L58+L47+L26</f>
        <v>31059665</v>
      </c>
      <c r="M61" s="160">
        <f>+L61/K61*100</f>
        <v>77.852052734631727</v>
      </c>
    </row>
    <row r="62" spans="1:13" ht="15" customHeight="1" x14ac:dyDescent="0.25">
      <c r="J62" s="14"/>
    </row>
    <row r="192" spans="7:7" ht="15" customHeight="1" x14ac:dyDescent="0.25">
      <c r="G192" s="21">
        <f>+E192-F192-H192-H193-H194-H195-H196-H197-H198</f>
        <v>0</v>
      </c>
    </row>
  </sheetData>
  <mergeCells count="15">
    <mergeCell ref="A47:C47"/>
    <mergeCell ref="H47:I47"/>
    <mergeCell ref="H58:I58"/>
    <mergeCell ref="H61:I61"/>
    <mergeCell ref="A61:C61"/>
    <mergeCell ref="A58:C58"/>
    <mergeCell ref="H52:I52"/>
    <mergeCell ref="H53:I53"/>
    <mergeCell ref="A2:M2"/>
    <mergeCell ref="D4:E4"/>
    <mergeCell ref="J4:K4"/>
    <mergeCell ref="D28:E28"/>
    <mergeCell ref="J28:K28"/>
    <mergeCell ref="A26:C26"/>
    <mergeCell ref="H26:I26"/>
  </mergeCells>
  <phoneticPr fontId="0" type="noConversion"/>
  <printOptions horizontalCentered="1" verticalCentered="1"/>
  <pageMargins left="0" right="0" top="0.39370078740157483" bottom="0" header="0" footer="0"/>
  <pageSetup paperSize="9" scale="43" orientation="landscape" r:id="rId1"/>
  <headerFooter alignWithMargins="0">
    <oddHeader xml:space="preserve">&amp;L
&amp;R&amp;"-,Félkövér"&amp;20 2. melléklet a 10/2024. (V.31.) önkormányzati rendelethez </oddHeader>
  </headerFooter>
  <rowBreaks count="1" manualBreakCount="1">
    <brk id="26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84DA-4C47-4837-94D2-E87BD824311D}">
  <dimension ref="A1:C23"/>
  <sheetViews>
    <sheetView view="pageLayout" zoomScaleNormal="100" zoomScaleSheetLayoutView="75" workbookViewId="0">
      <selection activeCell="D19" sqref="D19"/>
    </sheetView>
  </sheetViews>
  <sheetFormatPr defaultColWidth="10.6640625" defaultRowHeight="12.75" x14ac:dyDescent="0.2"/>
  <cols>
    <col min="1" max="1" width="11" style="631" customWidth="1"/>
    <col min="2" max="2" width="108.1640625" style="631" customWidth="1"/>
    <col min="3" max="3" width="31.83203125" style="636" customWidth="1"/>
    <col min="4" max="4" width="15.33203125" style="631" customWidth="1"/>
    <col min="5" max="16384" width="10.6640625" style="631"/>
  </cols>
  <sheetData>
    <row r="1" spans="1:3" ht="18.75" x14ac:dyDescent="0.3">
      <c r="A1" s="1983" t="s">
        <v>719</v>
      </c>
      <c r="B1" s="1983"/>
      <c r="C1" s="1983"/>
    </row>
    <row r="2" spans="1:3" ht="18.75" x14ac:dyDescent="0.3">
      <c r="A2" s="1983" t="s">
        <v>658</v>
      </c>
      <c r="B2" s="1983"/>
      <c r="C2" s="1983"/>
    </row>
    <row r="3" spans="1:3" ht="18.75" x14ac:dyDescent="0.3">
      <c r="A3" s="1983" t="s">
        <v>1209</v>
      </c>
      <c r="B3" s="1983"/>
      <c r="C3" s="1983"/>
    </row>
    <row r="4" spans="1:3" ht="16.5" thickBot="1" x14ac:dyDescent="0.3">
      <c r="A4" s="632"/>
      <c r="B4" s="632"/>
      <c r="C4" s="1140" t="s">
        <v>15</v>
      </c>
    </row>
    <row r="5" spans="1:3" ht="15.75" thickBot="1" x14ac:dyDescent="0.3">
      <c r="A5" s="633" t="s">
        <v>720</v>
      </c>
      <c r="B5" s="633" t="s">
        <v>29</v>
      </c>
      <c r="C5" s="633" t="s">
        <v>721</v>
      </c>
    </row>
    <row r="6" spans="1:3" ht="40.5" customHeight="1" x14ac:dyDescent="0.25">
      <c r="A6" s="1492" t="s">
        <v>165</v>
      </c>
      <c r="B6" s="1493" t="s">
        <v>722</v>
      </c>
      <c r="C6" s="1494">
        <v>47669</v>
      </c>
    </row>
    <row r="7" spans="1:3" ht="31.5" customHeight="1" x14ac:dyDescent="0.25">
      <c r="A7" s="1495" t="s">
        <v>33</v>
      </c>
      <c r="B7" s="1496" t="s">
        <v>723</v>
      </c>
      <c r="C7" s="1497"/>
    </row>
    <row r="8" spans="1:3" ht="33.75" customHeight="1" x14ac:dyDescent="0.25">
      <c r="A8" s="1498" t="s">
        <v>166</v>
      </c>
      <c r="B8" s="1499" t="s">
        <v>724</v>
      </c>
      <c r="C8" s="1500"/>
    </row>
    <row r="9" spans="1:3" ht="15.95" customHeight="1" x14ac:dyDescent="0.25">
      <c r="A9" s="1495"/>
      <c r="B9" s="1501" t="s">
        <v>725</v>
      </c>
      <c r="C9" s="1497">
        <v>72</v>
      </c>
    </row>
    <row r="10" spans="1:3" ht="15.95" customHeight="1" x14ac:dyDescent="0.25">
      <c r="A10" s="1495"/>
      <c r="B10" s="1501" t="s">
        <v>726</v>
      </c>
      <c r="C10" s="1497"/>
    </row>
    <row r="11" spans="1:3" ht="15.95" customHeight="1" x14ac:dyDescent="0.25">
      <c r="A11" s="1495"/>
      <c r="B11" s="1501" t="s">
        <v>727</v>
      </c>
      <c r="C11" s="1497"/>
    </row>
    <row r="12" spans="1:3" ht="15.95" customHeight="1" x14ac:dyDescent="0.25">
      <c r="A12" s="1495"/>
      <c r="B12" s="1502" t="s">
        <v>728</v>
      </c>
      <c r="C12" s="1497">
        <v>126465</v>
      </c>
    </row>
    <row r="13" spans="1:3" ht="15.95" customHeight="1" x14ac:dyDescent="0.25">
      <c r="A13" s="1495"/>
      <c r="B13" s="1501" t="s">
        <v>729</v>
      </c>
      <c r="C13" s="1497">
        <v>50</v>
      </c>
    </row>
    <row r="14" spans="1:3" ht="31.5" customHeight="1" x14ac:dyDescent="0.25">
      <c r="A14" s="1503" t="s">
        <v>167</v>
      </c>
      <c r="B14" s="1504" t="s">
        <v>730</v>
      </c>
      <c r="C14" s="1505">
        <v>55450</v>
      </c>
    </row>
    <row r="15" spans="1:3" ht="30.75" customHeight="1" thickBot="1" x14ac:dyDescent="0.3">
      <c r="A15" s="1503" t="s">
        <v>169</v>
      </c>
      <c r="B15" s="1504" t="s">
        <v>731</v>
      </c>
      <c r="C15" s="1505">
        <v>16312</v>
      </c>
    </row>
    <row r="16" spans="1:3" ht="23.25" customHeight="1" thickBot="1" x14ac:dyDescent="0.3">
      <c r="A16" s="1506"/>
      <c r="B16" s="1507" t="s">
        <v>732</v>
      </c>
      <c r="C16" s="1508">
        <f>SUM(C6:C15)</f>
        <v>246018</v>
      </c>
    </row>
    <row r="17" spans="1:3" ht="15" x14ac:dyDescent="0.25">
      <c r="A17" s="632"/>
      <c r="B17" s="632"/>
      <c r="C17" s="632"/>
    </row>
    <row r="18" spans="1:3" ht="15.75" x14ac:dyDescent="0.25">
      <c r="A18" s="634"/>
      <c r="B18" s="1509" t="s">
        <v>733</v>
      </c>
      <c r="C18" s="632"/>
    </row>
    <row r="19" spans="1:3" ht="46.5" customHeight="1" x14ac:dyDescent="0.25">
      <c r="A19" s="632"/>
      <c r="B19" s="1510" t="s">
        <v>1208</v>
      </c>
      <c r="C19" s="635"/>
    </row>
    <row r="20" spans="1:3" ht="15.75" x14ac:dyDescent="0.25">
      <c r="A20" s="632"/>
      <c r="B20" s="1511" t="s">
        <v>734</v>
      </c>
      <c r="C20" s="635"/>
    </row>
    <row r="21" spans="1:3" ht="15.75" x14ac:dyDescent="0.25">
      <c r="A21" s="632"/>
      <c r="B21" s="1511" t="s">
        <v>1207</v>
      </c>
      <c r="C21" s="635"/>
    </row>
    <row r="22" spans="1:3" ht="15.75" x14ac:dyDescent="0.25">
      <c r="A22" s="632"/>
      <c r="B22" s="1511" t="s">
        <v>735</v>
      </c>
      <c r="C22" s="635"/>
    </row>
    <row r="23" spans="1:3" ht="15" x14ac:dyDescent="0.25">
      <c r="A23" s="632"/>
      <c r="B23" s="635"/>
      <c r="C23" s="635"/>
    </row>
  </sheetData>
  <mergeCells count="3">
    <mergeCell ref="A1:C1"/>
    <mergeCell ref="A2:C2"/>
    <mergeCell ref="A3:C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89" orientation="landscape" r:id="rId1"/>
  <headerFooter alignWithMargins="0">
    <oddHeader>&amp;R&amp;"-,Félkövér"&amp;12   20. melléklet a 10/2024. (V.31.)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8C7E-0E48-4EE8-A935-E8A22286ADF8}">
  <dimension ref="A1:F90"/>
  <sheetViews>
    <sheetView view="pageLayout" zoomScaleNormal="75" workbookViewId="0">
      <selection activeCell="D39" sqref="D39"/>
    </sheetView>
  </sheetViews>
  <sheetFormatPr defaultColWidth="10.6640625" defaultRowHeight="14.25" x14ac:dyDescent="0.2"/>
  <cols>
    <col min="1" max="1" width="6.5" style="637" customWidth="1"/>
    <col min="2" max="2" width="141.1640625" style="637" customWidth="1"/>
    <col min="3" max="4" width="31.83203125" style="637" customWidth="1"/>
    <col min="5" max="5" width="16.83203125" style="637" customWidth="1"/>
    <col min="6" max="6" width="15.5" style="637" customWidth="1"/>
    <col min="7" max="11" width="10.6640625" style="637" customWidth="1"/>
    <col min="12" max="16384" width="10.6640625" style="637"/>
  </cols>
  <sheetData>
    <row r="1" spans="2:4" ht="18.75" x14ac:dyDescent="0.3">
      <c r="B1" s="1984" t="s">
        <v>736</v>
      </c>
      <c r="C1" s="1984"/>
      <c r="D1" s="1984"/>
    </row>
    <row r="2" spans="2:4" ht="18.75" x14ac:dyDescent="0.3">
      <c r="B2" s="1984" t="s">
        <v>1193</v>
      </c>
      <c r="C2" s="1984"/>
      <c r="D2" s="1984"/>
    </row>
    <row r="3" spans="2:4" ht="15" x14ac:dyDescent="0.25">
      <c r="B3" s="1979"/>
      <c r="C3" s="1979"/>
      <c r="D3" s="1979"/>
    </row>
    <row r="4" spans="2:4" ht="16.5" thickBot="1" x14ac:dyDescent="0.3">
      <c r="B4" s="1084"/>
      <c r="C4" s="1139"/>
      <c r="D4" s="1140" t="s">
        <v>15</v>
      </c>
    </row>
    <row r="5" spans="2:4" s="8" customFormat="1" ht="25.5" customHeight="1" x14ac:dyDescent="0.3">
      <c r="B5" s="1141" t="s">
        <v>659</v>
      </c>
      <c r="C5" s="1142" t="s">
        <v>514</v>
      </c>
      <c r="D5" s="1143" t="s">
        <v>514</v>
      </c>
    </row>
    <row r="6" spans="2:4" s="8" customFormat="1" ht="26.25" customHeight="1" thickBot="1" x14ac:dyDescent="0.35">
      <c r="B6" s="1144"/>
      <c r="C6" s="1145" t="s">
        <v>88</v>
      </c>
      <c r="D6" s="1146" t="s">
        <v>89</v>
      </c>
    </row>
    <row r="7" spans="2:4" s="8" customFormat="1" ht="30" customHeight="1" x14ac:dyDescent="0.3">
      <c r="B7" s="1147" t="s">
        <v>737</v>
      </c>
      <c r="C7" s="1148"/>
      <c r="D7" s="1149"/>
    </row>
    <row r="8" spans="2:4" s="8" customFormat="1" ht="30" customHeight="1" x14ac:dyDescent="0.3">
      <c r="B8" s="1150" t="s">
        <v>605</v>
      </c>
      <c r="C8" s="1151">
        <v>7692</v>
      </c>
      <c r="D8" s="1152">
        <v>7692</v>
      </c>
    </row>
    <row r="9" spans="2:4" s="8" customFormat="1" ht="30" customHeight="1" x14ac:dyDescent="0.3">
      <c r="B9" s="1150" t="s">
        <v>606</v>
      </c>
      <c r="C9" s="1151">
        <v>34029</v>
      </c>
      <c r="D9" s="1152">
        <v>34029</v>
      </c>
    </row>
    <row r="10" spans="2:4" s="8" customFormat="1" ht="30" customHeight="1" x14ac:dyDescent="0.3">
      <c r="B10" s="1150" t="s">
        <v>573</v>
      </c>
      <c r="C10" s="1151">
        <v>9125</v>
      </c>
      <c r="D10" s="1152">
        <v>237</v>
      </c>
    </row>
    <row r="11" spans="2:4" s="8" customFormat="1" ht="30" customHeight="1" x14ac:dyDescent="0.3">
      <c r="B11" s="1150" t="s">
        <v>576</v>
      </c>
      <c r="C11" s="1151">
        <v>39937</v>
      </c>
      <c r="D11" s="1152"/>
    </row>
    <row r="12" spans="2:4" s="8" customFormat="1" ht="30" customHeight="1" x14ac:dyDescent="0.3">
      <c r="B12" s="1150" t="s">
        <v>492</v>
      </c>
      <c r="C12" s="1151">
        <v>6767</v>
      </c>
      <c r="D12" s="1152">
        <v>6767</v>
      </c>
    </row>
    <row r="13" spans="2:4" s="8" customFormat="1" ht="30" customHeight="1" x14ac:dyDescent="0.3">
      <c r="B13" s="1153" t="s">
        <v>738</v>
      </c>
      <c r="C13" s="1154"/>
      <c r="D13" s="1155"/>
    </row>
    <row r="14" spans="2:4" s="8" customFormat="1" ht="30" customHeight="1" x14ac:dyDescent="0.3">
      <c r="B14" s="1150" t="s">
        <v>251</v>
      </c>
      <c r="C14" s="1151">
        <v>186246</v>
      </c>
      <c r="D14" s="1152">
        <v>186246</v>
      </c>
    </row>
    <row r="15" spans="2:4" s="8" customFormat="1" ht="30" customHeight="1" x14ac:dyDescent="0.3">
      <c r="B15" s="1150" t="s">
        <v>367</v>
      </c>
      <c r="C15" s="1151">
        <v>430312</v>
      </c>
      <c r="D15" s="1152">
        <v>430312</v>
      </c>
    </row>
    <row r="16" spans="2:4" s="8" customFormat="1" ht="30" customHeight="1" x14ac:dyDescent="0.3">
      <c r="B16" s="1150" t="s">
        <v>394</v>
      </c>
      <c r="C16" s="1151">
        <v>1000</v>
      </c>
      <c r="D16" s="1152">
        <v>1000</v>
      </c>
    </row>
    <row r="17" spans="2:6" s="8" customFormat="1" ht="30" customHeight="1" x14ac:dyDescent="0.3">
      <c r="B17" s="1150" t="s">
        <v>420</v>
      </c>
      <c r="C17" s="1151">
        <v>6023</v>
      </c>
      <c r="D17" s="1152">
        <v>6023</v>
      </c>
    </row>
    <row r="18" spans="2:6" s="8" customFormat="1" ht="30" customHeight="1" x14ac:dyDescent="0.3">
      <c r="B18" s="1156" t="s">
        <v>571</v>
      </c>
      <c r="C18" s="1151">
        <v>72</v>
      </c>
      <c r="D18" s="1152">
        <v>72</v>
      </c>
    </row>
    <row r="19" spans="2:6" s="8" customFormat="1" ht="38.25" customHeight="1" x14ac:dyDescent="0.3">
      <c r="B19" s="1156" t="s">
        <v>572</v>
      </c>
      <c r="C19" s="1151">
        <v>480</v>
      </c>
      <c r="D19" s="1152">
        <v>480</v>
      </c>
      <c r="E19" s="54"/>
    </row>
    <row r="20" spans="2:6" s="8" customFormat="1" ht="30" customHeight="1" x14ac:dyDescent="0.3">
      <c r="B20" s="1150" t="s">
        <v>370</v>
      </c>
      <c r="C20" s="1151">
        <v>110144</v>
      </c>
      <c r="D20" s="1152">
        <v>110144</v>
      </c>
    </row>
    <row r="21" spans="2:6" s="8" customFormat="1" ht="38.25" customHeight="1" x14ac:dyDescent="0.3">
      <c r="B21" s="1156" t="s">
        <v>479</v>
      </c>
      <c r="C21" s="1151">
        <v>568871</v>
      </c>
      <c r="D21" s="1152"/>
      <c r="E21" s="54"/>
    </row>
    <row r="22" spans="2:6" s="8" customFormat="1" ht="30" customHeight="1" x14ac:dyDescent="0.3">
      <c r="B22" s="1150" t="s">
        <v>428</v>
      </c>
      <c r="C22" s="1151">
        <v>112376</v>
      </c>
      <c r="D22" s="1152">
        <v>8513</v>
      </c>
    </row>
    <row r="23" spans="2:6" s="8" customFormat="1" ht="30" customHeight="1" thickBot="1" x14ac:dyDescent="0.35">
      <c r="B23" s="1157" t="s">
        <v>739</v>
      </c>
      <c r="C23" s="1158">
        <f>SUM(C8:C22)</f>
        <v>1513074</v>
      </c>
      <c r="D23" s="1159">
        <f>SUM(D8:D22)</f>
        <v>791515</v>
      </c>
      <c r="E23" s="9"/>
      <c r="F23" s="9"/>
    </row>
    <row r="24" spans="2:6" s="8" customFormat="1" ht="18" thickBot="1" x14ac:dyDescent="0.35">
      <c r="B24" s="1160"/>
      <c r="C24" s="1160"/>
      <c r="D24" s="1161"/>
      <c r="E24" s="9"/>
      <c r="F24" s="9"/>
    </row>
    <row r="25" spans="2:6" s="8" customFormat="1" ht="26.25" customHeight="1" x14ac:dyDescent="0.3">
      <c r="B25" s="1141" t="s">
        <v>663</v>
      </c>
      <c r="C25" s="1142" t="s">
        <v>514</v>
      </c>
      <c r="D25" s="1143" t="s">
        <v>514</v>
      </c>
    </row>
    <row r="26" spans="2:6" s="8" customFormat="1" ht="25.5" customHeight="1" thickBot="1" x14ac:dyDescent="0.35">
      <c r="B26" s="1162"/>
      <c r="C26" s="1145" t="s">
        <v>88</v>
      </c>
      <c r="D26" s="1146" t="s">
        <v>89</v>
      </c>
    </row>
    <row r="27" spans="2:6" s="8" customFormat="1" ht="30" customHeight="1" x14ac:dyDescent="0.3">
      <c r="B27" s="1147" t="s">
        <v>737</v>
      </c>
      <c r="C27" s="1163"/>
      <c r="D27" s="1164"/>
    </row>
    <row r="28" spans="2:6" s="8" customFormat="1" ht="30" customHeight="1" x14ac:dyDescent="0.3">
      <c r="B28" s="1165" t="s">
        <v>740</v>
      </c>
      <c r="C28" s="1166"/>
      <c r="D28" s="1167"/>
    </row>
    <row r="29" spans="2:6" s="8" customFormat="1" ht="30" customHeight="1" x14ac:dyDescent="0.3">
      <c r="B29" s="1168" t="s">
        <v>249</v>
      </c>
      <c r="C29" s="1169">
        <v>200</v>
      </c>
      <c r="D29" s="1170">
        <v>200</v>
      </c>
    </row>
    <row r="30" spans="2:6" s="8" customFormat="1" ht="30" customHeight="1" x14ac:dyDescent="0.3">
      <c r="B30" s="1168" t="s">
        <v>250</v>
      </c>
      <c r="C30" s="1169">
        <v>4400</v>
      </c>
      <c r="D30" s="1170">
        <v>4400</v>
      </c>
    </row>
    <row r="31" spans="2:6" s="8" customFormat="1" ht="30" customHeight="1" x14ac:dyDescent="0.3">
      <c r="B31" s="1171" t="s">
        <v>562</v>
      </c>
      <c r="C31" s="1169">
        <v>187</v>
      </c>
      <c r="D31" s="1170">
        <v>187</v>
      </c>
    </row>
    <row r="32" spans="2:6" s="8" customFormat="1" ht="30" customHeight="1" x14ac:dyDescent="0.3">
      <c r="B32" s="1171" t="s">
        <v>423</v>
      </c>
      <c r="C32" s="1169">
        <v>5</v>
      </c>
      <c r="D32" s="1172">
        <v>5</v>
      </c>
    </row>
    <row r="33" spans="2:6" s="8" customFormat="1" ht="30" customHeight="1" x14ac:dyDescent="0.3">
      <c r="B33" s="1171" t="s">
        <v>635</v>
      </c>
      <c r="C33" s="1169">
        <v>41514</v>
      </c>
      <c r="D33" s="1173">
        <v>176</v>
      </c>
      <c r="E33" s="54"/>
    </row>
    <row r="34" spans="2:6" s="8" customFormat="1" ht="30" customHeight="1" x14ac:dyDescent="0.3">
      <c r="B34" s="1171" t="s">
        <v>636</v>
      </c>
      <c r="C34" s="1169">
        <v>2822</v>
      </c>
      <c r="D34" s="1170">
        <v>865</v>
      </c>
    </row>
    <row r="35" spans="2:6" s="8" customFormat="1" ht="30" customHeight="1" x14ac:dyDescent="0.3">
      <c r="B35" s="1174" t="s">
        <v>551</v>
      </c>
      <c r="C35" s="1175">
        <v>32258</v>
      </c>
      <c r="D35" s="1176">
        <v>1143</v>
      </c>
    </row>
    <row r="36" spans="2:6" s="8" customFormat="1" ht="30" customHeight="1" thickBot="1" x14ac:dyDescent="0.35">
      <c r="B36" s="1177" t="s">
        <v>492</v>
      </c>
      <c r="C36" s="1178">
        <v>24630</v>
      </c>
      <c r="D36" s="1179">
        <v>17021</v>
      </c>
      <c r="F36" s="9"/>
    </row>
    <row r="37" spans="2:6" s="8" customFormat="1" ht="30" customHeight="1" thickBot="1" x14ac:dyDescent="0.35">
      <c r="B37" s="1180" t="s">
        <v>738</v>
      </c>
      <c r="C37" s="1181"/>
      <c r="D37" s="1182"/>
      <c r="E37" s="9"/>
      <c r="F37" s="9"/>
    </row>
    <row r="38" spans="2:6" s="8" customFormat="1" ht="26.25" customHeight="1" x14ac:dyDescent="0.3">
      <c r="B38" s="1183" t="s">
        <v>34</v>
      </c>
      <c r="C38" s="1184"/>
      <c r="D38" s="1185"/>
      <c r="E38" s="9"/>
    </row>
    <row r="39" spans="2:6" s="8" customFormat="1" ht="44.25" customHeight="1" x14ac:dyDescent="0.3">
      <c r="B39" s="1156" t="s">
        <v>479</v>
      </c>
      <c r="C39" s="1169">
        <v>479335</v>
      </c>
      <c r="D39" s="1173">
        <f>14534+3063</f>
        <v>17597</v>
      </c>
      <c r="E39" s="54"/>
    </row>
    <row r="40" spans="2:6" s="8" customFormat="1" ht="44.25" customHeight="1" x14ac:dyDescent="0.3">
      <c r="B40" s="1156" t="s">
        <v>597</v>
      </c>
      <c r="C40" s="1169">
        <v>110899</v>
      </c>
      <c r="D40" s="1173"/>
      <c r="E40" s="54"/>
    </row>
    <row r="41" spans="2:6" s="8" customFormat="1" ht="44.25" customHeight="1" x14ac:dyDescent="0.3">
      <c r="B41" s="1156" t="s">
        <v>598</v>
      </c>
      <c r="C41" s="1169">
        <v>3063</v>
      </c>
      <c r="D41" s="1173"/>
      <c r="E41" s="54"/>
    </row>
    <row r="42" spans="2:6" s="8" customFormat="1" ht="44.25" customHeight="1" x14ac:dyDescent="0.3">
      <c r="B42" s="1156" t="s">
        <v>396</v>
      </c>
      <c r="C42" s="1169">
        <v>150</v>
      </c>
      <c r="D42" s="1173">
        <v>150</v>
      </c>
      <c r="E42" s="54"/>
    </row>
    <row r="43" spans="2:6" s="8" customFormat="1" ht="30" customHeight="1" x14ac:dyDescent="0.3">
      <c r="B43" s="1156" t="s">
        <v>397</v>
      </c>
      <c r="C43" s="1169">
        <v>260</v>
      </c>
      <c r="D43" s="1170">
        <v>260</v>
      </c>
    </row>
    <row r="44" spans="2:6" s="8" customFormat="1" ht="30" customHeight="1" x14ac:dyDescent="0.3">
      <c r="B44" s="1156" t="s">
        <v>393</v>
      </c>
      <c r="C44" s="1169">
        <v>7801</v>
      </c>
      <c r="D44" s="1170">
        <v>7801</v>
      </c>
    </row>
    <row r="45" spans="2:6" s="8" customFormat="1" ht="44.25" customHeight="1" x14ac:dyDescent="0.3">
      <c r="B45" s="1156" t="s">
        <v>398</v>
      </c>
      <c r="C45" s="1169">
        <v>9264</v>
      </c>
      <c r="D45" s="1173">
        <v>8813</v>
      </c>
      <c r="E45" s="54"/>
    </row>
    <row r="46" spans="2:6" s="8" customFormat="1" ht="30" customHeight="1" x14ac:dyDescent="0.3">
      <c r="B46" s="1156" t="s">
        <v>394</v>
      </c>
      <c r="C46" s="1169">
        <v>15748</v>
      </c>
      <c r="D46" s="1170">
        <v>15748</v>
      </c>
    </row>
    <row r="47" spans="2:6" s="8" customFormat="1" ht="30" customHeight="1" x14ac:dyDescent="0.3">
      <c r="B47" s="1156" t="s">
        <v>507</v>
      </c>
      <c r="C47" s="1169">
        <v>4252</v>
      </c>
      <c r="D47" s="1172"/>
    </row>
    <row r="48" spans="2:6" s="8" customFormat="1" ht="30" customHeight="1" x14ac:dyDescent="0.3">
      <c r="B48" s="1156" t="s">
        <v>399</v>
      </c>
      <c r="C48" s="1169">
        <v>9826</v>
      </c>
      <c r="D48" s="1173">
        <v>9354</v>
      </c>
    </row>
    <row r="49" spans="2:5" s="8" customFormat="1" ht="30" customHeight="1" x14ac:dyDescent="0.3">
      <c r="B49" s="1156" t="s">
        <v>508</v>
      </c>
      <c r="C49" s="1169">
        <v>2340</v>
      </c>
      <c r="D49" s="1170"/>
    </row>
    <row r="50" spans="2:5" s="8" customFormat="1" ht="30" customHeight="1" x14ac:dyDescent="0.3">
      <c r="B50" s="1156" t="s">
        <v>420</v>
      </c>
      <c r="C50" s="1175">
        <v>100574</v>
      </c>
      <c r="D50" s="1176">
        <v>100574</v>
      </c>
    </row>
    <row r="51" spans="2:5" s="8" customFormat="1" ht="30" customHeight="1" x14ac:dyDescent="0.3">
      <c r="B51" s="1156" t="s">
        <v>509</v>
      </c>
      <c r="C51" s="1169">
        <v>26640</v>
      </c>
      <c r="D51" s="1170"/>
    </row>
    <row r="52" spans="2:5" s="8" customFormat="1" ht="30" customHeight="1" x14ac:dyDescent="0.3">
      <c r="B52" s="1156" t="s">
        <v>421</v>
      </c>
      <c r="C52" s="1186">
        <v>27685</v>
      </c>
      <c r="D52" s="1187">
        <v>21203</v>
      </c>
    </row>
    <row r="53" spans="2:5" s="8" customFormat="1" ht="30" customHeight="1" x14ac:dyDescent="0.3">
      <c r="B53" s="1156" t="s">
        <v>510</v>
      </c>
      <c r="C53" s="1169">
        <v>5589</v>
      </c>
      <c r="D53" s="1170"/>
    </row>
    <row r="54" spans="2:5" s="8" customFormat="1" ht="44.25" customHeight="1" x14ac:dyDescent="0.3">
      <c r="B54" s="1156" t="s">
        <v>395</v>
      </c>
      <c r="C54" s="1169">
        <v>41490</v>
      </c>
      <c r="D54" s="1173">
        <v>41460</v>
      </c>
      <c r="E54" s="54"/>
    </row>
    <row r="55" spans="2:5" s="8" customFormat="1" ht="44.25" customHeight="1" x14ac:dyDescent="0.3">
      <c r="B55" s="1156" t="s">
        <v>596</v>
      </c>
      <c r="C55" s="1169">
        <v>11194</v>
      </c>
      <c r="D55" s="1173"/>
      <c r="E55" s="54"/>
    </row>
    <row r="56" spans="2:5" s="8" customFormat="1" ht="44.25" customHeight="1" x14ac:dyDescent="0.3">
      <c r="B56" s="1156" t="s">
        <v>400</v>
      </c>
      <c r="C56" s="1169">
        <v>7292</v>
      </c>
      <c r="D56" s="1173">
        <v>6559</v>
      </c>
      <c r="E56" s="54"/>
    </row>
    <row r="57" spans="2:5" s="8" customFormat="1" ht="44.25" customHeight="1" x14ac:dyDescent="0.3">
      <c r="B57" s="1156" t="s">
        <v>600</v>
      </c>
      <c r="C57" s="1169">
        <v>1587</v>
      </c>
      <c r="D57" s="1173"/>
      <c r="E57" s="54"/>
    </row>
    <row r="58" spans="2:5" s="8" customFormat="1" ht="30" customHeight="1" x14ac:dyDescent="0.3">
      <c r="B58" s="1156" t="s">
        <v>401</v>
      </c>
      <c r="C58" s="1175">
        <v>232</v>
      </c>
      <c r="D58" s="1176">
        <v>231</v>
      </c>
    </row>
    <row r="59" spans="2:5" s="8" customFormat="1" ht="30" customHeight="1" x14ac:dyDescent="0.3">
      <c r="B59" s="1156" t="s">
        <v>416</v>
      </c>
      <c r="C59" s="1169">
        <v>150</v>
      </c>
      <c r="D59" s="1170">
        <v>150</v>
      </c>
    </row>
    <row r="60" spans="2:5" s="8" customFormat="1" ht="30" customHeight="1" x14ac:dyDescent="0.3">
      <c r="B60" s="1156" t="s">
        <v>428</v>
      </c>
      <c r="C60" s="1169">
        <v>145800</v>
      </c>
      <c r="D60" s="1170">
        <v>4753</v>
      </c>
    </row>
    <row r="61" spans="2:5" s="8" customFormat="1" ht="30" customHeight="1" x14ac:dyDescent="0.3">
      <c r="B61" s="1156" t="s">
        <v>583</v>
      </c>
      <c r="C61" s="1169">
        <v>10</v>
      </c>
      <c r="D61" s="1172"/>
    </row>
    <row r="62" spans="2:5" s="8" customFormat="1" ht="30" customHeight="1" x14ac:dyDescent="0.3">
      <c r="B62" s="1156" t="s">
        <v>344</v>
      </c>
      <c r="C62" s="1169">
        <v>23541</v>
      </c>
      <c r="D62" s="1170">
        <v>23540</v>
      </c>
    </row>
    <row r="63" spans="2:5" s="8" customFormat="1" ht="30" customHeight="1" x14ac:dyDescent="0.3">
      <c r="B63" s="1156" t="s">
        <v>556</v>
      </c>
      <c r="C63" s="1175">
        <v>625</v>
      </c>
      <c r="D63" s="1176">
        <v>606</v>
      </c>
    </row>
    <row r="64" spans="2:5" s="8" customFormat="1" ht="30" customHeight="1" x14ac:dyDescent="0.3">
      <c r="B64" s="1156" t="s">
        <v>557</v>
      </c>
      <c r="C64" s="1169">
        <v>49729</v>
      </c>
      <c r="D64" s="1170">
        <v>49729</v>
      </c>
    </row>
    <row r="65" spans="2:6" s="8" customFormat="1" ht="30" customHeight="1" x14ac:dyDescent="0.3">
      <c r="B65" s="1156" t="s">
        <v>558</v>
      </c>
      <c r="C65" s="1169">
        <v>2150</v>
      </c>
      <c r="D65" s="1170">
        <v>2150</v>
      </c>
    </row>
    <row r="66" spans="2:6" s="8" customFormat="1" ht="30" customHeight="1" x14ac:dyDescent="0.3">
      <c r="B66" s="1156" t="s">
        <v>373</v>
      </c>
      <c r="C66" s="1169">
        <v>224578</v>
      </c>
      <c r="D66" s="1172">
        <v>224337</v>
      </c>
    </row>
    <row r="67" spans="2:6" s="8" customFormat="1" ht="30" customHeight="1" x14ac:dyDescent="0.3">
      <c r="B67" s="1156" t="s">
        <v>406</v>
      </c>
      <c r="C67" s="1169">
        <v>50309</v>
      </c>
      <c r="D67" s="1173"/>
    </row>
    <row r="68" spans="2:6" s="8" customFormat="1" ht="30" customHeight="1" x14ac:dyDescent="0.3">
      <c r="B68" s="1156" t="s">
        <v>372</v>
      </c>
      <c r="C68" s="1169">
        <v>16211</v>
      </c>
      <c r="D68" s="1170">
        <v>10412</v>
      </c>
    </row>
    <row r="69" spans="2:6" s="8" customFormat="1" ht="30" customHeight="1" x14ac:dyDescent="0.3">
      <c r="B69" s="1156" t="s">
        <v>407</v>
      </c>
      <c r="C69" s="1175">
        <v>162</v>
      </c>
      <c r="D69" s="1176"/>
    </row>
    <row r="70" spans="2:6" s="8" customFormat="1" ht="30" customHeight="1" x14ac:dyDescent="0.3">
      <c r="B70" s="1156" t="s">
        <v>402</v>
      </c>
      <c r="C70" s="1175">
        <v>3976</v>
      </c>
      <c r="D70" s="1176">
        <v>3976</v>
      </c>
    </row>
    <row r="71" spans="2:6" s="8" customFormat="1" ht="30" customHeight="1" x14ac:dyDescent="0.3">
      <c r="B71" s="1156" t="s">
        <v>403</v>
      </c>
      <c r="C71" s="1169">
        <v>8362</v>
      </c>
      <c r="D71" s="1170">
        <v>2007</v>
      </c>
    </row>
    <row r="72" spans="2:6" s="8" customFormat="1" ht="30" customHeight="1" x14ac:dyDescent="0.3">
      <c r="B72" s="1188" t="s">
        <v>404</v>
      </c>
      <c r="C72" s="1169">
        <v>11420</v>
      </c>
      <c r="D72" s="1170">
        <v>4472</v>
      </c>
    </row>
    <row r="73" spans="2:6" s="8" customFormat="1" ht="44.25" customHeight="1" x14ac:dyDescent="0.3">
      <c r="B73" s="1156" t="s">
        <v>432</v>
      </c>
      <c r="C73" s="1169">
        <v>7818</v>
      </c>
      <c r="D73" s="1173"/>
      <c r="E73" s="54"/>
    </row>
    <row r="74" spans="2:6" s="8" customFormat="1" ht="38.25" customHeight="1" x14ac:dyDescent="0.3">
      <c r="B74" s="1156" t="s">
        <v>405</v>
      </c>
      <c r="C74" s="1151">
        <v>3717</v>
      </c>
      <c r="D74" s="1152">
        <v>2154</v>
      </c>
      <c r="E74" s="54"/>
    </row>
    <row r="75" spans="2:6" s="8" customFormat="1" ht="30" customHeight="1" x14ac:dyDescent="0.3">
      <c r="B75" s="1156" t="s">
        <v>439</v>
      </c>
      <c r="C75" s="1169">
        <v>560975</v>
      </c>
      <c r="D75" s="1170">
        <v>481919</v>
      </c>
    </row>
    <row r="76" spans="2:6" s="8" customFormat="1" ht="30" customHeight="1" x14ac:dyDescent="0.3">
      <c r="B76" s="1156" t="s">
        <v>440</v>
      </c>
      <c r="C76" s="1169">
        <v>33674</v>
      </c>
      <c r="D76" s="1170"/>
    </row>
    <row r="77" spans="2:6" s="8" customFormat="1" ht="30" customHeight="1" x14ac:dyDescent="0.3">
      <c r="B77" s="1156" t="s">
        <v>469</v>
      </c>
      <c r="C77" s="1169">
        <v>15991</v>
      </c>
      <c r="D77" s="1170">
        <v>8918</v>
      </c>
    </row>
    <row r="78" spans="2:6" s="8" customFormat="1" ht="30" customHeight="1" thickBot="1" x14ac:dyDescent="0.35">
      <c r="B78" s="1156" t="s">
        <v>655</v>
      </c>
      <c r="C78" s="1169">
        <v>495</v>
      </c>
      <c r="D78" s="1170">
        <v>494</v>
      </c>
    </row>
    <row r="79" spans="2:6" ht="30" customHeight="1" thickBot="1" x14ac:dyDescent="0.3">
      <c r="B79" s="1189" t="s">
        <v>741</v>
      </c>
      <c r="C79" s="1190">
        <f>SUM(C29:C78)</f>
        <v>2130930</v>
      </c>
      <c r="D79" s="1190">
        <f>SUM(D29:D78)</f>
        <v>1073364</v>
      </c>
      <c r="E79" s="18"/>
      <c r="F79" s="53"/>
    </row>
    <row r="81" spans="1:4" s="1" customFormat="1" ht="33.75" customHeight="1" x14ac:dyDescent="0.2">
      <c r="A81" s="10"/>
    </row>
    <row r="83" spans="1:4" s="1" customFormat="1" ht="36" customHeight="1" x14ac:dyDescent="0.2">
      <c r="A83" s="10"/>
    </row>
    <row r="84" spans="1:4" s="1" customFormat="1" ht="21.75" customHeight="1" x14ac:dyDescent="0.2">
      <c r="A84" s="10"/>
    </row>
    <row r="85" spans="1:4" s="1" customFormat="1" ht="36" customHeight="1" x14ac:dyDescent="0.2">
      <c r="A85" s="10"/>
    </row>
    <row r="86" spans="1:4" s="1" customFormat="1" ht="39" customHeight="1" x14ac:dyDescent="0.2">
      <c r="A86" s="10"/>
    </row>
    <row r="87" spans="1:4" s="1" customFormat="1" ht="39" customHeight="1" x14ac:dyDescent="0.2">
      <c r="A87" s="10"/>
    </row>
    <row r="88" spans="1:4" s="1" customFormat="1" ht="36" customHeight="1" x14ac:dyDescent="0.2">
      <c r="A88" s="10"/>
    </row>
    <row r="90" spans="1:4" x14ac:dyDescent="0.2">
      <c r="C90" s="638"/>
      <c r="D90" s="638"/>
    </row>
  </sheetData>
  <mergeCells count="3">
    <mergeCell ref="B1:D1"/>
    <mergeCell ref="B2:D2"/>
    <mergeCell ref="B3:D3"/>
  </mergeCells>
  <printOptions horizontalCentered="1" verticalCentered="1"/>
  <pageMargins left="0.35433070866141736" right="0.19685039370078741" top="0.98425196850393704" bottom="0.98425196850393704" header="0.51181102362204722" footer="0.51181102362204722"/>
  <pageSetup paperSize="9" scale="53" pageOrder="overThenDown" orientation="portrait" r:id="rId1"/>
  <headerFooter alignWithMargins="0">
    <oddHeader>&amp;R&amp;"Calibri,Félkövér"&amp;12  21. melléklet a 10/2024. (V.31.) önkormányzati rendelethez</oddHeader>
  </headerFooter>
  <rowBreaks count="1" manualBreakCount="1">
    <brk id="43" min="1" max="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C30F-C16F-424B-86CF-B3F14230A0B0}">
  <dimension ref="B1:H28"/>
  <sheetViews>
    <sheetView zoomScale="75" zoomScaleNormal="75" workbookViewId="0">
      <selection activeCell="C22" sqref="C22"/>
    </sheetView>
  </sheetViews>
  <sheetFormatPr defaultColWidth="10.6640625" defaultRowHeight="15" customHeight="1" x14ac:dyDescent="0.2"/>
  <cols>
    <col min="1" max="1" width="9.33203125" style="8" customWidth="1"/>
    <col min="2" max="2" width="7.6640625" style="8" customWidth="1"/>
    <col min="3" max="3" width="118.33203125" style="8" customWidth="1"/>
    <col min="4" max="5" width="19.1640625" style="8" customWidth="1"/>
    <col min="6" max="6" width="17.6640625" style="8" customWidth="1"/>
    <col min="7" max="8" width="15.6640625" style="8" bestFit="1" customWidth="1"/>
    <col min="9" max="16384" width="10.6640625" style="8"/>
  </cols>
  <sheetData>
    <row r="1" spans="2:8" s="639" customFormat="1" ht="24" customHeight="1" x14ac:dyDescent="0.3">
      <c r="B1" s="1985" t="s">
        <v>719</v>
      </c>
      <c r="C1" s="1985"/>
      <c r="D1" s="1985"/>
      <c r="E1" s="1985"/>
      <c r="F1" s="1985"/>
      <c r="G1" s="1985"/>
      <c r="H1" s="1985"/>
    </row>
    <row r="2" spans="2:8" s="639" customFormat="1" ht="24" customHeight="1" x14ac:dyDescent="0.3">
      <c r="B2" s="1985" t="s">
        <v>1183</v>
      </c>
      <c r="C2" s="1985"/>
      <c r="D2" s="1985"/>
      <c r="E2" s="1985"/>
      <c r="F2" s="1985"/>
      <c r="G2" s="1985"/>
      <c r="H2" s="1985"/>
    </row>
    <row r="3" spans="2:8" s="639" customFormat="1" ht="24" customHeight="1" x14ac:dyDescent="0.3">
      <c r="B3" s="1985" t="s">
        <v>742</v>
      </c>
      <c r="C3" s="1985"/>
      <c r="D3" s="1985"/>
      <c r="E3" s="1985"/>
      <c r="F3" s="1985"/>
      <c r="G3" s="1985"/>
      <c r="H3" s="1985"/>
    </row>
    <row r="4" spans="2:8" s="642" customFormat="1" ht="18.95" customHeight="1" thickBot="1" x14ac:dyDescent="0.3">
      <c r="B4" s="640"/>
      <c r="C4" s="640"/>
      <c r="D4" s="640"/>
      <c r="E4" s="640"/>
      <c r="F4" s="640"/>
      <c r="G4" s="640"/>
      <c r="H4" s="641" t="s">
        <v>15</v>
      </c>
    </row>
    <row r="5" spans="2:8" ht="18.95" customHeight="1" x14ac:dyDescent="0.25">
      <c r="B5" s="1986" t="s">
        <v>29</v>
      </c>
      <c r="C5" s="1987"/>
      <c r="D5" s="1191" t="s">
        <v>744</v>
      </c>
      <c r="E5" s="1192" t="s">
        <v>744</v>
      </c>
      <c r="F5" s="1193" t="s">
        <v>745</v>
      </c>
      <c r="G5" s="1192" t="s">
        <v>746</v>
      </c>
      <c r="H5" s="1194" t="s">
        <v>1182</v>
      </c>
    </row>
    <row r="6" spans="2:8" ht="18.95" customHeight="1" thickBot="1" x14ac:dyDescent="0.3">
      <c r="B6" s="1195"/>
      <c r="C6" s="1196"/>
      <c r="D6" s="1197" t="s">
        <v>88</v>
      </c>
      <c r="E6" s="1198" t="s">
        <v>89</v>
      </c>
      <c r="F6" s="1199" t="s">
        <v>184</v>
      </c>
      <c r="G6" s="1198" t="s">
        <v>184</v>
      </c>
      <c r="H6" s="1200" t="s">
        <v>184</v>
      </c>
    </row>
    <row r="7" spans="2:8" ht="24.75" customHeight="1" x14ac:dyDescent="0.25">
      <c r="B7" s="1201"/>
      <c r="C7" s="1202" t="s">
        <v>168</v>
      </c>
      <c r="D7" s="1203"/>
      <c r="E7" s="1204"/>
      <c r="F7" s="1205"/>
      <c r="G7" s="1206"/>
      <c r="H7" s="1207"/>
    </row>
    <row r="8" spans="2:8" ht="24.75" customHeight="1" x14ac:dyDescent="0.25">
      <c r="B8" s="1208"/>
      <c r="C8" s="1209" t="s">
        <v>747</v>
      </c>
      <c r="D8" s="1210">
        <v>758</v>
      </c>
      <c r="E8" s="1206">
        <v>27</v>
      </c>
      <c r="F8" s="1211">
        <v>0</v>
      </c>
      <c r="G8" s="1206">
        <v>10000</v>
      </c>
      <c r="H8" s="1207">
        <v>10000</v>
      </c>
    </row>
    <row r="9" spans="2:8" ht="24.75" customHeight="1" thickBot="1" x14ac:dyDescent="0.3">
      <c r="B9" s="1212"/>
      <c r="C9" s="1213"/>
      <c r="D9" s="1214">
        <f>SUM(D8)</f>
        <v>758</v>
      </c>
      <c r="E9" s="1215">
        <f>SUM(E8)</f>
        <v>27</v>
      </c>
      <c r="F9" s="1216">
        <f>SUM(F8)</f>
        <v>0</v>
      </c>
      <c r="G9" s="1215">
        <f>SUM(G8)</f>
        <v>10000</v>
      </c>
      <c r="H9" s="1217">
        <f>SUM(H8)</f>
        <v>10000</v>
      </c>
    </row>
    <row r="10" spans="2:8" ht="24.75" customHeight="1" x14ac:dyDescent="0.25">
      <c r="B10" s="1218"/>
      <c r="C10" s="1219" t="s">
        <v>173</v>
      </c>
      <c r="D10" s="1220"/>
      <c r="E10" s="1221"/>
      <c r="F10" s="1221"/>
      <c r="G10" s="1222"/>
      <c r="H10" s="1223"/>
    </row>
    <row r="11" spans="2:8" ht="24.75" customHeight="1" x14ac:dyDescent="0.25">
      <c r="B11" s="1224"/>
      <c r="C11" s="1209" t="s">
        <v>652</v>
      </c>
      <c r="D11" s="1225">
        <v>56016</v>
      </c>
      <c r="E11" s="1226">
        <v>50771</v>
      </c>
      <c r="F11" s="1227">
        <v>5000</v>
      </c>
      <c r="G11" s="1226">
        <v>25000</v>
      </c>
      <c r="H11" s="1228">
        <v>25000</v>
      </c>
    </row>
    <row r="12" spans="2:8" ht="24.75" customHeight="1" thickBot="1" x14ac:dyDescent="0.3">
      <c r="B12" s="1229"/>
      <c r="C12" s="1230" t="s">
        <v>748</v>
      </c>
      <c r="D12" s="1231">
        <f>SUM(D11:D11)</f>
        <v>56016</v>
      </c>
      <c r="E12" s="1232">
        <f>SUM(E11:E11)</f>
        <v>50771</v>
      </c>
      <c r="F12" s="1233">
        <f>SUM(F11:F11)</f>
        <v>5000</v>
      </c>
      <c r="G12" s="1232">
        <f>SUM(G11:G11)</f>
        <v>25000</v>
      </c>
      <c r="H12" s="1234">
        <f>SUM(H11:H11)</f>
        <v>25000</v>
      </c>
    </row>
    <row r="13" spans="2:8" ht="24.75" customHeight="1" x14ac:dyDescent="0.25">
      <c r="B13" s="1218"/>
      <c r="C13" s="1219" t="s">
        <v>34</v>
      </c>
      <c r="D13" s="1220"/>
      <c r="E13" s="1221"/>
      <c r="F13" s="1221"/>
      <c r="G13" s="1222"/>
      <c r="H13" s="1223"/>
    </row>
    <row r="14" spans="2:8" ht="24.75" customHeight="1" x14ac:dyDescent="0.25">
      <c r="B14" s="1224"/>
      <c r="C14" s="1235" t="s">
        <v>749</v>
      </c>
      <c r="D14" s="1225">
        <v>28893</v>
      </c>
      <c r="E14" s="1226">
        <v>9714</v>
      </c>
      <c r="F14" s="1227">
        <v>30000</v>
      </c>
      <c r="G14" s="1226">
        <v>60000</v>
      </c>
      <c r="H14" s="1228">
        <v>60000</v>
      </c>
    </row>
    <row r="15" spans="2:8" ht="24.75" customHeight="1" thickBot="1" x14ac:dyDescent="0.3">
      <c r="B15" s="1229"/>
      <c r="C15" s="1230"/>
      <c r="D15" s="1231">
        <f>SUM(D14)</f>
        <v>28893</v>
      </c>
      <c r="E15" s="1232">
        <f>SUM(E14)</f>
        <v>9714</v>
      </c>
      <c r="F15" s="1232">
        <f>SUM(F14)</f>
        <v>30000</v>
      </c>
      <c r="G15" s="1232">
        <f>SUM(G14)</f>
        <v>60000</v>
      </c>
      <c r="H15" s="1236">
        <f>SUM(H14)</f>
        <v>60000</v>
      </c>
    </row>
    <row r="16" spans="2:8" ht="24.75" customHeight="1" x14ac:dyDescent="0.25">
      <c r="B16" s="1218"/>
      <c r="C16" s="1237" t="s">
        <v>53</v>
      </c>
      <c r="D16" s="1203"/>
      <c r="E16" s="1205"/>
      <c r="F16" s="1238"/>
      <c r="G16" s="1211"/>
      <c r="H16" s="1239"/>
    </row>
    <row r="17" spans="2:8" ht="24.75" customHeight="1" x14ac:dyDescent="0.25">
      <c r="B17" s="1208"/>
      <c r="C17" s="1240" t="s">
        <v>53</v>
      </c>
      <c r="D17" s="1241">
        <v>10600</v>
      </c>
      <c r="E17" s="1242">
        <v>3819</v>
      </c>
      <c r="F17" s="1243">
        <v>10000</v>
      </c>
      <c r="G17" s="1242">
        <v>10000</v>
      </c>
      <c r="H17" s="1244">
        <v>10000</v>
      </c>
    </row>
    <row r="18" spans="2:8" ht="24.75" customHeight="1" thickBot="1" x14ac:dyDescent="0.3">
      <c r="B18" s="1229"/>
      <c r="C18" s="1245"/>
      <c r="D18" s="1231">
        <f>SUM(D17)</f>
        <v>10600</v>
      </c>
      <c r="E18" s="1232">
        <f>SUM(E17)</f>
        <v>3819</v>
      </c>
      <c r="F18" s="1233">
        <f>SUM(F17)</f>
        <v>10000</v>
      </c>
      <c r="G18" s="1232">
        <f>SUM(G17)</f>
        <v>10000</v>
      </c>
      <c r="H18" s="1234">
        <f>SUM(H17)</f>
        <v>10000</v>
      </c>
    </row>
    <row r="19" spans="2:8" ht="24.75" customHeight="1" thickBot="1" x14ac:dyDescent="0.3">
      <c r="B19" s="1246"/>
      <c r="C19" s="1247" t="s">
        <v>662</v>
      </c>
      <c r="D19" s="1248">
        <f>+D9+D12+D18+D15</f>
        <v>96267</v>
      </c>
      <c r="E19" s="1248">
        <f t="shared" ref="E19:H19" si="0">+E9+E12+E18+E15</f>
        <v>64331</v>
      </c>
      <c r="F19" s="1248">
        <f t="shared" si="0"/>
        <v>45000</v>
      </c>
      <c r="G19" s="1248">
        <f t="shared" si="0"/>
        <v>105000</v>
      </c>
      <c r="H19" s="1249">
        <f t="shared" si="0"/>
        <v>105000</v>
      </c>
    </row>
    <row r="20" spans="2:8" ht="24.75" customHeight="1" x14ac:dyDescent="0.25">
      <c r="B20" s="1250"/>
      <c r="C20" s="1202"/>
      <c r="D20" s="1251"/>
      <c r="E20" s="1251"/>
      <c r="F20" s="1251"/>
      <c r="G20" s="1251"/>
      <c r="H20" s="1251"/>
    </row>
    <row r="21" spans="2:8" ht="21.75" customHeight="1" x14ac:dyDescent="0.25">
      <c r="B21" s="1252"/>
      <c r="C21" s="1253" t="s">
        <v>750</v>
      </c>
      <c r="D21" s="1252"/>
      <c r="E21" s="1252"/>
      <c r="F21" s="1252"/>
      <c r="G21" s="1252"/>
      <c r="H21" s="1252"/>
    </row>
    <row r="22" spans="2:8" s="643" customFormat="1" ht="18.95" customHeight="1" x14ac:dyDescent="0.25">
      <c r="B22" s="1252"/>
      <c r="C22" s="1254" t="s">
        <v>751</v>
      </c>
      <c r="D22" s="1252"/>
      <c r="E22" s="1252"/>
      <c r="F22" s="1252"/>
      <c r="G22" s="1252"/>
      <c r="H22" s="1252"/>
    </row>
    <row r="23" spans="2:8" s="643" customFormat="1" ht="18.95" customHeight="1" x14ac:dyDescent="0.25">
      <c r="B23" s="1252"/>
      <c r="C23" s="1254" t="s">
        <v>752</v>
      </c>
      <c r="D23" s="1252"/>
      <c r="E23" s="1252"/>
      <c r="F23" s="1252"/>
      <c r="G23" s="1252"/>
      <c r="H23" s="1252"/>
    </row>
    <row r="24" spans="2:8" s="643" customFormat="1" ht="18.95" customHeight="1" x14ac:dyDescent="0.25">
      <c r="B24" s="1252"/>
      <c r="C24" s="1252" t="s">
        <v>753</v>
      </c>
      <c r="D24" s="1252"/>
      <c r="E24" s="1252"/>
      <c r="F24" s="1252"/>
      <c r="G24" s="1252"/>
      <c r="H24" s="1252"/>
    </row>
    <row r="25" spans="2:8" ht="18.95" customHeight="1" x14ac:dyDescent="0.2"/>
    <row r="26" spans="2:8" ht="18.95" customHeight="1" x14ac:dyDescent="0.2"/>
    <row r="27" spans="2:8" ht="18.95" customHeight="1" x14ac:dyDescent="0.2"/>
    <row r="28" spans="2:8" ht="18.95" customHeight="1" x14ac:dyDescent="0.2"/>
  </sheetData>
  <mergeCells count="4">
    <mergeCell ref="B1:H1"/>
    <mergeCell ref="B2:H2"/>
    <mergeCell ref="B3:H3"/>
    <mergeCell ref="B5:C5"/>
  </mergeCells>
  <printOptions horizontalCentered="1" verticalCentered="1"/>
  <pageMargins left="0.19685039370078741" right="0.19685039370078741" top="0.19685039370078741" bottom="0.19685039370078741" header="0.51181102362204722" footer="0.39370078740157483"/>
  <pageSetup paperSize="9" scale="60" orientation="portrait" r:id="rId1"/>
  <headerFooter alignWithMargins="0">
    <oddHeader xml:space="preserve">&amp;C
&amp;R&amp;"Arial CE,Normál"&amp;18 &amp;"-,Félkövér"&amp;12 22. melléklet a 10/2024. (V.31.)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9D99-E067-424E-87F4-130735FA01FC}">
  <dimension ref="B2:I139"/>
  <sheetViews>
    <sheetView zoomScale="85" zoomScaleNormal="85" zoomScaleSheetLayoutView="80" workbookViewId="0">
      <selection activeCell="H20" sqref="H20"/>
    </sheetView>
  </sheetViews>
  <sheetFormatPr defaultColWidth="10.6640625" defaultRowHeight="12.75" x14ac:dyDescent="0.2"/>
  <cols>
    <col min="1" max="1" width="4.6640625" style="644" customWidth="1"/>
    <col min="2" max="2" width="9.33203125" style="652" customWidth="1"/>
    <col min="3" max="3" width="10.6640625" style="644" customWidth="1"/>
    <col min="4" max="4" width="57.33203125" style="644" customWidth="1"/>
    <col min="5" max="5" width="27.33203125" style="644" customWidth="1"/>
    <col min="6" max="7" width="30.6640625" style="644" customWidth="1"/>
    <col min="8" max="8" width="19.1640625" style="1255" bestFit="1" customWidth="1"/>
    <col min="9" max="9" width="12.33203125" style="644" bestFit="1" customWidth="1"/>
    <col min="10" max="16384" width="10.6640625" style="644"/>
  </cols>
  <sheetData>
    <row r="2" spans="2:9" ht="20.25" x14ac:dyDescent="0.3">
      <c r="G2" s="954"/>
    </row>
    <row r="4" spans="2:9" ht="17.25" customHeight="1" x14ac:dyDescent="0.3">
      <c r="B4" s="1860" t="s">
        <v>1186</v>
      </c>
      <c r="C4" s="1860"/>
      <c r="D4" s="1860"/>
      <c r="E4" s="1860"/>
      <c r="F4" s="1860"/>
      <c r="G4" s="1860"/>
    </row>
    <row r="5" spans="2:9" s="645" customFormat="1" ht="18.75" x14ac:dyDescent="0.3">
      <c r="B5" s="1995" t="s">
        <v>754</v>
      </c>
      <c r="C5" s="1995"/>
      <c r="D5" s="1995"/>
      <c r="E5" s="1995"/>
      <c r="F5" s="1996"/>
      <c r="G5" s="1996"/>
      <c r="H5" s="1256"/>
      <c r="I5" s="752"/>
    </row>
    <row r="6" spans="2:9" s="645" customFormat="1" ht="16.5" thickBot="1" x14ac:dyDescent="0.3">
      <c r="B6" s="646"/>
      <c r="C6" s="646"/>
      <c r="D6" s="646"/>
      <c r="E6" s="646"/>
      <c r="F6" s="641"/>
      <c r="G6" s="641" t="s">
        <v>15</v>
      </c>
      <c r="H6" s="1256"/>
    </row>
    <row r="7" spans="2:9" s="645" customFormat="1" ht="20.25" customHeight="1" x14ac:dyDescent="0.25">
      <c r="B7" s="1512"/>
      <c r="C7" s="1997" t="s">
        <v>29</v>
      </c>
      <c r="D7" s="1998"/>
      <c r="E7" s="1513"/>
      <c r="F7" s="1514" t="s">
        <v>755</v>
      </c>
      <c r="G7" s="1514" t="s">
        <v>1184</v>
      </c>
      <c r="H7" s="1256"/>
    </row>
    <row r="8" spans="2:9" s="645" customFormat="1" ht="16.5" customHeight="1" x14ac:dyDescent="0.25">
      <c r="B8" s="1515"/>
      <c r="C8" s="1515"/>
      <c r="D8" s="1516"/>
      <c r="E8" s="1517"/>
      <c r="F8" s="1518" t="s">
        <v>756</v>
      </c>
      <c r="G8" s="1518" t="s">
        <v>756</v>
      </c>
      <c r="H8" s="1256"/>
    </row>
    <row r="9" spans="2:9" s="645" customFormat="1" ht="16.5" customHeight="1" thickBot="1" x14ac:dyDescent="0.3">
      <c r="B9" s="1519"/>
      <c r="C9" s="1519"/>
      <c r="D9" s="1520"/>
      <c r="E9" s="1521"/>
      <c r="F9" s="1522" t="s">
        <v>757</v>
      </c>
      <c r="G9" s="1522" t="s">
        <v>1185</v>
      </c>
      <c r="H9" s="1256"/>
    </row>
    <row r="10" spans="2:9" s="645" customFormat="1" ht="16.5" customHeight="1" x14ac:dyDescent="0.25">
      <c r="B10" s="1515"/>
      <c r="C10" s="1515"/>
      <c r="D10" s="1516"/>
      <c r="E10" s="1517"/>
      <c r="F10" s="1523"/>
      <c r="G10" s="1523"/>
      <c r="H10" s="1256"/>
    </row>
    <row r="11" spans="2:9" s="645" customFormat="1" ht="14.25" customHeight="1" x14ac:dyDescent="0.25">
      <c r="B11" s="1524"/>
      <c r="C11" s="1525" t="s">
        <v>758</v>
      </c>
      <c r="D11" s="1526"/>
      <c r="E11" s="1527" t="s">
        <v>759</v>
      </c>
      <c r="F11" s="1528">
        <v>21212</v>
      </c>
      <c r="G11" s="1528">
        <v>26899</v>
      </c>
      <c r="H11" s="1256"/>
    </row>
    <row r="12" spans="2:9" s="645" customFormat="1" ht="15.75" x14ac:dyDescent="0.25">
      <c r="B12" s="1524"/>
      <c r="C12" s="1525"/>
      <c r="D12" s="1526"/>
      <c r="E12" s="1527" t="s">
        <v>760</v>
      </c>
      <c r="F12" s="1528">
        <v>19157</v>
      </c>
      <c r="G12" s="1528">
        <v>15973</v>
      </c>
      <c r="H12" s="1257"/>
    </row>
    <row r="13" spans="2:9" s="645" customFormat="1" ht="16.5" customHeight="1" x14ac:dyDescent="0.25">
      <c r="B13" s="1529" t="s">
        <v>761</v>
      </c>
      <c r="C13" s="1530" t="s">
        <v>758</v>
      </c>
      <c r="D13" s="1531"/>
      <c r="E13" s="1532" t="s">
        <v>762</v>
      </c>
      <c r="F13" s="1533">
        <f>SUM(F11:F12)</f>
        <v>40369</v>
      </c>
      <c r="G13" s="1533">
        <f>SUM(G11:G12)</f>
        <v>42872</v>
      </c>
      <c r="H13" s="1256"/>
    </row>
    <row r="14" spans="2:9" s="645" customFormat="1" ht="15.6" customHeight="1" x14ac:dyDescent="0.25">
      <c r="B14" s="1534"/>
      <c r="C14" s="1535"/>
      <c r="D14" s="1536"/>
      <c r="E14" s="1517"/>
      <c r="F14" s="1537"/>
      <c r="G14" s="1537"/>
      <c r="H14" s="1256"/>
    </row>
    <row r="15" spans="2:9" s="645" customFormat="1" ht="15" customHeight="1" x14ac:dyDescent="0.25">
      <c r="B15" s="1524"/>
      <c r="C15" s="1525" t="s">
        <v>763</v>
      </c>
      <c r="D15" s="1526"/>
      <c r="E15" s="1527" t="s">
        <v>759</v>
      </c>
      <c r="F15" s="1528">
        <v>5248</v>
      </c>
      <c r="G15" s="1528">
        <v>5701</v>
      </c>
      <c r="H15" s="1256"/>
    </row>
    <row r="16" spans="2:9" s="645" customFormat="1" ht="15.75" x14ac:dyDescent="0.25">
      <c r="B16" s="1524"/>
      <c r="C16" s="1525"/>
      <c r="D16" s="1526"/>
      <c r="E16" s="1527" t="s">
        <v>760</v>
      </c>
      <c r="F16" s="1528">
        <v>107</v>
      </c>
      <c r="G16" s="1528">
        <v>9771</v>
      </c>
      <c r="H16" s="1256"/>
    </row>
    <row r="17" spans="2:8" s="645" customFormat="1" ht="16.5" customHeight="1" x14ac:dyDescent="0.25">
      <c r="B17" s="1529" t="s">
        <v>764</v>
      </c>
      <c r="C17" s="1530" t="s">
        <v>763</v>
      </c>
      <c r="D17" s="1531"/>
      <c r="E17" s="1532" t="s">
        <v>762</v>
      </c>
      <c r="F17" s="1533">
        <f>SUM(F15:F16)</f>
        <v>5355</v>
      </c>
      <c r="G17" s="1533">
        <f>SUM(G15:G16)</f>
        <v>15472</v>
      </c>
      <c r="H17" s="1256"/>
    </row>
    <row r="18" spans="2:8" s="645" customFormat="1" ht="15.6" customHeight="1" x14ac:dyDescent="0.25">
      <c r="B18" s="1534"/>
      <c r="C18" s="1535"/>
      <c r="D18" s="1536"/>
      <c r="E18" s="1517"/>
      <c r="F18" s="1537"/>
      <c r="G18" s="1537"/>
      <c r="H18" s="1256"/>
    </row>
    <row r="19" spans="2:8" s="645" customFormat="1" ht="15.75" x14ac:dyDescent="0.25">
      <c r="B19" s="1524"/>
      <c r="C19" s="1525" t="s">
        <v>765</v>
      </c>
      <c r="D19" s="1526"/>
      <c r="E19" s="1527" t="s">
        <v>759</v>
      </c>
      <c r="F19" s="1528">
        <f>+F11+F15</f>
        <v>26460</v>
      </c>
      <c r="G19" s="1528">
        <f>+G11+G15</f>
        <v>32600</v>
      </c>
      <c r="H19" s="1256"/>
    </row>
    <row r="20" spans="2:8" s="645" customFormat="1" ht="15.75" x14ac:dyDescent="0.25">
      <c r="B20" s="1524"/>
      <c r="C20" s="1525"/>
      <c r="D20" s="1526"/>
      <c r="E20" s="1527" t="s">
        <v>760</v>
      </c>
      <c r="F20" s="1528">
        <f>+F12+F16</f>
        <v>19264</v>
      </c>
      <c r="G20" s="1528">
        <f>+G12+G16</f>
        <v>25744</v>
      </c>
      <c r="H20" s="1256"/>
    </row>
    <row r="21" spans="2:8" s="645" customFormat="1" ht="16.5" customHeight="1" thickBot="1" x14ac:dyDescent="0.3">
      <c r="B21" s="1538" t="s">
        <v>766</v>
      </c>
      <c r="C21" s="1539" t="s">
        <v>767</v>
      </c>
      <c r="D21" s="1540"/>
      <c r="E21" s="1541" t="s">
        <v>762</v>
      </c>
      <c r="F21" s="1542">
        <f>SUM(F19:F20)</f>
        <v>45724</v>
      </c>
      <c r="G21" s="1542">
        <f>SUM(G19:G20)</f>
        <v>58344</v>
      </c>
      <c r="H21" s="1256"/>
    </row>
    <row r="22" spans="2:8" s="645" customFormat="1" ht="15.6" customHeight="1" x14ac:dyDescent="0.25">
      <c r="B22" s="1534"/>
      <c r="C22" s="1535"/>
      <c r="D22" s="1536"/>
      <c r="E22" s="1535"/>
      <c r="F22" s="1543"/>
      <c r="G22" s="1543"/>
      <c r="H22" s="1256"/>
    </row>
    <row r="23" spans="2:8" s="645" customFormat="1" ht="14.25" customHeight="1" x14ac:dyDescent="0.25">
      <c r="B23" s="1524"/>
      <c r="C23" s="1525" t="s">
        <v>768</v>
      </c>
      <c r="D23" s="1526"/>
      <c r="E23" s="1525" t="s">
        <v>759</v>
      </c>
      <c r="F23" s="1544">
        <v>5250388</v>
      </c>
      <c r="G23" s="1544">
        <v>5143616</v>
      </c>
      <c r="H23" s="1256"/>
    </row>
    <row r="24" spans="2:8" s="645" customFormat="1" ht="15.75" x14ac:dyDescent="0.25">
      <c r="B24" s="1524"/>
      <c r="C24" s="1525"/>
      <c r="D24" s="1526"/>
      <c r="E24" s="1525" t="s">
        <v>760</v>
      </c>
      <c r="F24" s="1544">
        <v>81687508</v>
      </c>
      <c r="G24" s="1544">
        <v>82740525</v>
      </c>
      <c r="H24" s="1256"/>
    </row>
    <row r="25" spans="2:8" s="645" customFormat="1" ht="16.5" customHeight="1" x14ac:dyDescent="0.25">
      <c r="B25" s="1529" t="s">
        <v>769</v>
      </c>
      <c r="C25" s="1530" t="s">
        <v>770</v>
      </c>
      <c r="D25" s="1531"/>
      <c r="E25" s="1530" t="s">
        <v>762</v>
      </c>
      <c r="F25" s="1545">
        <f>SUM(F23:F24)</f>
        <v>86937896</v>
      </c>
      <c r="G25" s="1545">
        <f>SUM(G23:G24)</f>
        <v>87884141</v>
      </c>
      <c r="H25" s="1256"/>
    </row>
    <row r="26" spans="2:8" s="645" customFormat="1" ht="15.6" customHeight="1" x14ac:dyDescent="0.25">
      <c r="B26" s="1534"/>
      <c r="C26" s="1535"/>
      <c r="D26" s="1536"/>
      <c r="E26" s="1535"/>
      <c r="F26" s="1546"/>
      <c r="G26" s="1546"/>
      <c r="H26" s="1256"/>
    </row>
    <row r="27" spans="2:8" s="645" customFormat="1" ht="15" customHeight="1" x14ac:dyDescent="0.25">
      <c r="B27" s="1524"/>
      <c r="C27" s="1525" t="s">
        <v>771</v>
      </c>
      <c r="D27" s="1526"/>
      <c r="E27" s="1525" t="s">
        <v>759</v>
      </c>
      <c r="F27" s="1544">
        <v>399862</v>
      </c>
      <c r="G27" s="1544">
        <v>365104</v>
      </c>
      <c r="H27" s="1256"/>
    </row>
    <row r="28" spans="2:8" s="645" customFormat="1" ht="15.75" x14ac:dyDescent="0.25">
      <c r="B28" s="1524"/>
      <c r="C28" s="1525"/>
      <c r="D28" s="1526"/>
      <c r="E28" s="1525" t="s">
        <v>760</v>
      </c>
      <c r="F28" s="1544">
        <v>2791667</v>
      </c>
      <c r="G28" s="1544">
        <v>2443567</v>
      </c>
      <c r="H28" s="1256"/>
    </row>
    <row r="29" spans="2:8" s="645" customFormat="1" ht="17.25" customHeight="1" x14ac:dyDescent="0.25">
      <c r="B29" s="1529" t="s">
        <v>772</v>
      </c>
      <c r="C29" s="1530" t="s">
        <v>771</v>
      </c>
      <c r="D29" s="1531"/>
      <c r="E29" s="1530" t="s">
        <v>762</v>
      </c>
      <c r="F29" s="1545">
        <f>SUM(F27:F28)</f>
        <v>3191529</v>
      </c>
      <c r="G29" s="1545">
        <f>SUM(G27:G28)</f>
        <v>2808671</v>
      </c>
      <c r="H29" s="1256"/>
    </row>
    <row r="30" spans="2:8" s="645" customFormat="1" ht="15.6" customHeight="1" x14ac:dyDescent="0.25">
      <c r="B30" s="1534"/>
      <c r="C30" s="1535"/>
      <c r="D30" s="1536"/>
      <c r="E30" s="1535"/>
      <c r="F30" s="1546"/>
      <c r="G30" s="1546"/>
      <c r="H30" s="1256"/>
    </row>
    <row r="31" spans="2:8" s="645" customFormat="1" ht="15.75" x14ac:dyDescent="0.25">
      <c r="B31" s="1524"/>
      <c r="C31" s="1525" t="s">
        <v>773</v>
      </c>
      <c r="D31" s="1526"/>
      <c r="E31" s="1525" t="s">
        <v>759</v>
      </c>
      <c r="F31" s="1544">
        <v>0</v>
      </c>
      <c r="G31" s="1544">
        <v>0</v>
      </c>
      <c r="H31" s="1256"/>
    </row>
    <row r="32" spans="2:8" s="645" customFormat="1" ht="15.75" x14ac:dyDescent="0.25">
      <c r="B32" s="1524"/>
      <c r="C32" s="1525"/>
      <c r="D32" s="1526"/>
      <c r="E32" s="1525" t="s">
        <v>760</v>
      </c>
      <c r="F32" s="1544">
        <v>0</v>
      </c>
      <c r="G32" s="1544">
        <v>0</v>
      </c>
      <c r="H32" s="1256"/>
    </row>
    <row r="33" spans="2:8" s="645" customFormat="1" ht="16.5" customHeight="1" x14ac:dyDescent="0.25">
      <c r="B33" s="1529" t="s">
        <v>774</v>
      </c>
      <c r="C33" s="1530" t="s">
        <v>773</v>
      </c>
      <c r="D33" s="1531"/>
      <c r="E33" s="1530" t="s">
        <v>762</v>
      </c>
      <c r="F33" s="1545">
        <f>SUM(F31:F32)</f>
        <v>0</v>
      </c>
      <c r="G33" s="1545">
        <f>SUM(G31:G32)</f>
        <v>0</v>
      </c>
      <c r="H33" s="1256"/>
    </row>
    <row r="34" spans="2:8" s="645" customFormat="1" ht="15.6" customHeight="1" x14ac:dyDescent="0.25">
      <c r="B34" s="1534"/>
      <c r="C34" s="1535"/>
      <c r="D34" s="1536"/>
      <c r="E34" s="1535"/>
      <c r="F34" s="1546"/>
      <c r="G34" s="1546"/>
      <c r="H34" s="1256"/>
    </row>
    <row r="35" spans="2:8" s="645" customFormat="1" ht="15.75" x14ac:dyDescent="0.25">
      <c r="B35" s="1524"/>
      <c r="C35" s="1525" t="s">
        <v>775</v>
      </c>
      <c r="D35" s="1526"/>
      <c r="E35" s="1525" t="s">
        <v>759</v>
      </c>
      <c r="F35" s="1544">
        <v>501</v>
      </c>
      <c r="G35" s="1544">
        <v>3044</v>
      </c>
      <c r="H35" s="1256"/>
    </row>
    <row r="36" spans="2:8" s="645" customFormat="1" ht="15.75" x14ac:dyDescent="0.25">
      <c r="B36" s="1524"/>
      <c r="C36" s="1525"/>
      <c r="D36" s="1526"/>
      <c r="E36" s="1525" t="s">
        <v>760</v>
      </c>
      <c r="F36" s="1544">
        <v>2524884</v>
      </c>
      <c r="G36" s="1544">
        <v>1615658</v>
      </c>
      <c r="H36" s="1256"/>
    </row>
    <row r="37" spans="2:8" s="645" customFormat="1" ht="16.5" customHeight="1" x14ac:dyDescent="0.25">
      <c r="B37" s="1529" t="s">
        <v>776</v>
      </c>
      <c r="C37" s="1530" t="s">
        <v>173</v>
      </c>
      <c r="D37" s="1531"/>
      <c r="E37" s="1530" t="s">
        <v>762</v>
      </c>
      <c r="F37" s="1545">
        <f>SUM(F35:F36)</f>
        <v>2525385</v>
      </c>
      <c r="G37" s="1545">
        <f>SUM(G35:G36)</f>
        <v>1618702</v>
      </c>
      <c r="H37" s="1256"/>
    </row>
    <row r="38" spans="2:8" s="645" customFormat="1" ht="15.6" customHeight="1" x14ac:dyDescent="0.25">
      <c r="B38" s="1534"/>
      <c r="C38" s="1535"/>
      <c r="D38" s="1536"/>
      <c r="E38" s="1535"/>
      <c r="F38" s="1546"/>
      <c r="G38" s="1546"/>
      <c r="H38" s="1256"/>
    </row>
    <row r="39" spans="2:8" s="645" customFormat="1" ht="15" customHeight="1" x14ac:dyDescent="0.25">
      <c r="B39" s="1524"/>
      <c r="C39" s="1525" t="s">
        <v>777</v>
      </c>
      <c r="D39" s="1526"/>
      <c r="E39" s="1525" t="s">
        <v>759</v>
      </c>
      <c r="F39" s="1544">
        <f>+F23+F27+F31+F35</f>
        <v>5650751</v>
      </c>
      <c r="G39" s="1544">
        <f>+G23+G27+G31+G35</f>
        <v>5511764</v>
      </c>
      <c r="H39" s="1256"/>
    </row>
    <row r="40" spans="2:8" s="645" customFormat="1" ht="15.75" x14ac:dyDescent="0.25">
      <c r="B40" s="1524"/>
      <c r="C40" s="1525"/>
      <c r="D40" s="1526"/>
      <c r="E40" s="1525" t="s">
        <v>760</v>
      </c>
      <c r="F40" s="1544">
        <f>+F24+F28+F32+F36</f>
        <v>87004059</v>
      </c>
      <c r="G40" s="1544">
        <f>+G24+G28+G32+G36</f>
        <v>86799750</v>
      </c>
      <c r="H40" s="1256"/>
    </row>
    <row r="41" spans="2:8" s="645" customFormat="1" ht="16.5" customHeight="1" thickBot="1" x14ac:dyDescent="0.3">
      <c r="B41" s="1538" t="s">
        <v>778</v>
      </c>
      <c r="C41" s="1539" t="s">
        <v>777</v>
      </c>
      <c r="D41" s="1540"/>
      <c r="E41" s="1539" t="s">
        <v>762</v>
      </c>
      <c r="F41" s="1547">
        <f>SUM(F39:F40)</f>
        <v>92654810</v>
      </c>
      <c r="G41" s="1547">
        <f>SUM(G39:G40)</f>
        <v>92311514</v>
      </c>
      <c r="H41" s="1256"/>
    </row>
    <row r="42" spans="2:8" s="645" customFormat="1" ht="15.6" customHeight="1" x14ac:dyDescent="0.25">
      <c r="B42" s="1534"/>
      <c r="C42" s="1535"/>
      <c r="D42" s="1536"/>
      <c r="E42" s="1517"/>
      <c r="F42" s="1548"/>
      <c r="G42" s="1548"/>
      <c r="H42" s="1256"/>
    </row>
    <row r="43" spans="2:8" s="645" customFormat="1" ht="15" customHeight="1" x14ac:dyDescent="0.25">
      <c r="B43" s="1524"/>
      <c r="C43" s="1525" t="s">
        <v>779</v>
      </c>
      <c r="D43" s="1526"/>
      <c r="E43" s="1527" t="s">
        <v>759</v>
      </c>
      <c r="F43" s="1528"/>
      <c r="G43" s="1528"/>
      <c r="H43" s="1256"/>
    </row>
    <row r="44" spans="2:8" s="645" customFormat="1" ht="15.75" x14ac:dyDescent="0.25">
      <c r="B44" s="1524"/>
      <c r="C44" s="1525"/>
      <c r="D44" s="1526"/>
      <c r="E44" s="1527" t="s">
        <v>760</v>
      </c>
      <c r="F44" s="1528">
        <v>6456011</v>
      </c>
      <c r="G44" s="1528">
        <v>6458011</v>
      </c>
      <c r="H44" s="1256"/>
    </row>
    <row r="45" spans="2:8" s="645" customFormat="1" ht="16.5" customHeight="1" x14ac:dyDescent="0.25">
      <c r="B45" s="1529" t="s">
        <v>780</v>
      </c>
      <c r="C45" s="1530" t="s">
        <v>781</v>
      </c>
      <c r="D45" s="1531"/>
      <c r="E45" s="1532" t="s">
        <v>762</v>
      </c>
      <c r="F45" s="1533">
        <f>SUM(F43:F44)</f>
        <v>6456011</v>
      </c>
      <c r="G45" s="1533">
        <f>SUM(G43:G44)</f>
        <v>6458011</v>
      </c>
      <c r="H45" s="1256"/>
    </row>
    <row r="46" spans="2:8" s="645" customFormat="1" ht="15.6" customHeight="1" x14ac:dyDescent="0.25">
      <c r="B46" s="1534"/>
      <c r="C46" s="1535"/>
      <c r="D46" s="1536"/>
      <c r="E46" s="1517"/>
      <c r="F46" s="1537"/>
      <c r="G46" s="1537"/>
      <c r="H46" s="1256"/>
    </row>
    <row r="47" spans="2:8" s="645" customFormat="1" ht="15.75" customHeight="1" x14ac:dyDescent="0.25">
      <c r="B47" s="1524"/>
      <c r="C47" s="1525" t="s">
        <v>782</v>
      </c>
      <c r="D47" s="1526"/>
      <c r="E47" s="1527" t="s">
        <v>759</v>
      </c>
      <c r="F47" s="1528">
        <v>0</v>
      </c>
      <c r="G47" s="1528">
        <v>0</v>
      </c>
      <c r="H47" s="1256"/>
    </row>
    <row r="48" spans="2:8" s="645" customFormat="1" ht="15.75" x14ac:dyDescent="0.25">
      <c r="B48" s="1524"/>
      <c r="C48" s="1525"/>
      <c r="D48" s="1526"/>
      <c r="E48" s="1527" t="s">
        <v>760</v>
      </c>
      <c r="F48" s="1528">
        <v>0</v>
      </c>
      <c r="G48" s="1528">
        <v>0</v>
      </c>
      <c r="H48" s="1256"/>
    </row>
    <row r="49" spans="2:8" s="645" customFormat="1" ht="16.5" customHeight="1" x14ac:dyDescent="0.25">
      <c r="B49" s="1529" t="s">
        <v>783</v>
      </c>
      <c r="C49" s="1530" t="s">
        <v>782</v>
      </c>
      <c r="D49" s="1531"/>
      <c r="E49" s="1532" t="s">
        <v>762</v>
      </c>
      <c r="F49" s="1545">
        <f>SUM(F48:F48)</f>
        <v>0</v>
      </c>
      <c r="G49" s="1545">
        <f>SUM(G48:G48)</f>
        <v>0</v>
      </c>
      <c r="H49" s="1256"/>
    </row>
    <row r="50" spans="2:8" s="645" customFormat="1" ht="15.6" customHeight="1" x14ac:dyDescent="0.25">
      <c r="B50" s="1534"/>
      <c r="C50" s="1535"/>
      <c r="D50" s="1536"/>
      <c r="E50" s="1517"/>
      <c r="F50" s="1546"/>
      <c r="G50" s="1546"/>
      <c r="H50" s="1256"/>
    </row>
    <row r="51" spans="2:8" s="645" customFormat="1" ht="15.75" customHeight="1" x14ac:dyDescent="0.25">
      <c r="B51" s="1524"/>
      <c r="C51" s="1525" t="s">
        <v>784</v>
      </c>
      <c r="D51" s="1526"/>
      <c r="E51" s="1527" t="s">
        <v>759</v>
      </c>
      <c r="F51" s="1544">
        <f>F43+F47</f>
        <v>0</v>
      </c>
      <c r="G51" s="1544">
        <f>G43+G47</f>
        <v>0</v>
      </c>
      <c r="H51" s="1256"/>
    </row>
    <row r="52" spans="2:8" s="645" customFormat="1" ht="15.75" x14ac:dyDescent="0.25">
      <c r="B52" s="1524"/>
      <c r="C52" s="1535"/>
      <c r="D52" s="1526"/>
      <c r="E52" s="1527" t="s">
        <v>760</v>
      </c>
      <c r="F52" s="1544">
        <f>F44+F48</f>
        <v>6456011</v>
      </c>
      <c r="G52" s="1544">
        <f>G44+G48</f>
        <v>6458011</v>
      </c>
      <c r="H52" s="1256"/>
    </row>
    <row r="53" spans="2:8" s="645" customFormat="1" ht="16.5" customHeight="1" thickBot="1" x14ac:dyDescent="0.3">
      <c r="B53" s="1538" t="s">
        <v>785</v>
      </c>
      <c r="C53" s="1539" t="s">
        <v>784</v>
      </c>
      <c r="D53" s="1540"/>
      <c r="E53" s="1541" t="s">
        <v>762</v>
      </c>
      <c r="F53" s="1547">
        <f>SUM(F51:F52)</f>
        <v>6456011</v>
      </c>
      <c r="G53" s="1547">
        <f>SUM(G51:G52)</f>
        <v>6458011</v>
      </c>
      <c r="H53" s="1256"/>
    </row>
    <row r="54" spans="2:8" s="645" customFormat="1" ht="15.6" customHeight="1" x14ac:dyDescent="0.25">
      <c r="B54" s="1534"/>
      <c r="C54" s="1535"/>
      <c r="D54" s="1536"/>
      <c r="E54" s="1517"/>
      <c r="F54" s="1537"/>
      <c r="G54" s="1537"/>
      <c r="H54" s="1256"/>
    </row>
    <row r="55" spans="2:8" s="645" customFormat="1" ht="16.5" customHeight="1" x14ac:dyDescent="0.25">
      <c r="B55" s="1524"/>
      <c r="C55" s="1525" t="s">
        <v>786</v>
      </c>
      <c r="D55" s="1526"/>
      <c r="E55" s="1527" t="s">
        <v>759</v>
      </c>
      <c r="F55" s="1528"/>
      <c r="G55" s="1528"/>
      <c r="H55" s="1256"/>
    </row>
    <row r="56" spans="2:8" s="645" customFormat="1" ht="15.75" x14ac:dyDescent="0.25">
      <c r="B56" s="1524"/>
      <c r="C56" s="1525"/>
      <c r="D56" s="1526"/>
      <c r="E56" s="1527" t="s">
        <v>760</v>
      </c>
      <c r="F56" s="1528">
        <v>876761</v>
      </c>
      <c r="G56" s="1528">
        <v>872952</v>
      </c>
      <c r="H56" s="1256"/>
    </row>
    <row r="57" spans="2:8" s="645" customFormat="1" ht="38.25" customHeight="1" thickBot="1" x14ac:dyDescent="0.3">
      <c r="B57" s="1549" t="s">
        <v>787</v>
      </c>
      <c r="C57" s="1999" t="s">
        <v>788</v>
      </c>
      <c r="D57" s="2000"/>
      <c r="E57" s="1550" t="s">
        <v>762</v>
      </c>
      <c r="F57" s="1551">
        <f>SUM(F55:F56)</f>
        <v>876761</v>
      </c>
      <c r="G57" s="1551">
        <f>SUM(G55:G56)</f>
        <v>872952</v>
      </c>
      <c r="H57" s="1256"/>
    </row>
    <row r="58" spans="2:8" s="645" customFormat="1" ht="15.6" customHeight="1" x14ac:dyDescent="0.25">
      <c r="B58" s="1552"/>
      <c r="C58" s="1553"/>
      <c r="D58" s="1554"/>
      <c r="E58" s="1513"/>
      <c r="F58" s="1543"/>
      <c r="G58" s="1543"/>
      <c r="H58" s="1256"/>
    </row>
    <row r="59" spans="2:8" s="645" customFormat="1" ht="15" customHeight="1" x14ac:dyDescent="0.25">
      <c r="B59" s="1524"/>
      <c r="C59" s="1988" t="s">
        <v>789</v>
      </c>
      <c r="D59" s="1989"/>
      <c r="E59" s="1527" t="s">
        <v>759</v>
      </c>
      <c r="F59" s="1544">
        <f>+F19+F39+F51+F55</f>
        <v>5677211</v>
      </c>
      <c r="G59" s="1544">
        <f>+G19+G39+G51+G55</f>
        <v>5544364</v>
      </c>
      <c r="H59" s="1256"/>
    </row>
    <row r="60" spans="2:8" s="645" customFormat="1" ht="16.5" thickBot="1" x14ac:dyDescent="0.3">
      <c r="B60" s="1556"/>
      <c r="C60" s="1557"/>
      <c r="D60" s="1558"/>
      <c r="E60" s="1559" t="s">
        <v>760</v>
      </c>
      <c r="F60" s="1560">
        <f>+F20+F40+F52+F56</f>
        <v>94356095</v>
      </c>
      <c r="G60" s="1560">
        <f>+G20+G40+G52+G56</f>
        <v>94156457</v>
      </c>
      <c r="H60" s="1256"/>
    </row>
    <row r="61" spans="2:8" s="645" customFormat="1" ht="39.75" customHeight="1" thickBot="1" x14ac:dyDescent="0.3">
      <c r="B61" s="1561" t="s">
        <v>790</v>
      </c>
      <c r="C61" s="2001" t="s">
        <v>789</v>
      </c>
      <c r="D61" s="1989"/>
      <c r="E61" s="1563" t="s">
        <v>762</v>
      </c>
      <c r="F61" s="1564">
        <f>SUM(F59:F60)</f>
        <v>100033306</v>
      </c>
      <c r="G61" s="1564">
        <f>SUM(G59:G60)</f>
        <v>99700821</v>
      </c>
      <c r="H61" s="1256"/>
    </row>
    <row r="62" spans="2:8" s="645" customFormat="1" ht="16.5" customHeight="1" x14ac:dyDescent="0.25">
      <c r="B62" s="1512"/>
      <c r="C62" s="1512"/>
      <c r="D62" s="1565"/>
      <c r="E62" s="1513"/>
      <c r="F62" s="1514"/>
      <c r="G62" s="1514"/>
      <c r="H62" s="1256"/>
    </row>
    <row r="63" spans="2:8" s="645" customFormat="1" ht="15" customHeight="1" x14ac:dyDescent="0.25">
      <c r="B63" s="1524"/>
      <c r="C63" s="1525" t="s">
        <v>791</v>
      </c>
      <c r="D63" s="1526"/>
      <c r="E63" s="1527" t="s">
        <v>759</v>
      </c>
      <c r="F63" s="1544">
        <v>30449</v>
      </c>
      <c r="G63" s="1544">
        <v>33433</v>
      </c>
      <c r="H63" s="1256"/>
    </row>
    <row r="64" spans="2:8" s="645" customFormat="1" ht="15.75" x14ac:dyDescent="0.25">
      <c r="B64" s="1566"/>
      <c r="C64" s="1525"/>
      <c r="D64" s="1526"/>
      <c r="E64" s="1527" t="s">
        <v>760</v>
      </c>
      <c r="F64" s="1544">
        <v>0</v>
      </c>
      <c r="G64" s="1544">
        <v>0</v>
      </c>
      <c r="H64" s="1256"/>
    </row>
    <row r="65" spans="2:8" s="645" customFormat="1" ht="16.5" customHeight="1" thickBot="1" x14ac:dyDescent="0.3">
      <c r="B65" s="1567" t="s">
        <v>792</v>
      </c>
      <c r="C65" s="1539" t="s">
        <v>791</v>
      </c>
      <c r="D65" s="1540"/>
      <c r="E65" s="1541" t="s">
        <v>762</v>
      </c>
      <c r="F65" s="1547">
        <f>SUM(F63:F64)</f>
        <v>30449</v>
      </c>
      <c r="G65" s="1547">
        <f>SUM(G63:G64)</f>
        <v>33433</v>
      </c>
      <c r="H65" s="1256"/>
    </row>
    <row r="66" spans="2:8" s="645" customFormat="1" ht="11.1" customHeight="1" x14ac:dyDescent="0.25">
      <c r="B66" s="1524"/>
      <c r="C66" s="1525"/>
      <c r="D66" s="1526"/>
      <c r="E66" s="1527"/>
      <c r="F66" s="1528"/>
      <c r="G66" s="1528"/>
      <c r="H66" s="1256"/>
    </row>
    <row r="67" spans="2:8" s="645" customFormat="1" ht="15.75" x14ac:dyDescent="0.25">
      <c r="B67" s="1524"/>
      <c r="C67" s="1525" t="s">
        <v>793</v>
      </c>
      <c r="D67" s="1526"/>
      <c r="E67" s="1527" t="s">
        <v>759</v>
      </c>
      <c r="F67" s="1528">
        <v>0</v>
      </c>
      <c r="G67" s="1528">
        <v>0</v>
      </c>
      <c r="H67" s="1256"/>
    </row>
    <row r="68" spans="2:8" s="645" customFormat="1" ht="15.75" x14ac:dyDescent="0.25">
      <c r="B68" s="1524"/>
      <c r="C68" s="1525"/>
      <c r="D68" s="1526"/>
      <c r="E68" s="1527" t="s">
        <v>760</v>
      </c>
      <c r="F68" s="1528">
        <v>0</v>
      </c>
      <c r="G68" s="1528">
        <v>0</v>
      </c>
      <c r="H68" s="1256"/>
    </row>
    <row r="69" spans="2:8" s="645" customFormat="1" ht="16.5" customHeight="1" thickBot="1" x14ac:dyDescent="0.3">
      <c r="B69" s="1538" t="s">
        <v>794</v>
      </c>
      <c r="C69" s="1539" t="s">
        <v>795</v>
      </c>
      <c r="D69" s="1540"/>
      <c r="E69" s="1541" t="s">
        <v>762</v>
      </c>
      <c r="F69" s="1542">
        <f>SUM(F67:F68)</f>
        <v>0</v>
      </c>
      <c r="G69" s="1542">
        <f>SUM(G67:G68)</f>
        <v>0</v>
      </c>
      <c r="H69" s="1256"/>
    </row>
    <row r="70" spans="2:8" s="645" customFormat="1" ht="15.6" customHeight="1" x14ac:dyDescent="0.25">
      <c r="B70" s="1534"/>
      <c r="C70" s="1535"/>
      <c r="D70" s="1536"/>
      <c r="E70" s="1517"/>
      <c r="F70" s="1537"/>
      <c r="G70" s="1537"/>
      <c r="H70" s="1256"/>
    </row>
    <row r="71" spans="2:8" s="645" customFormat="1" ht="15.75" x14ac:dyDescent="0.25">
      <c r="B71" s="1524"/>
      <c r="C71" s="1525" t="s">
        <v>796</v>
      </c>
      <c r="D71" s="1526"/>
      <c r="E71" s="1527" t="s">
        <v>759</v>
      </c>
      <c r="F71" s="1528">
        <f>+F63+F67</f>
        <v>30449</v>
      </c>
      <c r="G71" s="1528">
        <f>+G63+G67</f>
        <v>33433</v>
      </c>
      <c r="H71" s="1256"/>
    </row>
    <row r="72" spans="2:8" s="645" customFormat="1" ht="16.5" thickBot="1" x14ac:dyDescent="0.3">
      <c r="B72" s="1524"/>
      <c r="C72" s="1525" t="s">
        <v>80</v>
      </c>
      <c r="D72" s="1526"/>
      <c r="E72" s="1527" t="s">
        <v>760</v>
      </c>
      <c r="F72" s="1528">
        <f>+F64+F68</f>
        <v>0</v>
      </c>
      <c r="G72" s="1528">
        <f>+G64+G68</f>
        <v>0</v>
      </c>
      <c r="H72" s="1256"/>
    </row>
    <row r="73" spans="2:8" s="645" customFormat="1" ht="36.75" customHeight="1" thickBot="1" x14ac:dyDescent="0.3">
      <c r="B73" s="1568" t="s">
        <v>797</v>
      </c>
      <c r="C73" s="1993" t="s">
        <v>798</v>
      </c>
      <c r="D73" s="1994"/>
      <c r="E73" s="1569" t="s">
        <v>762</v>
      </c>
      <c r="F73" s="1570">
        <f>SUM(F71:F72)</f>
        <v>30449</v>
      </c>
      <c r="G73" s="1570">
        <f>SUM(G71:G72)</f>
        <v>33433</v>
      </c>
      <c r="H73" s="1256"/>
    </row>
    <row r="74" spans="2:8" s="645" customFormat="1" ht="30" customHeight="1" x14ac:dyDescent="0.25">
      <c r="B74" s="647"/>
      <c r="C74" s="648"/>
      <c r="D74" s="649"/>
      <c r="E74" s="650"/>
      <c r="F74" s="651"/>
      <c r="G74" s="651"/>
      <c r="H74" s="1256"/>
    </row>
    <row r="75" spans="2:8" s="645" customFormat="1" ht="30" customHeight="1" thickBot="1" x14ac:dyDescent="0.3">
      <c r="B75" s="647"/>
      <c r="C75" s="648"/>
      <c r="D75" s="649"/>
      <c r="E75" s="650"/>
      <c r="F75" s="651"/>
      <c r="G75" s="651"/>
      <c r="H75" s="1256"/>
    </row>
    <row r="76" spans="2:8" s="645" customFormat="1" ht="20.25" customHeight="1" x14ac:dyDescent="0.25">
      <c r="B76" s="1512"/>
      <c r="C76" s="1997" t="s">
        <v>29</v>
      </c>
      <c r="D76" s="1998"/>
      <c r="E76" s="1571"/>
      <c r="F76" s="1514" t="s">
        <v>755</v>
      </c>
      <c r="G76" s="1514" t="s">
        <v>1184</v>
      </c>
      <c r="H76" s="1256"/>
    </row>
    <row r="77" spans="2:8" s="645" customFormat="1" ht="16.5" customHeight="1" x14ac:dyDescent="0.25">
      <c r="B77" s="1515"/>
      <c r="C77" s="1515"/>
      <c r="D77" s="1516"/>
      <c r="E77" s="1572"/>
      <c r="F77" s="1518" t="s">
        <v>756</v>
      </c>
      <c r="G77" s="1518" t="s">
        <v>756</v>
      </c>
      <c r="H77" s="1256"/>
    </row>
    <row r="78" spans="2:8" s="645" customFormat="1" ht="16.5" customHeight="1" thickBot="1" x14ac:dyDescent="0.3">
      <c r="B78" s="1519"/>
      <c r="C78" s="1519"/>
      <c r="D78" s="1520"/>
      <c r="E78" s="1573"/>
      <c r="F78" s="1522" t="s">
        <v>757</v>
      </c>
      <c r="G78" s="1522" t="s">
        <v>1185</v>
      </c>
      <c r="H78" s="1256"/>
    </row>
    <row r="79" spans="2:8" s="645" customFormat="1" ht="15.6" customHeight="1" x14ac:dyDescent="0.25">
      <c r="B79" s="1534"/>
      <c r="C79" s="1535"/>
      <c r="D79" s="1536"/>
      <c r="E79" s="1572"/>
      <c r="F79" s="1537"/>
      <c r="G79" s="1537"/>
      <c r="H79" s="1256"/>
    </row>
    <row r="80" spans="2:8" s="645" customFormat="1" ht="15.75" x14ac:dyDescent="0.25">
      <c r="B80" s="1524"/>
      <c r="C80" s="1525" t="s">
        <v>799</v>
      </c>
      <c r="D80" s="1526"/>
      <c r="E80" s="1574" t="s">
        <v>759</v>
      </c>
      <c r="F80" s="1528">
        <v>0</v>
      </c>
      <c r="G80" s="1528">
        <v>0</v>
      </c>
      <c r="H80" s="1256"/>
    </row>
    <row r="81" spans="2:8" s="645" customFormat="1" ht="15.75" x14ac:dyDescent="0.25">
      <c r="B81" s="1524"/>
      <c r="C81" s="1525"/>
      <c r="D81" s="1526"/>
      <c r="E81" s="1574" t="s">
        <v>760</v>
      </c>
      <c r="F81" s="1528">
        <v>0</v>
      </c>
      <c r="G81" s="1528">
        <v>0</v>
      </c>
      <c r="H81" s="1256"/>
    </row>
    <row r="82" spans="2:8" s="645" customFormat="1" ht="15.6" customHeight="1" x14ac:dyDescent="0.25">
      <c r="B82" s="1529" t="s">
        <v>800</v>
      </c>
      <c r="C82" s="1530" t="s">
        <v>799</v>
      </c>
      <c r="D82" s="1531"/>
      <c r="E82" s="1575" t="s">
        <v>762</v>
      </c>
      <c r="F82" s="1533">
        <f>SUM(F80:F81)</f>
        <v>0</v>
      </c>
      <c r="G82" s="1533">
        <f>SUM(G80:G81)</f>
        <v>0</v>
      </c>
      <c r="H82" s="1256"/>
    </row>
    <row r="83" spans="2:8" s="645" customFormat="1" ht="11.1" customHeight="1" x14ac:dyDescent="0.25">
      <c r="B83" s="1524"/>
      <c r="C83" s="1525"/>
      <c r="D83" s="1526"/>
      <c r="E83" s="1574"/>
      <c r="F83" s="1528"/>
      <c r="G83" s="1528"/>
      <c r="H83" s="1256"/>
    </row>
    <row r="84" spans="2:8" s="645" customFormat="1" ht="15.75" x14ac:dyDescent="0.25">
      <c r="B84" s="1524"/>
      <c r="C84" s="1525" t="s">
        <v>801</v>
      </c>
      <c r="D84" s="1526"/>
      <c r="E84" s="1574" t="s">
        <v>759</v>
      </c>
      <c r="F84" s="1528">
        <v>898</v>
      </c>
      <c r="G84" s="1528">
        <v>1075</v>
      </c>
      <c r="H84" s="1256"/>
    </row>
    <row r="85" spans="2:8" s="645" customFormat="1" ht="15.75" x14ac:dyDescent="0.25">
      <c r="B85" s="1524"/>
      <c r="C85" s="1576"/>
      <c r="D85" s="1526"/>
      <c r="E85" s="1574" t="s">
        <v>760</v>
      </c>
      <c r="F85" s="1528">
        <v>17</v>
      </c>
      <c r="G85" s="1528">
        <v>0</v>
      </c>
      <c r="H85" s="1256"/>
    </row>
    <row r="86" spans="2:8" s="645" customFormat="1" ht="15.6" customHeight="1" x14ac:dyDescent="0.25">
      <c r="B86" s="1529" t="s">
        <v>802</v>
      </c>
      <c r="C86" s="1530" t="s">
        <v>801</v>
      </c>
      <c r="D86" s="1531"/>
      <c r="E86" s="1575" t="s">
        <v>762</v>
      </c>
      <c r="F86" s="1533">
        <f>SUM(F84:F85)</f>
        <v>915</v>
      </c>
      <c r="G86" s="1533">
        <f>SUM(G84:G85)</f>
        <v>1075</v>
      </c>
      <c r="H86" s="1256"/>
    </row>
    <row r="87" spans="2:8" s="645" customFormat="1" ht="11.1" customHeight="1" x14ac:dyDescent="0.25">
      <c r="B87" s="1524"/>
      <c r="C87" s="1525"/>
      <c r="D87" s="1526"/>
      <c r="E87" s="1574"/>
      <c r="F87" s="1528"/>
      <c r="G87" s="1528"/>
      <c r="H87" s="1256"/>
    </row>
    <row r="88" spans="2:8" s="645" customFormat="1" ht="15.75" x14ac:dyDescent="0.25">
      <c r="B88" s="1524"/>
      <c r="C88" s="1525" t="s">
        <v>803</v>
      </c>
      <c r="D88" s="1526"/>
      <c r="E88" s="1574" t="s">
        <v>759</v>
      </c>
      <c r="F88" s="1528">
        <v>394297</v>
      </c>
      <c r="G88" s="1528">
        <v>466124</v>
      </c>
      <c r="H88" s="1256"/>
    </row>
    <row r="89" spans="2:8" s="645" customFormat="1" ht="15.75" x14ac:dyDescent="0.25">
      <c r="B89" s="1524"/>
      <c r="C89" s="1525"/>
      <c r="D89" s="1526"/>
      <c r="E89" s="1574" t="s">
        <v>760</v>
      </c>
      <c r="F89" s="1528">
        <v>7206578</v>
      </c>
      <c r="G89" s="1528">
        <v>7085300</v>
      </c>
      <c r="H89" s="1256"/>
    </row>
    <row r="90" spans="2:8" s="645" customFormat="1" ht="15.6" customHeight="1" x14ac:dyDescent="0.25">
      <c r="B90" s="1529" t="s">
        <v>804</v>
      </c>
      <c r="C90" s="1530" t="s">
        <v>803</v>
      </c>
      <c r="D90" s="1531"/>
      <c r="E90" s="1575" t="s">
        <v>762</v>
      </c>
      <c r="F90" s="1533">
        <f>SUM(F88:F89)</f>
        <v>7600875</v>
      </c>
      <c r="G90" s="1533">
        <f>SUM(G88:G89)</f>
        <v>7551424</v>
      </c>
      <c r="H90" s="1256"/>
    </row>
    <row r="91" spans="2:8" s="645" customFormat="1" ht="11.1" customHeight="1" x14ac:dyDescent="0.25">
      <c r="B91" s="1524"/>
      <c r="C91" s="1525"/>
      <c r="D91" s="1526"/>
      <c r="E91" s="1574"/>
      <c r="F91" s="1528"/>
      <c r="G91" s="1528"/>
      <c r="H91" s="1256"/>
    </row>
    <row r="92" spans="2:8" s="645" customFormat="1" ht="15.75" x14ac:dyDescent="0.25">
      <c r="B92" s="1524"/>
      <c r="C92" s="1525" t="s">
        <v>805</v>
      </c>
      <c r="D92" s="1526"/>
      <c r="E92" s="1574" t="s">
        <v>759</v>
      </c>
      <c r="F92" s="1528"/>
      <c r="G92" s="1528"/>
      <c r="H92" s="1256"/>
    </row>
    <row r="93" spans="2:8" s="645" customFormat="1" ht="15.75" x14ac:dyDescent="0.25">
      <c r="B93" s="1524"/>
      <c r="C93" s="1525"/>
      <c r="D93" s="1526"/>
      <c r="E93" s="1574" t="s">
        <v>760</v>
      </c>
      <c r="F93" s="1528">
        <v>47636</v>
      </c>
      <c r="G93" s="1528">
        <v>61162</v>
      </c>
      <c r="H93" s="1256"/>
    </row>
    <row r="94" spans="2:8" s="645" customFormat="1" ht="15.6" customHeight="1" x14ac:dyDescent="0.25">
      <c r="B94" s="1529" t="s">
        <v>806</v>
      </c>
      <c r="C94" s="1530" t="s">
        <v>805</v>
      </c>
      <c r="D94" s="1531"/>
      <c r="E94" s="1575" t="s">
        <v>762</v>
      </c>
      <c r="F94" s="1533">
        <f>SUM(F92:F93)</f>
        <v>47636</v>
      </c>
      <c r="G94" s="1533">
        <f>SUM(G92:G93)</f>
        <v>61162</v>
      </c>
      <c r="H94" s="1256"/>
    </row>
    <row r="95" spans="2:8" s="645" customFormat="1" ht="11.1" customHeight="1" x14ac:dyDescent="0.25">
      <c r="B95" s="1524"/>
      <c r="C95" s="1525"/>
      <c r="D95" s="1526"/>
      <c r="E95" s="1574"/>
      <c r="F95" s="1528"/>
      <c r="G95" s="1528"/>
      <c r="H95" s="1256"/>
    </row>
    <row r="96" spans="2:8" s="645" customFormat="1" ht="11.1" customHeight="1" x14ac:dyDescent="0.25">
      <c r="B96" s="1524"/>
      <c r="C96" s="1525"/>
      <c r="D96" s="1526"/>
      <c r="E96" s="1574"/>
      <c r="F96" s="1528"/>
      <c r="G96" s="1528"/>
      <c r="H96" s="1256"/>
    </row>
    <row r="97" spans="2:8" s="645" customFormat="1" ht="15.75" x14ac:dyDescent="0.25">
      <c r="B97" s="1524"/>
      <c r="C97" s="1525" t="s">
        <v>807</v>
      </c>
      <c r="D97" s="1526"/>
      <c r="E97" s="1574" t="s">
        <v>759</v>
      </c>
      <c r="F97" s="1528">
        <f>+F80+F84+F88+F92</f>
        <v>395195</v>
      </c>
      <c r="G97" s="1528">
        <f>+G80+G84+G88+G92</f>
        <v>467199</v>
      </c>
      <c r="H97" s="1256"/>
    </row>
    <row r="98" spans="2:8" s="645" customFormat="1" ht="16.5" thickBot="1" x14ac:dyDescent="0.3">
      <c r="B98" s="1524"/>
      <c r="C98" s="1525"/>
      <c r="D98" s="1526"/>
      <c r="E98" s="1574" t="s">
        <v>760</v>
      </c>
      <c r="F98" s="1528">
        <f>F81+F85+F89+F93</f>
        <v>7254231</v>
      </c>
      <c r="G98" s="1528">
        <f>G81+G85+G89+G93</f>
        <v>7146462</v>
      </c>
      <c r="H98" s="1256"/>
    </row>
    <row r="99" spans="2:8" s="645" customFormat="1" ht="30" customHeight="1" thickBot="1" x14ac:dyDescent="0.3">
      <c r="B99" s="1568" t="s">
        <v>808</v>
      </c>
      <c r="C99" s="1993" t="s">
        <v>807</v>
      </c>
      <c r="D99" s="1994"/>
      <c r="E99" s="1577" t="s">
        <v>762</v>
      </c>
      <c r="F99" s="1570">
        <f>SUM(F97:F98)</f>
        <v>7649426</v>
      </c>
      <c r="G99" s="1570">
        <f>SUM(G97:G98)</f>
        <v>7613661</v>
      </c>
      <c r="H99" s="1256"/>
    </row>
    <row r="100" spans="2:8" s="645" customFormat="1" ht="15.6" customHeight="1" x14ac:dyDescent="0.25">
      <c r="B100" s="1534"/>
      <c r="C100" s="1535"/>
      <c r="D100" s="1536"/>
      <c r="E100" s="1572"/>
      <c r="F100" s="1537"/>
      <c r="G100" s="1537"/>
      <c r="H100" s="1256"/>
    </row>
    <row r="101" spans="2:8" s="645" customFormat="1" ht="15.75" x14ac:dyDescent="0.25">
      <c r="B101" s="1524"/>
      <c r="C101" s="1525" t="s">
        <v>809</v>
      </c>
      <c r="D101" s="1526"/>
      <c r="E101" s="1574" t="s">
        <v>759</v>
      </c>
      <c r="F101" s="1528">
        <v>28800</v>
      </c>
      <c r="G101" s="1528">
        <v>26675</v>
      </c>
      <c r="H101" s="1256"/>
    </row>
    <row r="102" spans="2:8" s="645" customFormat="1" ht="15.75" x14ac:dyDescent="0.25">
      <c r="B102" s="1524"/>
      <c r="C102" s="1525"/>
      <c r="D102" s="1526"/>
      <c r="E102" s="1574" t="s">
        <v>760</v>
      </c>
      <c r="F102" s="1528">
        <v>2126737</v>
      </c>
      <c r="G102" s="1528">
        <f>2074771-1</f>
        <v>2074770</v>
      </c>
      <c r="H102" s="1256"/>
    </row>
    <row r="103" spans="2:8" s="645" customFormat="1" ht="15.6" customHeight="1" x14ac:dyDescent="0.25">
      <c r="B103" s="1529" t="s">
        <v>810</v>
      </c>
      <c r="C103" s="1530" t="s">
        <v>809</v>
      </c>
      <c r="D103" s="1531"/>
      <c r="E103" s="1575" t="s">
        <v>762</v>
      </c>
      <c r="F103" s="1533">
        <f>SUM(F101:F102)</f>
        <v>2155537</v>
      </c>
      <c r="G103" s="1533">
        <f>SUM(G101:G102)</f>
        <v>2101445</v>
      </c>
      <c r="H103" s="1256"/>
    </row>
    <row r="104" spans="2:8" s="645" customFormat="1" ht="12" customHeight="1" x14ac:dyDescent="0.25">
      <c r="B104" s="1524"/>
      <c r="C104" s="1525"/>
      <c r="D104" s="1526"/>
      <c r="E104" s="1574"/>
      <c r="F104" s="1528"/>
      <c r="G104" s="1528"/>
      <c r="H104" s="1256"/>
    </row>
    <row r="105" spans="2:8" s="645" customFormat="1" ht="15.75" x14ac:dyDescent="0.25">
      <c r="B105" s="1524"/>
      <c r="C105" s="1525" t="s">
        <v>811</v>
      </c>
      <c r="D105" s="1526"/>
      <c r="E105" s="1574" t="s">
        <v>759</v>
      </c>
      <c r="F105" s="1528">
        <v>4153</v>
      </c>
      <c r="G105" s="1528">
        <v>7286</v>
      </c>
      <c r="H105" s="1256"/>
    </row>
    <row r="106" spans="2:8" s="645" customFormat="1" ht="15.75" x14ac:dyDescent="0.25">
      <c r="B106" s="1524"/>
      <c r="C106" s="1576"/>
      <c r="D106" s="1526"/>
      <c r="E106" s="1574" t="s">
        <v>760</v>
      </c>
      <c r="F106" s="1528">
        <v>4566053</v>
      </c>
      <c r="G106" s="1528">
        <v>5296940</v>
      </c>
      <c r="H106" s="1256"/>
    </row>
    <row r="107" spans="2:8" s="645" customFormat="1" ht="36.75" customHeight="1" x14ac:dyDescent="0.25">
      <c r="B107" s="1529" t="s">
        <v>812</v>
      </c>
      <c r="C107" s="1990" t="s">
        <v>811</v>
      </c>
      <c r="D107" s="1991"/>
      <c r="E107" s="1575" t="s">
        <v>762</v>
      </c>
      <c r="F107" s="1533">
        <f>SUM(F105:F106)</f>
        <v>4570206</v>
      </c>
      <c r="G107" s="1533">
        <f>SUM(G105:G106)</f>
        <v>5304226</v>
      </c>
      <c r="H107" s="1256"/>
    </row>
    <row r="108" spans="2:8" s="645" customFormat="1" ht="12" customHeight="1" x14ac:dyDescent="0.25">
      <c r="B108" s="1524"/>
      <c r="C108" s="1525"/>
      <c r="D108" s="1526"/>
      <c r="E108" s="1574"/>
      <c r="F108" s="1528"/>
      <c r="G108" s="1528"/>
      <c r="H108" s="1256"/>
    </row>
    <row r="109" spans="2:8" s="645" customFormat="1" ht="15.75" x14ac:dyDescent="0.25">
      <c r="B109" s="1524"/>
      <c r="C109" s="1525" t="s">
        <v>813</v>
      </c>
      <c r="D109" s="1526"/>
      <c r="E109" s="1574" t="s">
        <v>759</v>
      </c>
      <c r="F109" s="1528">
        <v>90681</v>
      </c>
      <c r="G109" s="1528">
        <f>36504</f>
        <v>36504</v>
      </c>
      <c r="H109" s="1256"/>
    </row>
    <row r="110" spans="2:8" s="645" customFormat="1" ht="15.75" x14ac:dyDescent="0.25">
      <c r="B110" s="1524"/>
      <c r="C110" s="1525"/>
      <c r="D110" s="1526"/>
      <c r="E110" s="1574" t="s">
        <v>760</v>
      </c>
      <c r="F110" s="1528">
        <v>507023</v>
      </c>
      <c r="G110" s="1528">
        <f>457746-1</f>
        <v>457745</v>
      </c>
      <c r="H110" s="1256"/>
    </row>
    <row r="111" spans="2:8" s="645" customFormat="1" ht="15.6" customHeight="1" x14ac:dyDescent="0.25">
      <c r="B111" s="1529" t="s">
        <v>814</v>
      </c>
      <c r="C111" s="1530" t="s">
        <v>813</v>
      </c>
      <c r="D111" s="1531"/>
      <c r="E111" s="1575" t="s">
        <v>762</v>
      </c>
      <c r="F111" s="1533">
        <f>SUM(F109:F110)</f>
        <v>597704</v>
      </c>
      <c r="G111" s="1533">
        <f>SUM(G109:G110)</f>
        <v>494249</v>
      </c>
      <c r="H111" s="1256"/>
    </row>
    <row r="112" spans="2:8" s="645" customFormat="1" ht="12" customHeight="1" x14ac:dyDescent="0.25">
      <c r="B112" s="1534"/>
      <c r="C112" s="1535"/>
      <c r="D112" s="1536"/>
      <c r="E112" s="1572"/>
      <c r="F112" s="1537"/>
      <c r="G112" s="1537"/>
      <c r="H112" s="1256"/>
    </row>
    <row r="113" spans="2:8" s="645" customFormat="1" ht="15.75" x14ac:dyDescent="0.25">
      <c r="B113" s="1524"/>
      <c r="C113" s="1525" t="s">
        <v>815</v>
      </c>
      <c r="D113" s="1526"/>
      <c r="E113" s="1574" t="s">
        <v>759</v>
      </c>
      <c r="F113" s="1528">
        <f>+F101+F105+F109</f>
        <v>123634</v>
      </c>
      <c r="G113" s="1528">
        <f>+G101+G105+G109</f>
        <v>70465</v>
      </c>
      <c r="H113" s="1256"/>
    </row>
    <row r="114" spans="2:8" s="645" customFormat="1" ht="16.5" thickBot="1" x14ac:dyDescent="0.3">
      <c r="B114" s="1524"/>
      <c r="C114" s="1525"/>
      <c r="D114" s="1526"/>
      <c r="E114" s="1574" t="s">
        <v>760</v>
      </c>
      <c r="F114" s="1528">
        <f>+F102+F106+F110</f>
        <v>7199813</v>
      </c>
      <c r="G114" s="1528">
        <f>+G102+G106+G110</f>
        <v>7829455</v>
      </c>
      <c r="H114" s="1256"/>
    </row>
    <row r="115" spans="2:8" s="645" customFormat="1" ht="30" customHeight="1" thickBot="1" x14ac:dyDescent="0.3">
      <c r="B115" s="1568" t="s">
        <v>816</v>
      </c>
      <c r="C115" s="1993" t="s">
        <v>815</v>
      </c>
      <c r="D115" s="1994"/>
      <c r="E115" s="1577" t="s">
        <v>762</v>
      </c>
      <c r="F115" s="1570">
        <f>SUM(F113:F114)</f>
        <v>7323447</v>
      </c>
      <c r="G115" s="1570">
        <f>SUM(G113:G114)</f>
        <v>7899920</v>
      </c>
      <c r="H115" s="1256"/>
    </row>
    <row r="116" spans="2:8" s="645" customFormat="1" ht="12" customHeight="1" x14ac:dyDescent="0.25">
      <c r="B116" s="1561"/>
      <c r="C116" s="1562"/>
      <c r="D116" s="1555"/>
      <c r="E116" s="1578"/>
      <c r="F116" s="1564"/>
      <c r="G116" s="1564"/>
      <c r="H116" s="1256"/>
    </row>
    <row r="117" spans="2:8" s="645" customFormat="1" ht="15.75" x14ac:dyDescent="0.25">
      <c r="B117" s="1524"/>
      <c r="C117" s="1525" t="s">
        <v>817</v>
      </c>
      <c r="D117" s="1526"/>
      <c r="E117" s="1574" t="s">
        <v>759</v>
      </c>
      <c r="F117" s="1528">
        <v>214738</v>
      </c>
      <c r="G117" s="1528">
        <v>50405</v>
      </c>
      <c r="H117" s="1256"/>
    </row>
    <row r="118" spans="2:8" s="645" customFormat="1" ht="16.5" thickBot="1" x14ac:dyDescent="0.3">
      <c r="B118" s="1524"/>
      <c r="C118" s="1525"/>
      <c r="D118" s="1526"/>
      <c r="E118" s="1574" t="s">
        <v>760</v>
      </c>
      <c r="F118" s="1528">
        <v>5544</v>
      </c>
      <c r="G118" s="1528">
        <v>-33572</v>
      </c>
      <c r="H118" s="1256"/>
    </row>
    <row r="119" spans="2:8" s="645" customFormat="1" ht="30" customHeight="1" thickBot="1" x14ac:dyDescent="0.3">
      <c r="B119" s="1568" t="s">
        <v>818</v>
      </c>
      <c r="C119" s="1993" t="s">
        <v>817</v>
      </c>
      <c r="D119" s="1994"/>
      <c r="E119" s="1577" t="s">
        <v>762</v>
      </c>
      <c r="F119" s="1570">
        <f>SUM(F117:F118)</f>
        <v>220282</v>
      </c>
      <c r="G119" s="1570">
        <f>SUM(G117:G118)</f>
        <v>16833</v>
      </c>
      <c r="H119" s="1256"/>
    </row>
    <row r="120" spans="2:8" s="645" customFormat="1" ht="15.6" customHeight="1" x14ac:dyDescent="0.25">
      <c r="B120" s="1534"/>
      <c r="C120" s="1535"/>
      <c r="D120" s="1536"/>
      <c r="E120" s="1572"/>
      <c r="F120" s="1537"/>
      <c r="G120" s="1537"/>
      <c r="H120" s="1256"/>
    </row>
    <row r="121" spans="2:8" s="645" customFormat="1" ht="19.5" customHeight="1" x14ac:dyDescent="0.25">
      <c r="B121" s="1524"/>
      <c r="C121" s="1988" t="s">
        <v>819</v>
      </c>
      <c r="D121" s="1989"/>
      <c r="E121" s="1574" t="s">
        <v>759</v>
      </c>
      <c r="F121" s="1528">
        <v>20781</v>
      </c>
      <c r="G121" s="1528">
        <v>22522</v>
      </c>
      <c r="H121" s="1256"/>
    </row>
    <row r="122" spans="2:8" s="645" customFormat="1" ht="15.75" x14ac:dyDescent="0.25">
      <c r="B122" s="1524"/>
      <c r="C122" s="1525" t="s">
        <v>820</v>
      </c>
      <c r="D122" s="1526"/>
      <c r="E122" s="1574" t="s">
        <v>760</v>
      </c>
      <c r="F122" s="1528">
        <v>468447</v>
      </c>
      <c r="G122" s="1528">
        <v>463285</v>
      </c>
      <c r="H122" s="1256"/>
    </row>
    <row r="123" spans="2:8" s="645" customFormat="1" ht="31.5" customHeight="1" x14ac:dyDescent="0.25">
      <c r="B123" s="1529" t="s">
        <v>821</v>
      </c>
      <c r="C123" s="1990" t="s">
        <v>822</v>
      </c>
      <c r="D123" s="1991"/>
      <c r="E123" s="1575" t="s">
        <v>762</v>
      </c>
      <c r="F123" s="1533">
        <f>SUM(F121:F122)</f>
        <v>489228</v>
      </c>
      <c r="G123" s="1533">
        <f>SUM(G121:G122)</f>
        <v>485807</v>
      </c>
      <c r="H123" s="1256"/>
    </row>
    <row r="124" spans="2:8" s="645" customFormat="1" ht="11.1" customHeight="1" x14ac:dyDescent="0.25">
      <c r="B124" s="1524"/>
      <c r="C124" s="1525"/>
      <c r="D124" s="1526"/>
      <c r="E124" s="1574"/>
      <c r="F124" s="1528"/>
      <c r="G124" s="1528"/>
      <c r="H124" s="1256"/>
    </row>
    <row r="125" spans="2:8" s="645" customFormat="1" ht="15.75" x14ac:dyDescent="0.25">
      <c r="B125" s="1524"/>
      <c r="C125" s="1525" t="s">
        <v>823</v>
      </c>
      <c r="D125" s="1526"/>
      <c r="E125" s="1574" t="s">
        <v>759</v>
      </c>
      <c r="F125" s="1528">
        <v>3856</v>
      </c>
      <c r="G125" s="1528">
        <f>31902</f>
        <v>31902</v>
      </c>
      <c r="H125" s="1256"/>
    </row>
    <row r="126" spans="2:8" s="645" customFormat="1" ht="15.75" x14ac:dyDescent="0.25">
      <c r="B126" s="1524"/>
      <c r="C126" s="1576"/>
      <c r="D126" s="1526"/>
      <c r="E126" s="1574" t="s">
        <v>760</v>
      </c>
      <c r="F126" s="1528">
        <v>7409</v>
      </c>
      <c r="G126" s="1528">
        <v>78839</v>
      </c>
      <c r="H126" s="1256"/>
    </row>
    <row r="127" spans="2:8" s="645" customFormat="1" ht="34.5" customHeight="1" x14ac:dyDescent="0.25">
      <c r="B127" s="1529" t="s">
        <v>824</v>
      </c>
      <c r="C127" s="1990" t="s">
        <v>823</v>
      </c>
      <c r="D127" s="1992"/>
      <c r="E127" s="1575" t="s">
        <v>762</v>
      </c>
      <c r="F127" s="1533">
        <f>SUM(F125:F126)</f>
        <v>11265</v>
      </c>
      <c r="G127" s="1533">
        <f>SUM(G125:G126)</f>
        <v>110741</v>
      </c>
      <c r="H127" s="1256"/>
    </row>
    <row r="128" spans="2:8" s="645" customFormat="1" ht="11.1" customHeight="1" x14ac:dyDescent="0.25">
      <c r="B128" s="1524"/>
      <c r="C128" s="1525"/>
      <c r="D128" s="1526"/>
      <c r="E128" s="1574"/>
      <c r="F128" s="1528"/>
      <c r="G128" s="1528"/>
      <c r="H128" s="1256"/>
    </row>
    <row r="129" spans="2:8" s="645" customFormat="1" ht="15.75" x14ac:dyDescent="0.25">
      <c r="B129" s="1524"/>
      <c r="C129" s="1525" t="s">
        <v>825</v>
      </c>
      <c r="D129" s="1526"/>
      <c r="E129" s="1574" t="s">
        <v>759</v>
      </c>
      <c r="F129" s="1528"/>
      <c r="G129" s="1528"/>
      <c r="H129" s="1256"/>
    </row>
    <row r="130" spans="2:8" s="645" customFormat="1" ht="15.75" x14ac:dyDescent="0.25">
      <c r="B130" s="1524"/>
      <c r="C130" s="1525"/>
      <c r="D130" s="1526"/>
      <c r="E130" s="1574" t="s">
        <v>760</v>
      </c>
      <c r="F130" s="1528"/>
      <c r="G130" s="1528"/>
      <c r="H130" s="1256"/>
    </row>
    <row r="131" spans="2:8" s="645" customFormat="1" ht="15.6" customHeight="1" x14ac:dyDescent="0.25">
      <c r="B131" s="1529" t="s">
        <v>826</v>
      </c>
      <c r="C131" s="1530" t="s">
        <v>825</v>
      </c>
      <c r="D131" s="1531"/>
      <c r="E131" s="1575" t="s">
        <v>762</v>
      </c>
      <c r="F131" s="1533">
        <f>SUM(F129:F130)</f>
        <v>0</v>
      </c>
      <c r="G131" s="1533">
        <f>SUM(G129:G130)</f>
        <v>0</v>
      </c>
      <c r="H131" s="1256"/>
    </row>
    <row r="132" spans="2:8" s="645" customFormat="1" ht="15.75" x14ac:dyDescent="0.25">
      <c r="B132" s="1524"/>
      <c r="C132" s="1525"/>
      <c r="D132" s="1526"/>
      <c r="E132" s="1574"/>
      <c r="F132" s="1528"/>
      <c r="G132" s="1528"/>
      <c r="H132" s="1256"/>
    </row>
    <row r="133" spans="2:8" s="645" customFormat="1" ht="15.75" x14ac:dyDescent="0.25">
      <c r="B133" s="1524"/>
      <c r="C133" s="1525" t="s">
        <v>827</v>
      </c>
      <c r="D133" s="1526"/>
      <c r="E133" s="1574" t="s">
        <v>759</v>
      </c>
      <c r="F133" s="1528">
        <f>+F121+F125+F129</f>
        <v>24637</v>
      </c>
      <c r="G133" s="1528">
        <f>+G121+G125+G129</f>
        <v>54424</v>
      </c>
      <c r="H133" s="1256"/>
    </row>
    <row r="134" spans="2:8" s="645" customFormat="1" ht="16.5" thickBot="1" x14ac:dyDescent="0.3">
      <c r="B134" s="1524"/>
      <c r="C134" s="1525"/>
      <c r="D134" s="1526"/>
      <c r="E134" s="1574" t="s">
        <v>760</v>
      </c>
      <c r="F134" s="1528">
        <f>+F122+F126+F130</f>
        <v>475856</v>
      </c>
      <c r="G134" s="1528">
        <f>+G122+G126+G130</f>
        <v>542124</v>
      </c>
      <c r="H134" s="1256"/>
    </row>
    <row r="135" spans="2:8" s="645" customFormat="1" ht="30" customHeight="1" thickBot="1" x14ac:dyDescent="0.3">
      <c r="B135" s="1568" t="s">
        <v>828</v>
      </c>
      <c r="C135" s="1993" t="s">
        <v>827</v>
      </c>
      <c r="D135" s="1994"/>
      <c r="E135" s="1577" t="s">
        <v>762</v>
      </c>
      <c r="F135" s="1570">
        <f>SUM(F133:F134)</f>
        <v>500493</v>
      </c>
      <c r="G135" s="1570">
        <f>SUM(G133:G134)</f>
        <v>596548</v>
      </c>
      <c r="H135" s="1256"/>
    </row>
    <row r="136" spans="2:8" s="645" customFormat="1" ht="15.75" x14ac:dyDescent="0.25">
      <c r="B136" s="1524"/>
      <c r="C136" s="1525"/>
      <c r="D136" s="1526"/>
      <c r="E136" s="1574"/>
      <c r="F136" s="1528"/>
      <c r="G136" s="1528"/>
      <c r="H136" s="1256"/>
    </row>
    <row r="137" spans="2:8" s="645" customFormat="1" ht="15.75" x14ac:dyDescent="0.25">
      <c r="B137" s="1524"/>
      <c r="C137" s="1535" t="s">
        <v>754</v>
      </c>
      <c r="D137" s="1526"/>
      <c r="E137" s="1574" t="s">
        <v>759</v>
      </c>
      <c r="F137" s="1528">
        <f>+F59+F71+F97+F113+F117+F133</f>
        <v>6465864</v>
      </c>
      <c r="G137" s="1528">
        <f>+G59+G71+G97+G113+G117+G133</f>
        <v>6220290</v>
      </c>
      <c r="H137" s="1256"/>
    </row>
    <row r="138" spans="2:8" s="645" customFormat="1" ht="16.5" thickBot="1" x14ac:dyDescent="0.3">
      <c r="B138" s="1524"/>
      <c r="C138" s="1525"/>
      <c r="D138" s="1526"/>
      <c r="E138" s="1574" t="s">
        <v>760</v>
      </c>
      <c r="F138" s="1528">
        <f>+F60+F72+F98+F114+F118+F134</f>
        <v>109291539</v>
      </c>
      <c r="G138" s="1528">
        <f>+G60+G72+G98+G114+G118+G134</f>
        <v>109640926</v>
      </c>
      <c r="H138" s="1256"/>
    </row>
    <row r="139" spans="2:8" s="645" customFormat="1" ht="30" customHeight="1" thickBot="1" x14ac:dyDescent="0.3">
      <c r="B139" s="1568"/>
      <c r="C139" s="1993" t="s">
        <v>829</v>
      </c>
      <c r="D139" s="1994"/>
      <c r="E139" s="1577" t="s">
        <v>762</v>
      </c>
      <c r="F139" s="1570">
        <f>SUM(F137:F138)</f>
        <v>115757403</v>
      </c>
      <c r="G139" s="1570">
        <f>SUM(G137:G138)</f>
        <v>115861216</v>
      </c>
      <c r="H139" s="1256"/>
    </row>
  </sheetData>
  <mergeCells count="17">
    <mergeCell ref="C119:D119"/>
    <mergeCell ref="B4:G4"/>
    <mergeCell ref="B5:G5"/>
    <mergeCell ref="C7:D7"/>
    <mergeCell ref="C57:D57"/>
    <mergeCell ref="C59:D59"/>
    <mergeCell ref="C61:D61"/>
    <mergeCell ref="C73:D73"/>
    <mergeCell ref="C76:D76"/>
    <mergeCell ref="C99:D99"/>
    <mergeCell ref="C107:D107"/>
    <mergeCell ref="C115:D115"/>
    <mergeCell ref="C121:D121"/>
    <mergeCell ref="C123:D123"/>
    <mergeCell ref="C127:D127"/>
    <mergeCell ref="C135:D135"/>
    <mergeCell ref="C139:D139"/>
  </mergeCells>
  <printOptions horizontalCentered="1" verticalCentered="1"/>
  <pageMargins left="0.19685039370078741" right="0.19685039370078741" top="0.27559055118110237" bottom="0.23622047244094491" header="0.27559055118110237" footer="0.23622047244094491"/>
  <pageSetup paperSize="9" scale="63" orientation="portrait" r:id="rId1"/>
  <headerFooter alignWithMargins="0">
    <oddHeader xml:space="preserve">&amp;R&amp;"-,Félkövér"&amp;12  23. melléklet a 10/2024. (V.31.) önkormányzati rendelethez </oddHeader>
  </headerFooter>
  <rowBreaks count="1" manualBreakCount="1">
    <brk id="74" min="1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62685-782B-4F74-B5A9-73D6D21389E3}">
  <dimension ref="B1:I88"/>
  <sheetViews>
    <sheetView view="pageLayout" zoomScaleNormal="85" zoomScaleSheetLayoutView="75" workbookViewId="0">
      <selection activeCell="P10" sqref="P10"/>
    </sheetView>
  </sheetViews>
  <sheetFormatPr defaultColWidth="10.6640625" defaultRowHeight="14.25" x14ac:dyDescent="0.2"/>
  <cols>
    <col min="1" max="1" width="10.6640625" style="654"/>
    <col min="2" max="2" width="7.6640625" style="653" customWidth="1"/>
    <col min="3" max="3" width="10.6640625" style="654" customWidth="1"/>
    <col min="4" max="4" width="69.83203125" style="654" customWidth="1"/>
    <col min="5" max="5" width="30.33203125" style="654" customWidth="1"/>
    <col min="6" max="7" width="21.5" style="654" customWidth="1"/>
    <col min="8" max="8" width="13.83203125" style="654" bestFit="1" customWidth="1"/>
    <col min="9" max="16384" width="10.6640625" style="654"/>
  </cols>
  <sheetData>
    <row r="1" spans="2:9" ht="20.25" x14ac:dyDescent="0.3">
      <c r="F1" s="655"/>
      <c r="G1" s="954"/>
      <c r="H1" s="655"/>
    </row>
    <row r="2" spans="2:9" ht="17.25" customHeight="1" x14ac:dyDescent="0.3">
      <c r="B2" s="1860" t="s">
        <v>1186</v>
      </c>
      <c r="C2" s="1860"/>
      <c r="D2" s="1860"/>
      <c r="E2" s="1860"/>
      <c r="F2" s="1860"/>
      <c r="G2" s="1860"/>
    </row>
    <row r="3" spans="2:9" ht="20.25" customHeight="1" x14ac:dyDescent="0.3">
      <c r="B3" s="1995" t="s">
        <v>830</v>
      </c>
      <c r="C3" s="1995"/>
      <c r="D3" s="1995"/>
      <c r="E3" s="1995"/>
      <c r="F3" s="1995"/>
      <c r="G3" s="1995"/>
    </row>
    <row r="4" spans="2:9" ht="15.75" thickBot="1" x14ac:dyDescent="0.3">
      <c r="B4" s="656"/>
      <c r="C4" s="656"/>
      <c r="D4" s="656"/>
      <c r="E4" s="656"/>
      <c r="F4" s="641"/>
      <c r="G4" s="641" t="s">
        <v>15</v>
      </c>
    </row>
    <row r="5" spans="2:9" ht="20.25" customHeight="1" x14ac:dyDescent="0.25">
      <c r="B5" s="1512"/>
      <c r="C5" s="1997" t="s">
        <v>29</v>
      </c>
      <c r="D5" s="1998"/>
      <c r="E5" s="1571"/>
      <c r="F5" s="1514" t="s">
        <v>755</v>
      </c>
      <c r="G5" s="1514" t="s">
        <v>1184</v>
      </c>
    </row>
    <row r="6" spans="2:9" ht="19.5" customHeight="1" x14ac:dyDescent="0.25">
      <c r="B6" s="1515"/>
      <c r="C6" s="1515"/>
      <c r="D6" s="1516"/>
      <c r="E6" s="1572"/>
      <c r="F6" s="1518" t="s">
        <v>756</v>
      </c>
      <c r="G6" s="1518" t="s">
        <v>756</v>
      </c>
      <c r="I6" s="752"/>
    </row>
    <row r="7" spans="2:9" ht="16.5" customHeight="1" thickBot="1" x14ac:dyDescent="0.3">
      <c r="B7" s="1519"/>
      <c r="C7" s="1519"/>
      <c r="D7" s="1520"/>
      <c r="E7" s="1573"/>
      <c r="F7" s="1522" t="s">
        <v>757</v>
      </c>
      <c r="G7" s="1522" t="s">
        <v>1185</v>
      </c>
    </row>
    <row r="8" spans="2:9" ht="20.25" customHeight="1" x14ac:dyDescent="0.25">
      <c r="B8" s="1534"/>
      <c r="C8" s="1535"/>
      <c r="D8" s="1536"/>
      <c r="E8" s="1572"/>
      <c r="F8" s="1537"/>
      <c r="G8" s="1537"/>
    </row>
    <row r="9" spans="2:9" ht="15.75" x14ac:dyDescent="0.25">
      <c r="B9" s="1524"/>
      <c r="C9" s="1525" t="s">
        <v>831</v>
      </c>
      <c r="D9" s="1526"/>
      <c r="E9" s="1574" t="s">
        <v>759</v>
      </c>
      <c r="F9" s="1528">
        <v>10957110</v>
      </c>
      <c r="G9" s="1528">
        <v>10957110</v>
      </c>
    </row>
    <row r="10" spans="2:9" ht="15.75" x14ac:dyDescent="0.25">
      <c r="B10" s="1524"/>
      <c r="C10" s="1525"/>
      <c r="D10" s="1526"/>
      <c r="E10" s="1574" t="s">
        <v>760</v>
      </c>
      <c r="F10" s="1528">
        <v>87533141</v>
      </c>
      <c r="G10" s="1528">
        <v>87533141</v>
      </c>
    </row>
    <row r="11" spans="2:9" ht="19.5" customHeight="1" x14ac:dyDescent="0.25">
      <c r="B11" s="1529" t="s">
        <v>832</v>
      </c>
      <c r="C11" s="1530" t="s">
        <v>831</v>
      </c>
      <c r="D11" s="1531"/>
      <c r="E11" s="1575" t="s">
        <v>762</v>
      </c>
      <c r="F11" s="1533">
        <f>SUM(F9:F10)</f>
        <v>98490251</v>
      </c>
      <c r="G11" s="1533">
        <f>SUM(G9:G10)</f>
        <v>98490251</v>
      </c>
    </row>
    <row r="12" spans="2:9" ht="15.75" customHeight="1" x14ac:dyDescent="0.25">
      <c r="B12" s="1524"/>
      <c r="C12" s="1525"/>
      <c r="D12" s="1526"/>
      <c r="E12" s="1574"/>
      <c r="F12" s="1528"/>
      <c r="G12" s="1528"/>
    </row>
    <row r="13" spans="2:9" ht="15.75" x14ac:dyDescent="0.25">
      <c r="B13" s="1524"/>
      <c r="C13" s="1525" t="s">
        <v>833</v>
      </c>
      <c r="D13" s="1526"/>
      <c r="E13" s="1574" t="s">
        <v>759</v>
      </c>
      <c r="F13" s="1528">
        <v>-2468422</v>
      </c>
      <c r="G13" s="1528">
        <v>-2468422</v>
      </c>
    </row>
    <row r="14" spans="2:9" ht="15.75" x14ac:dyDescent="0.25">
      <c r="B14" s="1524"/>
      <c r="C14" s="1576"/>
      <c r="D14" s="1526"/>
      <c r="E14" s="1574" t="s">
        <v>760</v>
      </c>
      <c r="F14" s="1528">
        <v>8024637</v>
      </c>
      <c r="G14" s="1528">
        <v>7970395</v>
      </c>
    </row>
    <row r="15" spans="2:9" ht="20.25" customHeight="1" x14ac:dyDescent="0.25">
      <c r="B15" s="1529" t="s">
        <v>834</v>
      </c>
      <c r="C15" s="1530" t="s">
        <v>833</v>
      </c>
      <c r="D15" s="1531"/>
      <c r="E15" s="1575" t="s">
        <v>762</v>
      </c>
      <c r="F15" s="1533">
        <f>SUM(F13:F14)</f>
        <v>5556215</v>
      </c>
      <c r="G15" s="1533">
        <f>SUM(G13:G14)</f>
        <v>5501973</v>
      </c>
    </row>
    <row r="16" spans="2:9" ht="15.75" x14ac:dyDescent="0.25">
      <c r="B16" s="1524"/>
      <c r="C16" s="1525"/>
      <c r="D16" s="1526"/>
      <c r="E16" s="1574"/>
      <c r="F16" s="1528"/>
      <c r="G16" s="1528"/>
    </row>
    <row r="17" spans="2:7" ht="15" customHeight="1" x14ac:dyDescent="0.25">
      <c r="B17" s="1524"/>
      <c r="C17" s="1525" t="s">
        <v>835</v>
      </c>
      <c r="D17" s="1526"/>
      <c r="E17" s="1574" t="s">
        <v>759</v>
      </c>
      <c r="F17" s="1528">
        <v>132915</v>
      </c>
      <c r="G17" s="1528">
        <v>132915</v>
      </c>
    </row>
    <row r="18" spans="2:7" ht="15.75" customHeight="1" x14ac:dyDescent="0.25">
      <c r="B18" s="1524"/>
      <c r="C18" s="1525"/>
      <c r="D18" s="1526"/>
      <c r="E18" s="1574" t="s">
        <v>760</v>
      </c>
      <c r="F18" s="1528">
        <v>788227</v>
      </c>
      <c r="G18" s="1528">
        <v>788227</v>
      </c>
    </row>
    <row r="19" spans="2:7" ht="18.75" customHeight="1" x14ac:dyDescent="0.25">
      <c r="B19" s="1529" t="s">
        <v>836</v>
      </c>
      <c r="C19" s="1530" t="s">
        <v>835</v>
      </c>
      <c r="D19" s="1531"/>
      <c r="E19" s="1575" t="s">
        <v>762</v>
      </c>
      <c r="F19" s="1533">
        <f>SUM(F17:F18)</f>
        <v>921142</v>
      </c>
      <c r="G19" s="1533">
        <f>SUM(G17:G18)</f>
        <v>921142</v>
      </c>
    </row>
    <row r="20" spans="2:7" ht="15.75" x14ac:dyDescent="0.25">
      <c r="B20" s="1524"/>
      <c r="C20" s="1525"/>
      <c r="D20" s="1526"/>
      <c r="E20" s="1574"/>
      <c r="F20" s="1528"/>
      <c r="G20" s="1528"/>
    </row>
    <row r="21" spans="2:7" ht="15.75" x14ac:dyDescent="0.25">
      <c r="B21" s="1524"/>
      <c r="C21" s="1525" t="s">
        <v>837</v>
      </c>
      <c r="D21" s="1526"/>
      <c r="E21" s="1574" t="s">
        <v>759</v>
      </c>
      <c r="F21" s="1528">
        <v>-3207188</v>
      </c>
      <c r="G21" s="1528">
        <v>-3236258</v>
      </c>
    </row>
    <row r="22" spans="2:7" ht="15.75" x14ac:dyDescent="0.25">
      <c r="B22" s="1524"/>
      <c r="C22" s="1525"/>
      <c r="D22" s="1526"/>
      <c r="E22" s="1574" t="s">
        <v>760</v>
      </c>
      <c r="F22" s="1528">
        <v>-11935368</v>
      </c>
      <c r="G22" s="1528">
        <v>-12748599</v>
      </c>
    </row>
    <row r="23" spans="2:7" ht="18.75" customHeight="1" x14ac:dyDescent="0.25">
      <c r="B23" s="1529" t="s">
        <v>838</v>
      </c>
      <c r="C23" s="1530" t="s">
        <v>837</v>
      </c>
      <c r="D23" s="1531"/>
      <c r="E23" s="1575" t="s">
        <v>762</v>
      </c>
      <c r="F23" s="1533">
        <f>SUM(F21:F22)</f>
        <v>-15142556</v>
      </c>
      <c r="G23" s="1533">
        <f>SUM(G21:G22)</f>
        <v>-15984857</v>
      </c>
    </row>
    <row r="24" spans="2:7" ht="15.75" x14ac:dyDescent="0.25">
      <c r="B24" s="1524"/>
      <c r="C24" s="1525"/>
      <c r="D24" s="1526"/>
      <c r="E24" s="1574"/>
      <c r="F24" s="1528"/>
      <c r="G24" s="1528"/>
    </row>
    <row r="25" spans="2:7" ht="15" customHeight="1" x14ac:dyDescent="0.25">
      <c r="B25" s="1524"/>
      <c r="C25" s="1525" t="s">
        <v>839</v>
      </c>
      <c r="D25" s="1526"/>
      <c r="E25" s="1574" t="s">
        <v>759</v>
      </c>
      <c r="F25" s="1528">
        <v>0</v>
      </c>
      <c r="G25" s="1528">
        <v>0</v>
      </c>
    </row>
    <row r="26" spans="2:7" ht="15.75" x14ac:dyDescent="0.25">
      <c r="B26" s="1524"/>
      <c r="C26" s="1525"/>
      <c r="D26" s="1526"/>
      <c r="E26" s="1574" t="s">
        <v>760</v>
      </c>
      <c r="F26" s="1528">
        <v>0</v>
      </c>
      <c r="G26" s="1528">
        <v>0</v>
      </c>
    </row>
    <row r="27" spans="2:7" ht="19.5" customHeight="1" x14ac:dyDescent="0.25">
      <c r="B27" s="1529" t="s">
        <v>840</v>
      </c>
      <c r="C27" s="1530" t="s">
        <v>839</v>
      </c>
      <c r="D27" s="1531"/>
      <c r="E27" s="1575" t="s">
        <v>762</v>
      </c>
      <c r="F27" s="1533">
        <f>SUM(F25:F26)</f>
        <v>0</v>
      </c>
      <c r="G27" s="1533">
        <f>SUM(G25:G26)</f>
        <v>0</v>
      </c>
    </row>
    <row r="28" spans="2:7" ht="15.75" x14ac:dyDescent="0.25">
      <c r="B28" s="1524"/>
      <c r="C28" s="1525"/>
      <c r="D28" s="1526"/>
      <c r="E28" s="1574"/>
      <c r="F28" s="1528"/>
      <c r="G28" s="1528"/>
    </row>
    <row r="29" spans="2:7" ht="15.75" x14ac:dyDescent="0.25">
      <c r="B29" s="1524"/>
      <c r="C29" s="1525" t="s">
        <v>841</v>
      </c>
      <c r="D29" s="1526"/>
      <c r="E29" s="1574" t="s">
        <v>759</v>
      </c>
      <c r="F29" s="1528">
        <v>-29070</v>
      </c>
      <c r="G29" s="1528">
        <f>-176922+1</f>
        <v>-176921</v>
      </c>
    </row>
    <row r="30" spans="2:7" ht="15.75" x14ac:dyDescent="0.25">
      <c r="B30" s="1524"/>
      <c r="C30" s="1525"/>
      <c r="D30" s="1526"/>
      <c r="E30" s="1574" t="s">
        <v>760</v>
      </c>
      <c r="F30" s="1528">
        <v>-813231</v>
      </c>
      <c r="G30" s="1528">
        <v>-139792</v>
      </c>
    </row>
    <row r="31" spans="2:7" ht="20.25" customHeight="1" x14ac:dyDescent="0.25">
      <c r="B31" s="1529" t="s">
        <v>842</v>
      </c>
      <c r="C31" s="1530" t="s">
        <v>841</v>
      </c>
      <c r="D31" s="1531"/>
      <c r="E31" s="1575" t="s">
        <v>762</v>
      </c>
      <c r="F31" s="1533">
        <f>SUM(F29:F30)</f>
        <v>-842301</v>
      </c>
      <c r="G31" s="1533">
        <f>SUM(G29:G30)</f>
        <v>-316713</v>
      </c>
    </row>
    <row r="32" spans="2:7" ht="15" customHeight="1" x14ac:dyDescent="0.25">
      <c r="B32" s="1534"/>
      <c r="C32" s="1535"/>
      <c r="D32" s="1536"/>
      <c r="E32" s="1572"/>
      <c r="F32" s="1537"/>
      <c r="G32" s="1537"/>
    </row>
    <row r="33" spans="2:7" ht="15.75" x14ac:dyDescent="0.25">
      <c r="B33" s="1524"/>
      <c r="C33" s="1525" t="s">
        <v>843</v>
      </c>
      <c r="D33" s="1526"/>
      <c r="E33" s="1574" t="s">
        <v>759</v>
      </c>
      <c r="F33" s="1528">
        <f>+F9+F13+F17+F21+F25+F29</f>
        <v>5385345</v>
      </c>
      <c r="G33" s="1528">
        <f>+G9+G13+G17+G21+G25+G29</f>
        <v>5208424</v>
      </c>
    </row>
    <row r="34" spans="2:7" ht="16.5" thickBot="1" x14ac:dyDescent="0.3">
      <c r="B34" s="1524"/>
      <c r="C34" s="1525"/>
      <c r="D34" s="1526"/>
      <c r="E34" s="1574" t="s">
        <v>760</v>
      </c>
      <c r="F34" s="1528">
        <f>+F10+F14+F18+F22+F26+F30</f>
        <v>83597406</v>
      </c>
      <c r="G34" s="1528">
        <f>+G10+G14+G18+G22+G26+G30</f>
        <v>83403372</v>
      </c>
    </row>
    <row r="35" spans="2:7" ht="24" customHeight="1" thickBot="1" x14ac:dyDescent="0.3">
      <c r="B35" s="1568" t="s">
        <v>844</v>
      </c>
      <c r="C35" s="1993" t="s">
        <v>845</v>
      </c>
      <c r="D35" s="1994"/>
      <c r="E35" s="1577" t="s">
        <v>762</v>
      </c>
      <c r="F35" s="1570">
        <f>SUM(F33:F34)</f>
        <v>88982751</v>
      </c>
      <c r="G35" s="1570">
        <f>SUM(G33:G34)</f>
        <v>88611796</v>
      </c>
    </row>
    <row r="36" spans="2:7" ht="15.75" x14ac:dyDescent="0.25">
      <c r="B36" s="1534"/>
      <c r="C36" s="1535"/>
      <c r="D36" s="1536"/>
      <c r="E36" s="1572"/>
      <c r="F36" s="1537"/>
      <c r="G36" s="1537"/>
    </row>
    <row r="37" spans="2:7" ht="12" customHeight="1" x14ac:dyDescent="0.25">
      <c r="B37" s="1524"/>
      <c r="C37" s="1525" t="s">
        <v>846</v>
      </c>
      <c r="D37" s="1526"/>
      <c r="E37" s="1574" t="s">
        <v>759</v>
      </c>
      <c r="F37" s="1528">
        <v>55965</v>
      </c>
      <c r="G37" s="1528">
        <v>72485</v>
      </c>
    </row>
    <row r="38" spans="2:7" ht="12" customHeight="1" x14ac:dyDescent="0.25">
      <c r="B38" s="1524"/>
      <c r="C38" s="1525"/>
      <c r="D38" s="1526"/>
      <c r="E38" s="1574" t="s">
        <v>760</v>
      </c>
      <c r="F38" s="1528">
        <v>350212</v>
      </c>
      <c r="G38" s="1528">
        <v>393073</v>
      </c>
    </row>
    <row r="39" spans="2:7" ht="21" customHeight="1" x14ac:dyDescent="0.25">
      <c r="B39" s="1529" t="s">
        <v>847</v>
      </c>
      <c r="C39" s="1530" t="s">
        <v>846</v>
      </c>
      <c r="D39" s="1531"/>
      <c r="E39" s="1575" t="s">
        <v>762</v>
      </c>
      <c r="F39" s="1533">
        <f>SUM(F37:F38)</f>
        <v>406177</v>
      </c>
      <c r="G39" s="1533">
        <f>SUM(G37:G38)</f>
        <v>465558</v>
      </c>
    </row>
    <row r="40" spans="2:7" ht="12.75" customHeight="1" x14ac:dyDescent="0.25">
      <c r="B40" s="1524"/>
      <c r="C40" s="1525"/>
      <c r="D40" s="1526"/>
      <c r="E40" s="1574"/>
      <c r="F40" s="1528"/>
      <c r="G40" s="1528"/>
    </row>
    <row r="41" spans="2:7" ht="15.75" x14ac:dyDescent="0.25">
      <c r="B41" s="1524"/>
      <c r="C41" s="1525" t="s">
        <v>848</v>
      </c>
      <c r="D41" s="1526"/>
      <c r="E41" s="1574" t="s">
        <v>759</v>
      </c>
      <c r="F41" s="1528">
        <v>17663</v>
      </c>
      <c r="G41" s="1528">
        <f>16809+1</f>
        <v>16810</v>
      </c>
    </row>
    <row r="42" spans="2:7" ht="15.75" x14ac:dyDescent="0.25">
      <c r="B42" s="1524"/>
      <c r="C42" s="1576"/>
      <c r="D42" s="1526"/>
      <c r="E42" s="1574" t="s">
        <v>760</v>
      </c>
      <c r="F42" s="1528">
        <v>1376310</v>
      </c>
      <c r="G42" s="1528">
        <v>1256361</v>
      </c>
    </row>
    <row r="43" spans="2:7" ht="16.5" customHeight="1" x14ac:dyDescent="0.25">
      <c r="B43" s="1529" t="s">
        <v>849</v>
      </c>
      <c r="C43" s="1530" t="s">
        <v>848</v>
      </c>
      <c r="D43" s="1531"/>
      <c r="E43" s="1575" t="s">
        <v>762</v>
      </c>
      <c r="F43" s="1533">
        <f>SUM(F41:F42)</f>
        <v>1393973</v>
      </c>
      <c r="G43" s="1533">
        <f>SUM(G41:G42)</f>
        <v>1273171</v>
      </c>
    </row>
    <row r="44" spans="2:7" ht="15.75" x14ac:dyDescent="0.25">
      <c r="B44" s="1524"/>
      <c r="C44" s="1525"/>
      <c r="D44" s="1526"/>
      <c r="E44" s="1574"/>
      <c r="F44" s="1528"/>
      <c r="G44" s="1528"/>
    </row>
    <row r="45" spans="2:7" ht="15" customHeight="1" x14ac:dyDescent="0.25">
      <c r="B45" s="1524"/>
      <c r="C45" s="1525" t="s">
        <v>850</v>
      </c>
      <c r="D45" s="1526"/>
      <c r="E45" s="1574" t="s">
        <v>759</v>
      </c>
      <c r="F45" s="1528">
        <v>14027</v>
      </c>
      <c r="G45" s="1528">
        <f>6771-1</f>
        <v>6770</v>
      </c>
    </row>
    <row r="46" spans="2:7" ht="12.75" customHeight="1" x14ac:dyDescent="0.25">
      <c r="B46" s="1524"/>
      <c r="C46" s="1525"/>
      <c r="D46" s="1526"/>
      <c r="E46" s="1574" t="s">
        <v>760</v>
      </c>
      <c r="F46" s="1528">
        <v>991129</v>
      </c>
      <c r="G46" s="1528">
        <v>574618</v>
      </c>
    </row>
    <row r="47" spans="2:7" ht="17.25" customHeight="1" x14ac:dyDescent="0.25">
      <c r="B47" s="1529" t="s">
        <v>851</v>
      </c>
      <c r="C47" s="1530" t="s">
        <v>850</v>
      </c>
      <c r="D47" s="1531"/>
      <c r="E47" s="1575" t="s">
        <v>762</v>
      </c>
      <c r="F47" s="1533">
        <f>SUM(F45:F46)</f>
        <v>1005156</v>
      </c>
      <c r="G47" s="1533">
        <f>SUM(G45:G46)</f>
        <v>581388</v>
      </c>
    </row>
    <row r="48" spans="2:7" ht="15.75" x14ac:dyDescent="0.25">
      <c r="B48" s="1534"/>
      <c r="C48" s="1535"/>
      <c r="D48" s="1536"/>
      <c r="E48" s="1572"/>
      <c r="F48" s="1537"/>
      <c r="G48" s="1537"/>
    </row>
    <row r="49" spans="2:7" ht="15.75" x14ac:dyDescent="0.25">
      <c r="B49" s="1524"/>
      <c r="C49" s="1525" t="s">
        <v>852</v>
      </c>
      <c r="D49" s="1526"/>
      <c r="E49" s="1574" t="s">
        <v>759</v>
      </c>
      <c r="F49" s="1528">
        <f>+F37+F41+F45</f>
        <v>87655</v>
      </c>
      <c r="G49" s="1528">
        <f>+G37+G41+G45</f>
        <v>96065</v>
      </c>
    </row>
    <row r="50" spans="2:7" ht="16.5" thickBot="1" x14ac:dyDescent="0.3">
      <c r="B50" s="1524"/>
      <c r="C50" s="1525"/>
      <c r="D50" s="1526"/>
      <c r="E50" s="1574" t="s">
        <v>760</v>
      </c>
      <c r="F50" s="1528">
        <f>+F38+F42+F46</f>
        <v>2717651</v>
      </c>
      <c r="G50" s="1528">
        <f>+G38+G42+G46</f>
        <v>2224052</v>
      </c>
    </row>
    <row r="51" spans="2:7" ht="21.75" customHeight="1" thickBot="1" x14ac:dyDescent="0.3">
      <c r="B51" s="1568" t="s">
        <v>853</v>
      </c>
      <c r="C51" s="1993" t="s">
        <v>852</v>
      </c>
      <c r="D51" s="1994"/>
      <c r="E51" s="1577" t="s">
        <v>762</v>
      </c>
      <c r="F51" s="1570">
        <f>SUM(F49:F50)</f>
        <v>2805306</v>
      </c>
      <c r="G51" s="1570">
        <f>SUM(G49:G50)</f>
        <v>2320117</v>
      </c>
    </row>
    <row r="52" spans="2:7" ht="12.75" customHeight="1" x14ac:dyDescent="0.25">
      <c r="B52" s="1561"/>
      <c r="C52" s="1562"/>
      <c r="D52" s="1555"/>
      <c r="E52" s="1578"/>
      <c r="F52" s="1564"/>
      <c r="G52" s="1564"/>
    </row>
    <row r="53" spans="2:7" ht="12.75" customHeight="1" x14ac:dyDescent="0.25">
      <c r="B53" s="1561"/>
      <c r="C53" s="1562"/>
      <c r="D53" s="1555"/>
      <c r="E53" s="1578"/>
      <c r="F53" s="1564"/>
      <c r="G53" s="1564"/>
    </row>
    <row r="54" spans="2:7" ht="12" customHeight="1" x14ac:dyDescent="0.25">
      <c r="B54" s="1524"/>
      <c r="C54" s="1525" t="s">
        <v>854</v>
      </c>
      <c r="D54" s="1526"/>
      <c r="E54" s="1574" t="s">
        <v>759</v>
      </c>
      <c r="F54" s="1528">
        <v>0</v>
      </c>
      <c r="G54" s="1528">
        <v>0</v>
      </c>
    </row>
    <row r="55" spans="2:7" ht="12" customHeight="1" thickBot="1" x14ac:dyDescent="0.3">
      <c r="B55" s="1524"/>
      <c r="C55" s="1525"/>
      <c r="D55" s="1526"/>
      <c r="E55" s="1574" t="s">
        <v>760</v>
      </c>
      <c r="F55" s="1528"/>
      <c r="G55" s="1528"/>
    </row>
    <row r="56" spans="2:7" ht="35.25" customHeight="1" thickBot="1" x14ac:dyDescent="0.3">
      <c r="B56" s="1568" t="s">
        <v>855</v>
      </c>
      <c r="C56" s="1993" t="s">
        <v>854</v>
      </c>
      <c r="D56" s="1994"/>
      <c r="E56" s="1577" t="s">
        <v>762</v>
      </c>
      <c r="F56" s="1570">
        <f>SUM(F54:F55)</f>
        <v>0</v>
      </c>
      <c r="G56" s="1570">
        <f>SUM(G54:G55)</f>
        <v>0</v>
      </c>
    </row>
    <row r="57" spans="2:7" ht="12" customHeight="1" x14ac:dyDescent="0.25">
      <c r="B57" s="1534"/>
      <c r="C57" s="1535"/>
      <c r="D57" s="1536"/>
      <c r="E57" s="1572"/>
      <c r="F57" s="1537"/>
      <c r="G57" s="1537"/>
    </row>
    <row r="58" spans="2:7" ht="15" customHeight="1" x14ac:dyDescent="0.25">
      <c r="B58" s="1524"/>
      <c r="C58" s="1525" t="s">
        <v>856</v>
      </c>
      <c r="D58" s="1526"/>
      <c r="E58" s="1574" t="s">
        <v>759</v>
      </c>
      <c r="F58" s="1528">
        <v>30510</v>
      </c>
      <c r="G58" s="1528">
        <v>30072</v>
      </c>
    </row>
    <row r="59" spans="2:7" ht="12.75" customHeight="1" x14ac:dyDescent="0.25">
      <c r="B59" s="1524"/>
      <c r="C59" s="1525"/>
      <c r="D59" s="1526"/>
      <c r="E59" s="1574" t="s">
        <v>760</v>
      </c>
      <c r="F59" s="1528">
        <v>4673397</v>
      </c>
      <c r="G59" s="1528">
        <v>5504219</v>
      </c>
    </row>
    <row r="60" spans="2:7" ht="30.75" customHeight="1" x14ac:dyDescent="0.25">
      <c r="B60" s="1529" t="s">
        <v>857</v>
      </c>
      <c r="C60" s="1990" t="s">
        <v>858</v>
      </c>
      <c r="D60" s="1991"/>
      <c r="E60" s="1575" t="s">
        <v>762</v>
      </c>
      <c r="F60" s="1533">
        <f>SUM(F58:F59)</f>
        <v>4703907</v>
      </c>
      <c r="G60" s="1533">
        <f>SUM(G58:G59)</f>
        <v>5534291</v>
      </c>
    </row>
    <row r="61" spans="2:7" ht="15.75" x14ac:dyDescent="0.25">
      <c r="B61" s="1524"/>
      <c r="C61" s="1525"/>
      <c r="D61" s="1526"/>
      <c r="E61" s="1574"/>
      <c r="F61" s="1528"/>
      <c r="G61" s="1528"/>
    </row>
    <row r="62" spans="2:7" ht="15.75" x14ac:dyDescent="0.25">
      <c r="B62" s="1524"/>
      <c r="C62" s="1525" t="s">
        <v>859</v>
      </c>
      <c r="D62" s="1526"/>
      <c r="E62" s="1574" t="s">
        <v>759</v>
      </c>
      <c r="F62" s="1528">
        <v>958733</v>
      </c>
      <c r="G62" s="1528">
        <v>882185</v>
      </c>
    </row>
    <row r="63" spans="2:7" ht="15.75" x14ac:dyDescent="0.25">
      <c r="B63" s="1524"/>
      <c r="C63" s="1576"/>
      <c r="D63" s="1526"/>
      <c r="E63" s="1574" t="s">
        <v>760</v>
      </c>
      <c r="F63" s="1528">
        <v>162070</v>
      </c>
      <c r="G63" s="1528">
        <v>334029</v>
      </c>
    </row>
    <row r="64" spans="2:7" ht="19.5" customHeight="1" x14ac:dyDescent="0.25">
      <c r="B64" s="1529" t="s">
        <v>860</v>
      </c>
      <c r="C64" s="1530" t="s">
        <v>859</v>
      </c>
      <c r="D64" s="1531"/>
      <c r="E64" s="1575" t="s">
        <v>762</v>
      </c>
      <c r="F64" s="1533">
        <f>SUM(F62:F63)</f>
        <v>1120803</v>
      </c>
      <c r="G64" s="1533">
        <f>SUM(G62:G63)</f>
        <v>1216214</v>
      </c>
    </row>
    <row r="65" spans="2:7" ht="12.75" customHeight="1" x14ac:dyDescent="0.25">
      <c r="B65" s="1524"/>
      <c r="C65" s="1525"/>
      <c r="D65" s="1526"/>
      <c r="E65" s="1574"/>
      <c r="F65" s="1528"/>
      <c r="G65" s="1528"/>
    </row>
    <row r="66" spans="2:7" ht="15.75" x14ac:dyDescent="0.25">
      <c r="B66" s="1524"/>
      <c r="C66" s="1525" t="s">
        <v>861</v>
      </c>
      <c r="D66" s="1526"/>
      <c r="E66" s="1574" t="s">
        <v>759</v>
      </c>
      <c r="F66" s="1528">
        <v>3622</v>
      </c>
      <c r="G66" s="1528">
        <v>3544</v>
      </c>
    </row>
    <row r="67" spans="2:7" ht="15.75" x14ac:dyDescent="0.25">
      <c r="B67" s="1524"/>
      <c r="C67" s="1525"/>
      <c r="D67" s="1526"/>
      <c r="E67" s="1574" t="s">
        <v>760</v>
      </c>
      <c r="F67" s="1528">
        <v>18141014</v>
      </c>
      <c r="G67" s="1528">
        <v>18175254</v>
      </c>
    </row>
    <row r="68" spans="2:7" ht="16.5" customHeight="1" x14ac:dyDescent="0.25">
      <c r="B68" s="1529" t="s">
        <v>862</v>
      </c>
      <c r="C68" s="1530" t="s">
        <v>861</v>
      </c>
      <c r="D68" s="1531"/>
      <c r="E68" s="1575" t="s">
        <v>762</v>
      </c>
      <c r="F68" s="1533">
        <f>SUM(F66:F67)</f>
        <v>18144636</v>
      </c>
      <c r="G68" s="1533">
        <f>SUM(G66:G67)</f>
        <v>18178798</v>
      </c>
    </row>
    <row r="69" spans="2:7" ht="15.75" x14ac:dyDescent="0.25">
      <c r="B69" s="1524"/>
      <c r="C69" s="1525"/>
      <c r="D69" s="1526"/>
      <c r="E69" s="1574"/>
      <c r="F69" s="1528"/>
      <c r="G69" s="1528"/>
    </row>
    <row r="70" spans="2:7" ht="15" customHeight="1" x14ac:dyDescent="0.25">
      <c r="B70" s="1524"/>
      <c r="C70" s="1525" t="s">
        <v>863</v>
      </c>
      <c r="D70" s="1526"/>
      <c r="E70" s="1574" t="s">
        <v>759</v>
      </c>
      <c r="F70" s="1528">
        <f>+F58+F62+F66</f>
        <v>992865</v>
      </c>
      <c r="G70" s="1528">
        <f>+G58+G62+G66</f>
        <v>915801</v>
      </c>
    </row>
    <row r="71" spans="2:7" ht="16.5" thickBot="1" x14ac:dyDescent="0.3">
      <c r="B71" s="1524"/>
      <c r="C71" s="1525"/>
      <c r="D71" s="1526"/>
      <c r="E71" s="1574" t="s">
        <v>760</v>
      </c>
      <c r="F71" s="1528">
        <f>+F59+F63+F67</f>
        <v>22976481</v>
      </c>
      <c r="G71" s="1528">
        <f>+G59+G63+G67</f>
        <v>24013502</v>
      </c>
    </row>
    <row r="72" spans="2:7" ht="24.75" customHeight="1" thickBot="1" x14ac:dyDescent="0.3">
      <c r="B72" s="1568" t="s">
        <v>864</v>
      </c>
      <c r="C72" s="1993" t="s">
        <v>863</v>
      </c>
      <c r="D72" s="1994"/>
      <c r="E72" s="1577" t="s">
        <v>762</v>
      </c>
      <c r="F72" s="1570">
        <f>SUM(F70:F71)</f>
        <v>23969346</v>
      </c>
      <c r="G72" s="1570">
        <f>SUM(G70:G71)</f>
        <v>24929303</v>
      </c>
    </row>
    <row r="73" spans="2:7" ht="15.75" x14ac:dyDescent="0.25">
      <c r="B73" s="1524"/>
      <c r="C73" s="1525"/>
      <c r="D73" s="1526"/>
      <c r="E73" s="1574"/>
      <c r="F73" s="1528"/>
      <c r="G73" s="1528"/>
    </row>
    <row r="74" spans="2:7" ht="15.75" x14ac:dyDescent="0.25">
      <c r="B74" s="1524"/>
      <c r="C74" s="1535" t="s">
        <v>830</v>
      </c>
      <c r="D74" s="1526"/>
      <c r="E74" s="1574" t="s">
        <v>759</v>
      </c>
      <c r="F74" s="1528">
        <f>+F33+F49+F54+F70</f>
        <v>6465865</v>
      </c>
      <c r="G74" s="1528">
        <f>+G33+G49+G54+G70</f>
        <v>6220290</v>
      </c>
    </row>
    <row r="75" spans="2:7" ht="16.5" thickBot="1" x14ac:dyDescent="0.3">
      <c r="B75" s="1524"/>
      <c r="C75" s="1525"/>
      <c r="D75" s="1526"/>
      <c r="E75" s="1574" t="s">
        <v>760</v>
      </c>
      <c r="F75" s="1528">
        <f>+F34+F50+F55+F71</f>
        <v>109291538</v>
      </c>
      <c r="G75" s="1528">
        <f>+G34+G50+G55+G71</f>
        <v>109640926</v>
      </c>
    </row>
    <row r="76" spans="2:7" ht="24.75" customHeight="1" thickBot="1" x14ac:dyDescent="0.3">
      <c r="B76" s="1568"/>
      <c r="C76" s="1993" t="s">
        <v>865</v>
      </c>
      <c r="D76" s="1994"/>
      <c r="E76" s="1577" t="s">
        <v>762</v>
      </c>
      <c r="F76" s="1570">
        <f>SUM(F74:F75)</f>
        <v>115757403</v>
      </c>
      <c r="G76" s="1570">
        <f>SUM(G74:G75)</f>
        <v>115861216</v>
      </c>
    </row>
    <row r="77" spans="2:7" ht="12.75" customHeight="1" x14ac:dyDescent="0.2"/>
    <row r="78" spans="2:7" x14ac:dyDescent="0.2">
      <c r="F78" s="657"/>
      <c r="G78" s="657"/>
    </row>
    <row r="79" spans="2:7" x14ac:dyDescent="0.2">
      <c r="F79" s="657"/>
      <c r="G79" s="657"/>
    </row>
    <row r="82" spans="8:8" ht="15" customHeight="1" x14ac:dyDescent="0.2"/>
    <row r="83" spans="8:8" ht="12" customHeight="1" x14ac:dyDescent="0.2"/>
    <row r="84" spans="8:8" x14ac:dyDescent="0.2">
      <c r="H84" s="657"/>
    </row>
    <row r="85" spans="8:8" x14ac:dyDescent="0.2">
      <c r="H85" s="657"/>
    </row>
    <row r="86" spans="8:8" x14ac:dyDescent="0.2">
      <c r="H86" s="657"/>
    </row>
    <row r="88" spans="8:8" ht="21" customHeight="1" x14ac:dyDescent="0.2"/>
  </sheetData>
  <mergeCells count="9">
    <mergeCell ref="C60:D60"/>
    <mergeCell ref="C72:D72"/>
    <mergeCell ref="C76:D76"/>
    <mergeCell ref="B2:G2"/>
    <mergeCell ref="B3:G3"/>
    <mergeCell ref="C5:D5"/>
    <mergeCell ref="C35:D35"/>
    <mergeCell ref="C51:D51"/>
    <mergeCell ref="C56:D56"/>
  </mergeCells>
  <printOptions horizontalCentered="1" verticalCentered="1"/>
  <pageMargins left="0.19685039370078741" right="0.19685039370078741" top="0.39370078740157483" bottom="0.35433070866141736" header="0.15748031496062992" footer="0.31496062992125984"/>
  <pageSetup paperSize="9" scale="61" orientation="portrait" r:id="rId1"/>
  <headerFooter alignWithMargins="0">
    <oddHeader>&amp;R&amp;"-,Félkövér"&amp;12  24. melléklet a 10/2024. (V.31.)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DCCA2-8579-4257-A12A-8B01CB548CC2}">
  <dimension ref="B3:I231"/>
  <sheetViews>
    <sheetView view="pageLayout" topLeftCell="A153" zoomScaleNormal="75" workbookViewId="0">
      <selection activeCell="F153" sqref="F153"/>
    </sheetView>
  </sheetViews>
  <sheetFormatPr defaultColWidth="12" defaultRowHeight="15" x14ac:dyDescent="0.2"/>
  <cols>
    <col min="1" max="1" width="5.33203125" style="658" customWidth="1"/>
    <col min="2" max="2" width="44" style="658" customWidth="1"/>
    <col min="3" max="3" width="13.1640625" style="660" customWidth="1"/>
    <col min="4" max="4" width="63.5" style="658" customWidth="1"/>
    <col min="5" max="5" width="13.1640625" style="660" customWidth="1"/>
    <col min="6" max="6" width="15.6640625" style="658" customWidth="1"/>
    <col min="7" max="8" width="12" style="658"/>
    <col min="9" max="9" width="12" style="658" customWidth="1"/>
    <col min="10" max="16384" width="12" style="658"/>
  </cols>
  <sheetData>
    <row r="3" spans="2:6" ht="18.75" customHeight="1" x14ac:dyDescent="0.3">
      <c r="B3" s="2003" t="s">
        <v>719</v>
      </c>
      <c r="C3" s="2003"/>
      <c r="D3" s="2003"/>
      <c r="E3" s="2003"/>
      <c r="F3" s="2003"/>
    </row>
    <row r="4" spans="2:6" ht="24" customHeight="1" x14ac:dyDescent="0.3">
      <c r="B4" s="2004" t="s">
        <v>1187</v>
      </c>
      <c r="C4" s="2004"/>
      <c r="D4" s="2004"/>
      <c r="E4" s="2004"/>
      <c r="F4" s="2004"/>
    </row>
    <row r="5" spans="2:6" s="659" customFormat="1" ht="24" customHeight="1" x14ac:dyDescent="0.3">
      <c r="B5" s="2005" t="s">
        <v>866</v>
      </c>
      <c r="C5" s="2005"/>
      <c r="D5" s="2005"/>
      <c r="E5" s="2005"/>
      <c r="F5" s="2005"/>
    </row>
    <row r="6" spans="2:6" ht="18.75" x14ac:dyDescent="0.3">
      <c r="B6" s="2005" t="s">
        <v>867</v>
      </c>
      <c r="C6" s="2005"/>
      <c r="D6" s="2005"/>
      <c r="E6" s="2005"/>
      <c r="F6" s="2005"/>
    </row>
    <row r="7" spans="2:6" ht="18.75" x14ac:dyDescent="0.3">
      <c r="B7" s="2005" t="s">
        <v>868</v>
      </c>
      <c r="C7" s="2005"/>
      <c r="D7" s="2005"/>
      <c r="E7" s="2005"/>
      <c r="F7" s="2005"/>
    </row>
    <row r="8" spans="2:6" ht="19.5" thickBot="1" x14ac:dyDescent="0.35">
      <c r="B8" s="2002" t="s">
        <v>869</v>
      </c>
      <c r="C8" s="2002"/>
      <c r="D8" s="2002"/>
      <c r="E8" s="2002"/>
      <c r="F8" s="2002"/>
    </row>
    <row r="9" spans="2:6" ht="42" customHeight="1" thickBot="1" x14ac:dyDescent="0.3">
      <c r="B9" s="1579" t="s">
        <v>870</v>
      </c>
      <c r="C9" s="1580" t="s">
        <v>871</v>
      </c>
      <c r="D9" s="1581" t="s">
        <v>872</v>
      </c>
      <c r="E9" s="1582" t="s">
        <v>873</v>
      </c>
      <c r="F9" s="1583" t="s">
        <v>874</v>
      </c>
    </row>
    <row r="10" spans="2:6" ht="24.75" customHeight="1" x14ac:dyDescent="0.25">
      <c r="B10" s="1584" t="s">
        <v>875</v>
      </c>
      <c r="C10" s="1585"/>
      <c r="D10" s="1586"/>
      <c r="E10" s="1587"/>
      <c r="F10" s="1588"/>
    </row>
    <row r="11" spans="2:6" ht="15.75" x14ac:dyDescent="0.25">
      <c r="B11" s="1589" t="s">
        <v>876</v>
      </c>
      <c r="C11" s="1590">
        <v>50846</v>
      </c>
      <c r="D11" s="1591" t="s">
        <v>877</v>
      </c>
      <c r="E11" s="1592">
        <v>28873</v>
      </c>
      <c r="F11" s="1588"/>
    </row>
    <row r="12" spans="2:6" ht="15.75" x14ac:dyDescent="0.25">
      <c r="B12" s="1589"/>
      <c r="C12" s="1590"/>
      <c r="D12" s="1591" t="s">
        <v>878</v>
      </c>
      <c r="E12" s="1592">
        <v>14078</v>
      </c>
      <c r="F12" s="1588"/>
    </row>
    <row r="13" spans="2:6" ht="15.75" x14ac:dyDescent="0.25">
      <c r="B13" s="1589"/>
      <c r="C13" s="1590"/>
      <c r="D13" s="1591" t="s">
        <v>879</v>
      </c>
      <c r="E13" s="1592">
        <v>4524</v>
      </c>
      <c r="F13" s="1588"/>
    </row>
    <row r="14" spans="2:6" ht="15.75" x14ac:dyDescent="0.25">
      <c r="B14" s="1589"/>
      <c r="C14" s="1593"/>
      <c r="D14" s="1591" t="s">
        <v>880</v>
      </c>
      <c r="E14" s="1592">
        <v>1135</v>
      </c>
      <c r="F14" s="1588"/>
    </row>
    <row r="15" spans="2:6" ht="15.75" x14ac:dyDescent="0.25">
      <c r="B15" s="1589"/>
      <c r="C15" s="1593"/>
      <c r="D15" s="1591" t="s">
        <v>881</v>
      </c>
      <c r="E15" s="1592">
        <v>1500</v>
      </c>
      <c r="F15" s="1588"/>
    </row>
    <row r="16" spans="2:6" ht="15.75" x14ac:dyDescent="0.25">
      <c r="B16" s="1589"/>
      <c r="C16" s="1590"/>
      <c r="D16" s="1591" t="s">
        <v>882</v>
      </c>
      <c r="E16" s="1592">
        <v>736</v>
      </c>
      <c r="F16" s="1588"/>
    </row>
    <row r="17" spans="2:9" s="659" customFormat="1" ht="23.25" customHeight="1" thickBot="1" x14ac:dyDescent="0.3">
      <c r="B17" s="1594"/>
      <c r="C17" s="1595">
        <f>SUM(C11:C16)</f>
        <v>50846</v>
      </c>
      <c r="D17" s="1596"/>
      <c r="E17" s="1597">
        <f>SUM(E11:E16)</f>
        <v>50846</v>
      </c>
      <c r="F17" s="1598">
        <f>C17-E17</f>
        <v>0</v>
      </c>
    </row>
    <row r="18" spans="2:9" s="659" customFormat="1" ht="19.5" customHeight="1" x14ac:dyDescent="0.25">
      <c r="B18" s="1584" t="s">
        <v>883</v>
      </c>
      <c r="C18" s="1593"/>
      <c r="D18" s="1586"/>
      <c r="E18" s="1587"/>
      <c r="F18" s="1599"/>
      <c r="I18" s="658"/>
    </row>
    <row r="19" spans="2:9" ht="15.75" x14ac:dyDescent="0.25">
      <c r="B19" s="1589" t="s">
        <v>884</v>
      </c>
      <c r="C19" s="1590">
        <v>488825</v>
      </c>
      <c r="D19" s="1591" t="s">
        <v>885</v>
      </c>
      <c r="E19" s="1592">
        <v>32035</v>
      </c>
      <c r="F19" s="1588"/>
    </row>
    <row r="20" spans="2:9" ht="15.75" x14ac:dyDescent="0.25">
      <c r="B20" s="1589" t="s">
        <v>52</v>
      </c>
      <c r="C20" s="1593"/>
      <c r="D20" s="1591" t="s">
        <v>886</v>
      </c>
      <c r="E20" s="1592">
        <v>4070</v>
      </c>
      <c r="F20" s="1588"/>
      <c r="I20" s="658" t="s">
        <v>52</v>
      </c>
    </row>
    <row r="21" spans="2:9" ht="15.75" x14ac:dyDescent="0.25">
      <c r="B21" s="1589" t="s">
        <v>52</v>
      </c>
      <c r="C21" s="1593" t="s">
        <v>52</v>
      </c>
      <c r="D21" s="1591" t="s">
        <v>887</v>
      </c>
      <c r="E21" s="1592">
        <v>47933</v>
      </c>
      <c r="F21" s="1588"/>
    </row>
    <row r="22" spans="2:9" ht="15.75" x14ac:dyDescent="0.25">
      <c r="B22" s="1589"/>
      <c r="C22" s="1590"/>
      <c r="D22" s="1591" t="s">
        <v>888</v>
      </c>
      <c r="E22" s="1592">
        <v>1982</v>
      </c>
      <c r="F22" s="1588"/>
    </row>
    <row r="23" spans="2:9" ht="15.75" x14ac:dyDescent="0.25">
      <c r="B23" s="1589"/>
      <c r="C23" s="1590"/>
      <c r="D23" s="1591" t="s">
        <v>889</v>
      </c>
      <c r="E23" s="1592">
        <v>6481</v>
      </c>
      <c r="F23" s="1588"/>
    </row>
    <row r="24" spans="2:9" ht="15.75" x14ac:dyDescent="0.25">
      <c r="B24" s="1589"/>
      <c r="C24" s="1593"/>
      <c r="D24" s="1591" t="s">
        <v>890</v>
      </c>
      <c r="E24" s="1592">
        <v>6222</v>
      </c>
      <c r="F24" s="1588"/>
    </row>
    <row r="25" spans="2:9" ht="15.75" x14ac:dyDescent="0.25">
      <c r="B25" s="1589"/>
      <c r="C25" s="1590"/>
      <c r="D25" s="1591" t="s">
        <v>891</v>
      </c>
      <c r="E25" s="1592">
        <v>9089</v>
      </c>
      <c r="F25" s="1588"/>
    </row>
    <row r="26" spans="2:9" ht="15.75" x14ac:dyDescent="0.25">
      <c r="B26" s="1589"/>
      <c r="C26" s="1593"/>
      <c r="D26" s="1591" t="s">
        <v>892</v>
      </c>
      <c r="E26" s="1592">
        <v>538</v>
      </c>
      <c r="F26" s="1588"/>
    </row>
    <row r="27" spans="2:9" ht="15.75" x14ac:dyDescent="0.25">
      <c r="B27" s="1589"/>
      <c r="C27" s="1593"/>
      <c r="D27" s="1591" t="s">
        <v>893</v>
      </c>
      <c r="E27" s="1592">
        <v>729</v>
      </c>
      <c r="F27" s="1588"/>
    </row>
    <row r="28" spans="2:9" ht="15.75" x14ac:dyDescent="0.25">
      <c r="B28" s="1589"/>
      <c r="C28" s="1593"/>
      <c r="D28" s="1591" t="s">
        <v>894</v>
      </c>
      <c r="E28" s="1592">
        <f>450+21863</f>
        <v>22313</v>
      </c>
      <c r="F28" s="1588"/>
    </row>
    <row r="29" spans="2:9" ht="15.75" x14ac:dyDescent="0.25">
      <c r="B29" s="1589"/>
      <c r="C29" s="1593"/>
      <c r="D29" s="1591" t="s">
        <v>895</v>
      </c>
      <c r="E29" s="1592">
        <v>22728</v>
      </c>
      <c r="F29" s="1588"/>
    </row>
    <row r="30" spans="2:9" ht="15.75" x14ac:dyDescent="0.25">
      <c r="B30" s="1589"/>
      <c r="C30" s="1593"/>
      <c r="D30" s="1591" t="s">
        <v>896</v>
      </c>
      <c r="E30" s="1592">
        <v>17603</v>
      </c>
      <c r="F30" s="1588"/>
    </row>
    <row r="31" spans="2:9" ht="15.75" x14ac:dyDescent="0.25">
      <c r="B31" s="1589"/>
      <c r="C31" s="1590"/>
      <c r="D31" s="1591" t="s">
        <v>897</v>
      </c>
      <c r="E31" s="1592">
        <v>1126</v>
      </c>
      <c r="F31" s="1588"/>
    </row>
    <row r="32" spans="2:9" ht="15.75" x14ac:dyDescent="0.25">
      <c r="B32" s="1589"/>
      <c r="C32" s="1590"/>
      <c r="D32" s="1591" t="s">
        <v>898</v>
      </c>
      <c r="E32" s="1592">
        <v>10907</v>
      </c>
      <c r="F32" s="1588"/>
    </row>
    <row r="33" spans="2:7" ht="15.75" x14ac:dyDescent="0.25">
      <c r="B33" s="1589"/>
      <c r="C33" s="1593"/>
      <c r="D33" s="1591" t="s">
        <v>899</v>
      </c>
      <c r="E33" s="1592">
        <v>30809</v>
      </c>
      <c r="F33" s="1588"/>
    </row>
    <row r="34" spans="2:7" s="659" customFormat="1" ht="24.75" customHeight="1" thickBot="1" x14ac:dyDescent="0.3">
      <c r="B34" s="1594"/>
      <c r="C34" s="1595">
        <f>SUM(C19:C31)</f>
        <v>488825</v>
      </c>
      <c r="D34" s="1596"/>
      <c r="E34" s="1597">
        <f>SUM(E19:E33)</f>
        <v>214565</v>
      </c>
      <c r="F34" s="1598">
        <f>C34-E34</f>
        <v>274260</v>
      </c>
      <c r="G34" s="659" t="s">
        <v>52</v>
      </c>
    </row>
    <row r="35" spans="2:7" ht="18.75" customHeight="1" x14ac:dyDescent="0.25">
      <c r="B35" s="1584" t="s">
        <v>900</v>
      </c>
      <c r="C35" s="1600"/>
      <c r="D35" s="1591"/>
      <c r="E35" s="1592"/>
      <c r="F35" s="1601"/>
    </row>
    <row r="36" spans="2:7" ht="15.75" x14ac:dyDescent="0.25">
      <c r="B36" s="1589" t="s">
        <v>901</v>
      </c>
      <c r="C36" s="1590">
        <v>493187</v>
      </c>
      <c r="D36" s="1591" t="s">
        <v>902</v>
      </c>
      <c r="E36" s="1592">
        <v>9851</v>
      </c>
      <c r="F36" s="1588"/>
      <c r="G36" s="658" t="s">
        <v>52</v>
      </c>
    </row>
    <row r="37" spans="2:7" ht="15.75" x14ac:dyDescent="0.25">
      <c r="B37" s="1589" t="s">
        <v>903</v>
      </c>
      <c r="C37" s="1590">
        <v>-28127</v>
      </c>
      <c r="D37" s="1591" t="s">
        <v>904</v>
      </c>
      <c r="E37" s="1592">
        <v>19307</v>
      </c>
      <c r="F37" s="1588"/>
    </row>
    <row r="38" spans="2:7" ht="15.75" x14ac:dyDescent="0.25">
      <c r="B38" s="1589" t="s">
        <v>52</v>
      </c>
      <c r="C38" s="1593" t="s">
        <v>52</v>
      </c>
      <c r="D38" s="1591" t="s">
        <v>905</v>
      </c>
      <c r="E38" s="1592">
        <v>15266</v>
      </c>
      <c r="F38" s="1588"/>
      <c r="G38" s="658" t="s">
        <v>52</v>
      </c>
    </row>
    <row r="39" spans="2:7" ht="15.75" x14ac:dyDescent="0.25">
      <c r="B39" s="1589"/>
      <c r="C39" s="1593"/>
      <c r="D39" s="1591" t="s">
        <v>906</v>
      </c>
      <c r="E39" s="1592">
        <v>30965</v>
      </c>
      <c r="F39" s="1588"/>
      <c r="G39" s="660" t="s">
        <v>52</v>
      </c>
    </row>
    <row r="40" spans="2:7" ht="15.75" x14ac:dyDescent="0.25">
      <c r="B40" s="1589"/>
      <c r="C40" s="1593"/>
      <c r="D40" s="1591" t="s">
        <v>890</v>
      </c>
      <c r="E40" s="1592">
        <v>113</v>
      </c>
      <c r="F40" s="1588"/>
    </row>
    <row r="41" spans="2:7" ht="15.75" x14ac:dyDescent="0.25">
      <c r="B41" s="1589"/>
      <c r="C41" s="1593"/>
      <c r="D41" s="1591" t="s">
        <v>907</v>
      </c>
      <c r="E41" s="1592">
        <f>18500+69022</f>
        <v>87522</v>
      </c>
      <c r="F41" s="1588"/>
    </row>
    <row r="42" spans="2:7" ht="15.75" x14ac:dyDescent="0.25">
      <c r="B42" s="1589"/>
      <c r="C42" s="1593"/>
      <c r="D42" s="1591" t="s">
        <v>908</v>
      </c>
      <c r="E42" s="1592">
        <f>26681+18717</f>
        <v>45398</v>
      </c>
      <c r="F42" s="1588"/>
    </row>
    <row r="43" spans="2:7" ht="15.75" x14ac:dyDescent="0.25">
      <c r="B43" s="1589"/>
      <c r="C43" s="1593"/>
      <c r="D43" s="1591" t="s">
        <v>894</v>
      </c>
      <c r="E43" s="1592">
        <f>200+41364+3500</f>
        <v>45064</v>
      </c>
      <c r="F43" s="1588"/>
    </row>
    <row r="44" spans="2:7" ht="15.75" x14ac:dyDescent="0.25">
      <c r="B44" s="1589"/>
      <c r="C44" s="1593"/>
      <c r="D44" s="1591" t="s">
        <v>895</v>
      </c>
      <c r="E44" s="1592">
        <v>44264</v>
      </c>
      <c r="F44" s="1588"/>
    </row>
    <row r="45" spans="2:7" ht="15.75" x14ac:dyDescent="0.25">
      <c r="B45" s="1589"/>
      <c r="C45" s="1593"/>
      <c r="D45" s="1591" t="s">
        <v>909</v>
      </c>
      <c r="E45" s="1592">
        <f>24875+383+1163</f>
        <v>26421</v>
      </c>
      <c r="F45" s="1588"/>
    </row>
    <row r="46" spans="2:7" ht="15.75" x14ac:dyDescent="0.25">
      <c r="B46" s="1589"/>
      <c r="C46" s="1593"/>
      <c r="D46" s="1591" t="s">
        <v>910</v>
      </c>
      <c r="E46" s="1592">
        <v>960</v>
      </c>
      <c r="F46" s="1588"/>
    </row>
    <row r="47" spans="2:7" ht="15.75" x14ac:dyDescent="0.25">
      <c r="B47" s="1589"/>
      <c r="C47" s="1593"/>
      <c r="D47" s="1591" t="s">
        <v>911</v>
      </c>
      <c r="E47" s="1592">
        <v>4527</v>
      </c>
      <c r="F47" s="1588"/>
    </row>
    <row r="48" spans="2:7" s="659" customFormat="1" ht="21.75" customHeight="1" thickBot="1" x14ac:dyDescent="0.3">
      <c r="B48" s="1594"/>
      <c r="C48" s="1595">
        <f>SUM(C36:C47)</f>
        <v>465060</v>
      </c>
      <c r="D48" s="1596"/>
      <c r="E48" s="1597">
        <f>SUM(E36:E47)</f>
        <v>329658</v>
      </c>
      <c r="F48" s="1598">
        <f>F34+C48-E48</f>
        <v>409662</v>
      </c>
      <c r="G48" s="661" t="s">
        <v>52</v>
      </c>
    </row>
    <row r="49" spans="2:7" ht="15.95" customHeight="1" x14ac:dyDescent="0.25">
      <c r="B49" s="1584" t="s">
        <v>912</v>
      </c>
      <c r="C49" s="1592"/>
      <c r="D49" s="1602" t="s">
        <v>913</v>
      </c>
      <c r="E49" s="1592">
        <v>133269</v>
      </c>
      <c r="F49" s="1588"/>
      <c r="G49" s="658" t="s">
        <v>52</v>
      </c>
    </row>
    <row r="50" spans="2:7" ht="15.95" customHeight="1" x14ac:dyDescent="0.25">
      <c r="B50" s="1589" t="s">
        <v>901</v>
      </c>
      <c r="C50" s="1590">
        <v>193170</v>
      </c>
      <c r="D50" s="1591" t="s">
        <v>914</v>
      </c>
      <c r="E50" s="1592">
        <v>525</v>
      </c>
      <c r="F50" s="1588"/>
      <c r="G50" s="660" t="s">
        <v>52</v>
      </c>
    </row>
    <row r="51" spans="2:7" ht="15.95" customHeight="1" x14ac:dyDescent="0.25">
      <c r="B51" s="1589" t="s">
        <v>903</v>
      </c>
      <c r="C51" s="1590">
        <v>-4770</v>
      </c>
      <c r="D51" s="1591" t="s">
        <v>915</v>
      </c>
      <c r="E51" s="1592">
        <v>140734</v>
      </c>
      <c r="F51" s="1588"/>
    </row>
    <row r="52" spans="2:7" ht="15.95" customHeight="1" x14ac:dyDescent="0.25">
      <c r="B52" s="1589"/>
      <c r="C52" s="1593"/>
      <c r="D52" s="1591" t="s">
        <v>916</v>
      </c>
      <c r="E52" s="1592">
        <v>406</v>
      </c>
      <c r="F52" s="1588"/>
    </row>
    <row r="53" spans="2:7" ht="15.95" customHeight="1" x14ac:dyDescent="0.25">
      <c r="B53" s="1589" t="s">
        <v>917</v>
      </c>
      <c r="C53" s="1590">
        <v>5312</v>
      </c>
      <c r="D53" s="1591" t="s">
        <v>918</v>
      </c>
      <c r="E53" s="1592">
        <v>375</v>
      </c>
      <c r="F53" s="1588"/>
    </row>
    <row r="54" spans="2:7" ht="15.95" customHeight="1" x14ac:dyDescent="0.25">
      <c r="B54" s="1589"/>
      <c r="C54" s="1593"/>
      <c r="D54" s="1591" t="s">
        <v>919</v>
      </c>
      <c r="E54" s="1592">
        <f>10759+332</f>
        <v>11091</v>
      </c>
      <c r="F54" s="1588"/>
    </row>
    <row r="55" spans="2:7" ht="15.95" customHeight="1" x14ac:dyDescent="0.25">
      <c r="B55" s="1589"/>
      <c r="C55" s="1593"/>
      <c r="D55" s="1591" t="s">
        <v>920</v>
      </c>
      <c r="E55" s="1592">
        <v>4187</v>
      </c>
      <c r="F55" s="1588"/>
    </row>
    <row r="56" spans="2:7" ht="15.95" customHeight="1" x14ac:dyDescent="0.25">
      <c r="B56" s="1589"/>
      <c r="C56" s="1593"/>
      <c r="D56" s="1591" t="s">
        <v>921</v>
      </c>
      <c r="E56" s="1592">
        <v>128635</v>
      </c>
      <c r="F56" s="1588"/>
    </row>
    <row r="57" spans="2:7" ht="20.100000000000001" customHeight="1" thickBot="1" x14ac:dyDescent="0.3">
      <c r="B57" s="1594"/>
      <c r="C57" s="1595">
        <f>SUM(C50:C56)</f>
        <v>193712</v>
      </c>
      <c r="D57" s="1596"/>
      <c r="E57" s="1597">
        <f>SUM(E49:E56)</f>
        <v>419222</v>
      </c>
      <c r="F57" s="1598">
        <f>F48+C57-E57</f>
        <v>184152</v>
      </c>
    </row>
    <row r="58" spans="2:7" ht="15.95" customHeight="1" x14ac:dyDescent="0.25">
      <c r="B58" s="1584" t="s">
        <v>922</v>
      </c>
      <c r="C58" s="1592"/>
      <c r="D58" s="1602" t="s">
        <v>923</v>
      </c>
      <c r="E58" s="1592">
        <v>4152</v>
      </c>
      <c r="F58" s="1601" t="s">
        <v>52</v>
      </c>
    </row>
    <row r="59" spans="2:7" ht="15.95" customHeight="1" x14ac:dyDescent="0.25">
      <c r="B59" s="1589" t="s">
        <v>901</v>
      </c>
      <c r="C59" s="1603">
        <v>200124</v>
      </c>
      <c r="D59" s="1591" t="s">
        <v>924</v>
      </c>
      <c r="E59" s="1592">
        <v>1408</v>
      </c>
      <c r="F59" s="1588"/>
    </row>
    <row r="60" spans="2:7" ht="15.95" customHeight="1" x14ac:dyDescent="0.25">
      <c r="B60" s="1589" t="s">
        <v>903</v>
      </c>
      <c r="C60" s="1603">
        <v>-345</v>
      </c>
      <c r="D60" s="1591" t="s">
        <v>915</v>
      </c>
      <c r="E60" s="1592">
        <v>65692</v>
      </c>
      <c r="F60" s="1588"/>
    </row>
    <row r="61" spans="2:7" ht="15.95" customHeight="1" x14ac:dyDescent="0.25">
      <c r="B61" s="1589" t="s">
        <v>52</v>
      </c>
      <c r="C61" s="1603"/>
      <c r="D61" s="1591" t="s">
        <v>925</v>
      </c>
      <c r="E61" s="1592">
        <v>14958</v>
      </c>
      <c r="F61" s="1588"/>
    </row>
    <row r="62" spans="2:7" ht="15.95" customHeight="1" x14ac:dyDescent="0.25">
      <c r="B62" s="1604" t="s">
        <v>917</v>
      </c>
      <c r="C62" s="1603">
        <v>5731</v>
      </c>
      <c r="D62" s="1591" t="s">
        <v>926</v>
      </c>
      <c r="E62" s="1592">
        <v>12874</v>
      </c>
      <c r="F62" s="1588"/>
    </row>
    <row r="63" spans="2:7" ht="15.95" customHeight="1" x14ac:dyDescent="0.25">
      <c r="B63" s="1589" t="s">
        <v>52</v>
      </c>
      <c r="C63" s="1603"/>
      <c r="D63" s="1591" t="s">
        <v>927</v>
      </c>
      <c r="E63" s="1592">
        <v>20264</v>
      </c>
      <c r="F63" s="1588"/>
    </row>
    <row r="64" spans="2:7" ht="15.95" customHeight="1" x14ac:dyDescent="0.25">
      <c r="B64" s="1589"/>
      <c r="C64" s="1603"/>
      <c r="D64" s="1591" t="s">
        <v>928</v>
      </c>
      <c r="E64" s="1592">
        <v>66482</v>
      </c>
      <c r="F64" s="1588"/>
    </row>
    <row r="65" spans="2:7" ht="20.100000000000001" customHeight="1" thickBot="1" x14ac:dyDescent="0.3">
      <c r="B65" s="1594"/>
      <c r="C65" s="1605">
        <f>SUM(C58:C64)</f>
        <v>205510</v>
      </c>
      <c r="D65" s="1596"/>
      <c r="E65" s="1597">
        <f>SUM(E58:E64)</f>
        <v>185830</v>
      </c>
      <c r="F65" s="1598">
        <f>F57+C65-E65</f>
        <v>203832</v>
      </c>
    </row>
    <row r="66" spans="2:7" ht="15.95" customHeight="1" x14ac:dyDescent="0.25">
      <c r="B66" s="1584" t="s">
        <v>929</v>
      </c>
      <c r="C66" s="1606"/>
      <c r="D66" s="1602" t="s">
        <v>928</v>
      </c>
      <c r="E66" s="1592">
        <f>44950+117070</f>
        <v>162020</v>
      </c>
      <c r="F66" s="1588"/>
    </row>
    <row r="67" spans="2:7" ht="15.95" customHeight="1" x14ac:dyDescent="0.25">
      <c r="B67" s="1589" t="s">
        <v>930</v>
      </c>
      <c r="C67" s="1603">
        <v>141152</v>
      </c>
      <c r="D67" s="1591" t="s">
        <v>915</v>
      </c>
      <c r="E67" s="1592">
        <v>66926</v>
      </c>
      <c r="F67" s="1588"/>
    </row>
    <row r="68" spans="2:7" ht="15.95" customHeight="1" x14ac:dyDescent="0.25">
      <c r="B68" s="1589" t="s">
        <v>931</v>
      </c>
      <c r="C68" s="1603">
        <v>93279</v>
      </c>
      <c r="D68" s="1591" t="s">
        <v>932</v>
      </c>
      <c r="E68" s="1592">
        <v>17229</v>
      </c>
      <c r="F68" s="1588"/>
    </row>
    <row r="69" spans="2:7" ht="15.95" customHeight="1" x14ac:dyDescent="0.25">
      <c r="B69" s="1589"/>
      <c r="C69" s="1603"/>
      <c r="D69" s="1591" t="s">
        <v>933</v>
      </c>
      <c r="E69" s="1592">
        <f>4000+842+8600+169+10926</f>
        <v>24537</v>
      </c>
      <c r="F69" s="1588"/>
    </row>
    <row r="70" spans="2:7" ht="20.100000000000001" customHeight="1" thickBot="1" x14ac:dyDescent="0.3">
      <c r="B70" s="1594"/>
      <c r="C70" s="1605">
        <f>SUM(C67:C69)</f>
        <v>234431</v>
      </c>
      <c r="D70" s="1596"/>
      <c r="E70" s="1597">
        <f>SUM(E66:E69)</f>
        <v>270712</v>
      </c>
      <c r="F70" s="1598">
        <f>F65+C70-E70</f>
        <v>167551</v>
      </c>
    </row>
    <row r="71" spans="2:7" ht="15.95" customHeight="1" x14ac:dyDescent="0.25">
      <c r="B71" s="1607" t="s">
        <v>934</v>
      </c>
      <c r="C71" s="1608"/>
      <c r="D71" s="1609" t="s">
        <v>928</v>
      </c>
      <c r="E71" s="1610">
        <v>139680</v>
      </c>
      <c r="F71" s="1611"/>
    </row>
    <row r="72" spans="2:7" ht="15.95" customHeight="1" x14ac:dyDescent="0.25">
      <c r="B72" s="1589" t="s">
        <v>930</v>
      </c>
      <c r="C72" s="1603">
        <v>133061</v>
      </c>
      <c r="D72" s="1591" t="s">
        <v>935</v>
      </c>
      <c r="E72" s="1592">
        <v>1612</v>
      </c>
      <c r="F72" s="1588"/>
    </row>
    <row r="73" spans="2:7" ht="15.95" customHeight="1" x14ac:dyDescent="0.25">
      <c r="B73" s="1589"/>
      <c r="C73" s="1603"/>
      <c r="D73" s="1591" t="s">
        <v>915</v>
      </c>
      <c r="E73" s="1592">
        <f>14300+69001</f>
        <v>83301</v>
      </c>
      <c r="F73" s="1588"/>
    </row>
    <row r="74" spans="2:7" ht="15.95" customHeight="1" x14ac:dyDescent="0.25">
      <c r="B74" s="1589" t="s">
        <v>931</v>
      </c>
      <c r="C74" s="1603">
        <v>116625</v>
      </c>
      <c r="D74" s="1591" t="s">
        <v>932</v>
      </c>
      <c r="E74" s="1592">
        <v>14221</v>
      </c>
      <c r="F74" s="1588"/>
    </row>
    <row r="75" spans="2:7" ht="15.75" x14ac:dyDescent="0.25">
      <c r="B75" s="1589"/>
      <c r="C75" s="1603"/>
      <c r="D75" s="1591" t="s">
        <v>933</v>
      </c>
      <c r="E75" s="1592">
        <v>9144</v>
      </c>
      <c r="F75" s="1588"/>
    </row>
    <row r="76" spans="2:7" ht="20.100000000000001" customHeight="1" thickBot="1" x14ac:dyDescent="0.3">
      <c r="B76" s="1594"/>
      <c r="C76" s="1605">
        <f>SUM(C72:C75)</f>
        <v>249686</v>
      </c>
      <c r="D76" s="1596"/>
      <c r="E76" s="1597">
        <f>SUM(E71:E75)</f>
        <v>247958</v>
      </c>
      <c r="F76" s="1598">
        <f>F70+C76-E76</f>
        <v>169279</v>
      </c>
    </row>
    <row r="77" spans="2:7" s="659" customFormat="1" ht="37.5" customHeight="1" thickBot="1" x14ac:dyDescent="0.3">
      <c r="B77" s="1579" t="s">
        <v>870</v>
      </c>
      <c r="C77" s="1580" t="s">
        <v>871</v>
      </c>
      <c r="D77" s="1581" t="s">
        <v>872</v>
      </c>
      <c r="E77" s="1582" t="s">
        <v>873</v>
      </c>
      <c r="F77" s="1583" t="s">
        <v>874</v>
      </c>
      <c r="G77" s="661"/>
    </row>
    <row r="78" spans="2:7" ht="15.95" customHeight="1" x14ac:dyDescent="0.25">
      <c r="B78" s="1607" t="s">
        <v>936</v>
      </c>
      <c r="C78" s="1608"/>
      <c r="D78" s="1609" t="s">
        <v>928</v>
      </c>
      <c r="E78" s="1610">
        <v>96430</v>
      </c>
      <c r="F78" s="1611"/>
    </row>
    <row r="79" spans="2:7" ht="15.95" customHeight="1" x14ac:dyDescent="0.25">
      <c r="B79" s="1589" t="s">
        <v>930</v>
      </c>
      <c r="C79" s="1603">
        <v>83899</v>
      </c>
      <c r="D79" s="1591" t="s">
        <v>935</v>
      </c>
      <c r="E79" s="1592">
        <v>1263</v>
      </c>
      <c r="F79" s="1588"/>
    </row>
    <row r="80" spans="2:7" ht="15.95" customHeight="1" x14ac:dyDescent="0.25">
      <c r="B80" s="1589"/>
      <c r="C80" s="1603"/>
      <c r="D80" s="1591" t="s">
        <v>937</v>
      </c>
      <c r="E80" s="1592">
        <v>53368</v>
      </c>
      <c r="F80" s="1588"/>
    </row>
    <row r="81" spans="2:6" ht="15.95" customHeight="1" x14ac:dyDescent="0.25">
      <c r="B81" s="1589" t="s">
        <v>931</v>
      </c>
      <c r="C81" s="1603">
        <v>117221</v>
      </c>
      <c r="D81" s="1591" t="s">
        <v>938</v>
      </c>
      <c r="E81" s="1592">
        <v>81240</v>
      </c>
      <c r="F81" s="1588"/>
    </row>
    <row r="82" spans="2:6" ht="15.95" customHeight="1" x14ac:dyDescent="0.25">
      <c r="B82" s="1612"/>
      <c r="C82" s="1603"/>
      <c r="D82" s="1591" t="s">
        <v>932</v>
      </c>
      <c r="E82" s="1592">
        <v>15709</v>
      </c>
      <c r="F82" s="1588"/>
    </row>
    <row r="83" spans="2:6" ht="15.95" customHeight="1" x14ac:dyDescent="0.25">
      <c r="B83" s="1589"/>
      <c r="C83" s="1603"/>
      <c r="D83" s="1591" t="s">
        <v>939</v>
      </c>
      <c r="E83" s="1592">
        <v>5701</v>
      </c>
      <c r="F83" s="1588"/>
    </row>
    <row r="84" spans="2:6" ht="20.100000000000001" customHeight="1" thickBot="1" x14ac:dyDescent="0.3">
      <c r="B84" s="1594"/>
      <c r="C84" s="1605">
        <f>SUM(C79:C83)</f>
        <v>201120</v>
      </c>
      <c r="D84" s="1596"/>
      <c r="E84" s="1597">
        <f>SUM(E78:E83)</f>
        <v>253711</v>
      </c>
      <c r="F84" s="1598">
        <f>F76+C84-E84</f>
        <v>116688</v>
      </c>
    </row>
    <row r="85" spans="2:6" ht="15.95" customHeight="1" x14ac:dyDescent="0.25">
      <c r="B85" s="1607" t="s">
        <v>940</v>
      </c>
      <c r="C85" s="1608"/>
      <c r="D85" s="1609" t="s">
        <v>928</v>
      </c>
      <c r="E85" s="1610">
        <v>107592</v>
      </c>
      <c r="F85" s="1611"/>
    </row>
    <row r="86" spans="2:6" ht="15.95" customHeight="1" x14ac:dyDescent="0.25">
      <c r="B86" s="1589" t="s">
        <v>930</v>
      </c>
      <c r="C86" s="1603">
        <f>47847+375359</f>
        <v>423206</v>
      </c>
      <c r="D86" s="1591" t="s">
        <v>935</v>
      </c>
      <c r="E86" s="1592">
        <v>1085</v>
      </c>
      <c r="F86" s="1588"/>
    </row>
    <row r="87" spans="2:6" ht="15.95" customHeight="1" x14ac:dyDescent="0.25">
      <c r="B87" s="1589"/>
      <c r="C87" s="1603"/>
      <c r="D87" s="1591" t="s">
        <v>937</v>
      </c>
      <c r="E87" s="1592">
        <v>55184</v>
      </c>
      <c r="F87" s="1588"/>
    </row>
    <row r="88" spans="2:6" ht="15.95" customHeight="1" x14ac:dyDescent="0.25">
      <c r="B88" s="1589" t="s">
        <v>931</v>
      </c>
      <c r="C88" s="1603">
        <v>156276</v>
      </c>
      <c r="D88" s="1591" t="s">
        <v>941</v>
      </c>
      <c r="E88" s="1592">
        <f>385641+36610-220707</f>
        <v>201544</v>
      </c>
      <c r="F88" s="1588"/>
    </row>
    <row r="89" spans="2:6" ht="15.95" customHeight="1" x14ac:dyDescent="0.25">
      <c r="B89" s="1589"/>
      <c r="C89" s="1606"/>
      <c r="D89" s="1613" t="s">
        <v>932</v>
      </c>
      <c r="E89" s="1592">
        <v>10566</v>
      </c>
      <c r="F89" s="1588"/>
    </row>
    <row r="90" spans="2:6" ht="15.95" customHeight="1" x14ac:dyDescent="0.25">
      <c r="B90" s="1589"/>
      <c r="C90" s="1603"/>
      <c r="D90" s="1591" t="s">
        <v>939</v>
      </c>
      <c r="E90" s="1592">
        <v>5926</v>
      </c>
      <c r="F90" s="1588"/>
    </row>
    <row r="91" spans="2:6" ht="20.100000000000001" customHeight="1" thickBot="1" x14ac:dyDescent="0.3">
      <c r="B91" s="1594"/>
      <c r="C91" s="1605">
        <f>SUM(C86:C90)</f>
        <v>579482</v>
      </c>
      <c r="D91" s="1596"/>
      <c r="E91" s="1597">
        <f>SUM(E85:E90)</f>
        <v>381897</v>
      </c>
      <c r="F91" s="1598">
        <f>F84+C91-E91</f>
        <v>314273</v>
      </c>
    </row>
    <row r="92" spans="2:6" ht="15.95" customHeight="1" x14ac:dyDescent="0.25">
      <c r="B92" s="1584" t="s">
        <v>942</v>
      </c>
      <c r="C92" s="1603"/>
      <c r="D92" s="1591" t="s">
        <v>928</v>
      </c>
      <c r="E92" s="1592">
        <v>90541</v>
      </c>
      <c r="F92" s="1588"/>
    </row>
    <row r="93" spans="2:6" ht="15.95" customHeight="1" x14ac:dyDescent="0.25">
      <c r="B93" s="1589" t="s">
        <v>930</v>
      </c>
      <c r="C93" s="1603"/>
      <c r="D93" s="1591" t="s">
        <v>935</v>
      </c>
      <c r="E93" s="1592">
        <v>1085</v>
      </c>
      <c r="F93" s="1588"/>
    </row>
    <row r="94" spans="2:6" ht="15.95" customHeight="1" x14ac:dyDescent="0.25">
      <c r="B94" s="1589"/>
      <c r="C94" s="1603"/>
      <c r="D94" s="1591" t="s">
        <v>937</v>
      </c>
      <c r="E94" s="1592">
        <v>31851</v>
      </c>
      <c r="F94" s="1588"/>
    </row>
    <row r="95" spans="2:6" ht="15.95" customHeight="1" x14ac:dyDescent="0.25">
      <c r="B95" s="1589" t="s">
        <v>931</v>
      </c>
      <c r="C95" s="1603">
        <v>144167</v>
      </c>
      <c r="D95" s="1591" t="s">
        <v>941</v>
      </c>
      <c r="E95" s="1592">
        <v>53846</v>
      </c>
      <c r="F95" s="1588"/>
    </row>
    <row r="96" spans="2:6" ht="15.95" customHeight="1" x14ac:dyDescent="0.25">
      <c r="B96" s="1612"/>
      <c r="C96" s="1603"/>
      <c r="D96" s="1591" t="s">
        <v>932</v>
      </c>
      <c r="E96" s="1592">
        <v>635</v>
      </c>
      <c r="F96" s="1588"/>
    </row>
    <row r="97" spans="2:6" ht="15.95" customHeight="1" x14ac:dyDescent="0.25">
      <c r="B97" s="1589"/>
      <c r="C97" s="1603"/>
      <c r="D97" s="1591" t="s">
        <v>939</v>
      </c>
      <c r="E97" s="1592"/>
      <c r="F97" s="1588"/>
    </row>
    <row r="98" spans="2:6" ht="20.100000000000001" customHeight="1" thickBot="1" x14ac:dyDescent="0.3">
      <c r="B98" s="1594"/>
      <c r="C98" s="1605">
        <f>SUM(C93:C97)</f>
        <v>144167</v>
      </c>
      <c r="D98" s="1596"/>
      <c r="E98" s="1597">
        <f>SUM(E92:E97)</f>
        <v>177958</v>
      </c>
      <c r="F98" s="1598">
        <f>F91+C98-E98</f>
        <v>280482</v>
      </c>
    </row>
    <row r="99" spans="2:6" ht="15.95" customHeight="1" x14ac:dyDescent="0.25">
      <c r="B99" s="1584" t="s">
        <v>943</v>
      </c>
      <c r="C99" s="1603"/>
      <c r="D99" s="1591" t="s">
        <v>928</v>
      </c>
      <c r="E99" s="1592">
        <v>65050</v>
      </c>
      <c r="F99" s="1588"/>
    </row>
    <row r="100" spans="2:6" ht="15.95" customHeight="1" x14ac:dyDescent="0.25">
      <c r="B100" s="1589" t="s">
        <v>930</v>
      </c>
      <c r="C100" s="1603"/>
      <c r="D100" s="1591" t="s">
        <v>935</v>
      </c>
      <c r="E100" s="1592">
        <v>1085</v>
      </c>
      <c r="F100" s="1588"/>
    </row>
    <row r="101" spans="2:6" ht="15.95" customHeight="1" x14ac:dyDescent="0.25">
      <c r="B101" s="1589"/>
      <c r="C101" s="1603"/>
      <c r="D101" s="1591" t="s">
        <v>937</v>
      </c>
      <c r="E101" s="1592">
        <v>65231</v>
      </c>
      <c r="F101" s="1588"/>
    </row>
    <row r="102" spans="2:6" ht="15.95" customHeight="1" x14ac:dyDescent="0.25">
      <c r="B102" s="1589" t="s">
        <v>931</v>
      </c>
      <c r="C102" s="1603">
        <v>117418</v>
      </c>
      <c r="D102" s="1591" t="s">
        <v>944</v>
      </c>
      <c r="E102" s="1592">
        <v>87849</v>
      </c>
      <c r="F102" s="1588"/>
    </row>
    <row r="103" spans="2:6" ht="15.95" customHeight="1" x14ac:dyDescent="0.25">
      <c r="B103" s="1612"/>
      <c r="C103" s="1603"/>
      <c r="D103" s="1591" t="s">
        <v>945</v>
      </c>
      <c r="E103" s="1591">
        <v>4500</v>
      </c>
      <c r="F103" s="1588"/>
    </row>
    <row r="104" spans="2:6" ht="15.95" customHeight="1" x14ac:dyDescent="0.25">
      <c r="B104" s="1589"/>
      <c r="C104" s="1603"/>
      <c r="D104" s="1613" t="s">
        <v>932</v>
      </c>
      <c r="E104" s="1592">
        <v>638</v>
      </c>
      <c r="F104" s="1588"/>
    </row>
    <row r="105" spans="2:6" ht="15.95" customHeight="1" x14ac:dyDescent="0.25">
      <c r="B105" s="1589"/>
      <c r="C105" s="1603"/>
      <c r="D105" s="1118" t="s">
        <v>946</v>
      </c>
      <c r="E105" s="1587">
        <v>9971</v>
      </c>
      <c r="F105" s="1588"/>
    </row>
    <row r="106" spans="2:6" ht="20.100000000000001" customHeight="1" thickBot="1" x14ac:dyDescent="0.3">
      <c r="B106" s="1594"/>
      <c r="C106" s="1605">
        <f>SUM(C100:C105)</f>
        <v>117418</v>
      </c>
      <c r="D106" s="1596"/>
      <c r="E106" s="1597">
        <f>SUM(E99:E105)</f>
        <v>234324</v>
      </c>
      <c r="F106" s="1598">
        <f>F98+C106-E106</f>
        <v>163576</v>
      </c>
    </row>
    <row r="107" spans="2:6" ht="15.95" customHeight="1" x14ac:dyDescent="0.25">
      <c r="B107" s="1584" t="s">
        <v>947</v>
      </c>
      <c r="C107" s="1603"/>
      <c r="D107" s="1591" t="s">
        <v>928</v>
      </c>
      <c r="E107" s="1592">
        <v>85080</v>
      </c>
      <c r="F107" s="1588"/>
    </row>
    <row r="108" spans="2:6" ht="15.95" customHeight="1" x14ac:dyDescent="0.25">
      <c r="B108" s="1589" t="s">
        <v>930</v>
      </c>
      <c r="C108" s="1603">
        <v>22826</v>
      </c>
      <c r="D108" s="1591" t="s">
        <v>935</v>
      </c>
      <c r="E108" s="1592">
        <v>1085</v>
      </c>
      <c r="F108" s="1588"/>
    </row>
    <row r="109" spans="2:6" ht="15.95" customHeight="1" x14ac:dyDescent="0.25">
      <c r="B109" s="1589"/>
      <c r="C109" s="1603"/>
      <c r="D109" s="1591" t="s">
        <v>937</v>
      </c>
      <c r="E109" s="1592">
        <v>53128</v>
      </c>
      <c r="F109" s="1588"/>
    </row>
    <row r="110" spans="2:6" ht="15.95" customHeight="1" x14ac:dyDescent="0.25">
      <c r="B110" s="1589" t="s">
        <v>931</v>
      </c>
      <c r="C110" s="1603">
        <v>114943</v>
      </c>
      <c r="D110" s="1591" t="s">
        <v>948</v>
      </c>
      <c r="E110" s="1592">
        <v>4849</v>
      </c>
      <c r="F110" s="1588"/>
    </row>
    <row r="111" spans="2:6" ht="15.95" customHeight="1" x14ac:dyDescent="0.25">
      <c r="B111" s="1612"/>
      <c r="C111" s="1603"/>
      <c r="D111" s="1591" t="s">
        <v>945</v>
      </c>
      <c r="E111" s="1592">
        <f>26500+42546</f>
        <v>69046</v>
      </c>
      <c r="F111" s="1588"/>
    </row>
    <row r="112" spans="2:6" ht="15.95" customHeight="1" x14ac:dyDescent="0.25">
      <c r="B112" s="1589"/>
      <c r="C112" s="1603"/>
      <c r="D112" s="1591" t="s">
        <v>949</v>
      </c>
      <c r="E112" s="1592">
        <v>792</v>
      </c>
      <c r="F112" s="1588"/>
    </row>
    <row r="113" spans="2:7" ht="15.95" customHeight="1" x14ac:dyDescent="0.25">
      <c r="B113" s="1589"/>
      <c r="C113" s="1603"/>
      <c r="D113" s="1118" t="s">
        <v>946</v>
      </c>
      <c r="E113" s="1587">
        <f>113+4233</f>
        <v>4346</v>
      </c>
      <c r="F113" s="1588"/>
    </row>
    <row r="114" spans="2:7" ht="20.100000000000001" customHeight="1" thickBot="1" x14ac:dyDescent="0.3">
      <c r="B114" s="1594"/>
      <c r="C114" s="1605">
        <f>SUM(C108:C113)</f>
        <v>137769</v>
      </c>
      <c r="D114" s="1596"/>
      <c r="E114" s="1597">
        <f>SUM(E107:E113)</f>
        <v>218326</v>
      </c>
      <c r="F114" s="1598">
        <f>F106+C114-E114</f>
        <v>83019</v>
      </c>
    </row>
    <row r="115" spans="2:7" ht="15.75" x14ac:dyDescent="0.25">
      <c r="B115" s="1584" t="s">
        <v>950</v>
      </c>
      <c r="C115" s="1603"/>
      <c r="D115" s="1591" t="s">
        <v>928</v>
      </c>
      <c r="E115" s="1592">
        <v>68260</v>
      </c>
      <c r="F115" s="1588"/>
    </row>
    <row r="116" spans="2:7" ht="15.75" x14ac:dyDescent="0.25">
      <c r="B116" s="1589" t="s">
        <v>930</v>
      </c>
      <c r="C116" s="1603"/>
      <c r="D116" s="1591" t="s">
        <v>935</v>
      </c>
      <c r="E116" s="1592">
        <v>1085</v>
      </c>
      <c r="F116" s="1588"/>
    </row>
    <row r="117" spans="2:7" ht="15.75" x14ac:dyDescent="0.25">
      <c r="B117" s="1589"/>
      <c r="C117" s="1603"/>
      <c r="D117" s="1591" t="s">
        <v>937</v>
      </c>
      <c r="E117" s="1592">
        <v>34439</v>
      </c>
      <c r="F117" s="1588"/>
    </row>
    <row r="118" spans="2:7" ht="15.75" x14ac:dyDescent="0.25">
      <c r="B118" s="1589" t="s">
        <v>931</v>
      </c>
      <c r="C118" s="1603">
        <v>109083</v>
      </c>
      <c r="D118" s="1591" t="s">
        <v>945</v>
      </c>
      <c r="E118" s="1592">
        <f>18655+679</f>
        <v>19334</v>
      </c>
      <c r="F118" s="1588"/>
    </row>
    <row r="119" spans="2:7" ht="15.75" x14ac:dyDescent="0.25">
      <c r="B119" s="1612"/>
      <c r="C119" s="1603"/>
      <c r="D119" s="1591" t="s">
        <v>949</v>
      </c>
      <c r="E119" s="1592">
        <v>526</v>
      </c>
      <c r="F119" s="1588"/>
    </row>
    <row r="120" spans="2:7" ht="15.75" x14ac:dyDescent="0.25">
      <c r="B120" s="1589"/>
      <c r="C120" s="1603"/>
      <c r="D120" s="1118" t="s">
        <v>946</v>
      </c>
      <c r="E120" s="1587">
        <v>81239</v>
      </c>
      <c r="F120" s="1588"/>
    </row>
    <row r="121" spans="2:7" ht="16.5" thickBot="1" x14ac:dyDescent="0.3">
      <c r="B121" s="1594"/>
      <c r="C121" s="1605">
        <f>SUM(C116:C120)</f>
        <v>109083</v>
      </c>
      <c r="D121" s="1596"/>
      <c r="E121" s="1597">
        <f>SUM(E115:E120)</f>
        <v>204883</v>
      </c>
      <c r="F121" s="1598">
        <f>F114+C121-E121</f>
        <v>-12781</v>
      </c>
    </row>
    <row r="122" spans="2:7" ht="15.75" x14ac:dyDescent="0.25">
      <c r="B122" s="1584" t="s">
        <v>951</v>
      </c>
      <c r="C122" s="1603"/>
      <c r="D122" s="1591" t="s">
        <v>928</v>
      </c>
      <c r="E122" s="1592">
        <v>13900</v>
      </c>
      <c r="F122" s="1588"/>
    </row>
    <row r="123" spans="2:7" ht="15.75" x14ac:dyDescent="0.25">
      <c r="B123" s="1589" t="s">
        <v>930</v>
      </c>
      <c r="C123" s="1603"/>
      <c r="D123" s="1591" t="s">
        <v>935</v>
      </c>
      <c r="E123" s="1592">
        <v>1085</v>
      </c>
      <c r="F123" s="1588"/>
    </row>
    <row r="124" spans="2:7" ht="15.75" x14ac:dyDescent="0.25">
      <c r="B124" s="1589"/>
      <c r="C124" s="1603"/>
      <c r="D124" s="1591" t="s">
        <v>937</v>
      </c>
      <c r="E124" s="1592">
        <v>18194</v>
      </c>
      <c r="F124" s="1588"/>
    </row>
    <row r="125" spans="2:7" ht="15.75" x14ac:dyDescent="0.25">
      <c r="B125" s="1589" t="s">
        <v>931</v>
      </c>
      <c r="C125" s="1603">
        <v>97239</v>
      </c>
      <c r="D125" s="1591" t="s">
        <v>945</v>
      </c>
      <c r="E125" s="1592">
        <v>14103</v>
      </c>
      <c r="F125" s="1588"/>
    </row>
    <row r="126" spans="2:7" ht="15.75" x14ac:dyDescent="0.25">
      <c r="B126" s="1612"/>
      <c r="C126" s="1603"/>
      <c r="D126" s="1591" t="s">
        <v>949</v>
      </c>
      <c r="E126" s="1592">
        <v>206</v>
      </c>
      <c r="F126" s="1588"/>
      <c r="G126" s="662"/>
    </row>
    <row r="127" spans="2:7" ht="15.75" x14ac:dyDescent="0.25">
      <c r="B127" s="1589"/>
      <c r="C127" s="1603"/>
      <c r="D127" s="1118" t="s">
        <v>946</v>
      </c>
      <c r="E127" s="1587">
        <f>205083+3377</f>
        <v>208460</v>
      </c>
      <c r="F127" s="1588"/>
    </row>
    <row r="128" spans="2:7" ht="16.5" thickBot="1" x14ac:dyDescent="0.3">
      <c r="B128" s="1594"/>
      <c r="C128" s="1605">
        <f>SUM(C123:C127)</f>
        <v>97239</v>
      </c>
      <c r="D128" s="1596"/>
      <c r="E128" s="1597">
        <f>SUM(E122:E127)</f>
        <v>255948</v>
      </c>
      <c r="F128" s="1598">
        <f>F121+C128-E128</f>
        <v>-171490</v>
      </c>
    </row>
    <row r="129" spans="2:7" ht="15.75" x14ac:dyDescent="0.25">
      <c r="B129" s="1584" t="s">
        <v>952</v>
      </c>
      <c r="C129" s="1603"/>
      <c r="D129" s="1591" t="s">
        <v>928</v>
      </c>
      <c r="E129" s="1592">
        <v>1100</v>
      </c>
      <c r="F129" s="1588"/>
    </row>
    <row r="130" spans="2:7" ht="15.75" x14ac:dyDescent="0.25">
      <c r="B130" s="1589" t="s">
        <v>930</v>
      </c>
      <c r="C130" s="1603"/>
      <c r="D130" s="1591" t="s">
        <v>953</v>
      </c>
      <c r="E130" s="1592">
        <v>17241</v>
      </c>
      <c r="F130" s="1588"/>
    </row>
    <row r="131" spans="2:7" ht="31.5" x14ac:dyDescent="0.25">
      <c r="B131" s="1589"/>
      <c r="C131" s="1603"/>
      <c r="D131" s="1614" t="s">
        <v>954</v>
      </c>
      <c r="E131" s="1592">
        <v>52</v>
      </c>
      <c r="F131" s="1588"/>
    </row>
    <row r="132" spans="2:7" ht="15.75" x14ac:dyDescent="0.25">
      <c r="B132" s="1589" t="s">
        <v>931</v>
      </c>
      <c r="C132" s="1615">
        <v>82793</v>
      </c>
      <c r="D132" s="1591" t="s">
        <v>949</v>
      </c>
      <c r="E132" s="1592">
        <v>658</v>
      </c>
      <c r="F132" s="1588"/>
    </row>
    <row r="133" spans="2:7" ht="15.75" x14ac:dyDescent="0.25">
      <c r="B133" s="1612"/>
      <c r="C133" s="1603"/>
      <c r="D133" s="1118" t="s">
        <v>946</v>
      </c>
      <c r="E133" s="1587">
        <f>1029+305355</f>
        <v>306384</v>
      </c>
      <c r="F133" s="1588"/>
    </row>
    <row r="134" spans="2:7" ht="16.5" thickBot="1" x14ac:dyDescent="0.3">
      <c r="B134" s="1594"/>
      <c r="C134" s="1605">
        <f>SUM(C130:C133)</f>
        <v>82793</v>
      </c>
      <c r="D134" s="1596"/>
      <c r="E134" s="1597">
        <f>SUM(E129:E133)</f>
        <v>325435</v>
      </c>
      <c r="F134" s="1598">
        <f>F128+C134-E134</f>
        <v>-414132</v>
      </c>
    </row>
    <row r="135" spans="2:7" ht="15.75" x14ac:dyDescent="0.25">
      <c r="B135" s="1584" t="s">
        <v>955</v>
      </c>
      <c r="C135" s="1603"/>
      <c r="D135" s="1591" t="s">
        <v>928</v>
      </c>
      <c r="E135" s="1592"/>
      <c r="F135" s="1588"/>
    </row>
    <row r="136" spans="2:7" ht="15.75" x14ac:dyDescent="0.25">
      <c r="B136" s="1589" t="s">
        <v>930</v>
      </c>
      <c r="C136" s="1603"/>
      <c r="D136" s="1591" t="s">
        <v>953</v>
      </c>
      <c r="E136" s="1592">
        <v>15156</v>
      </c>
      <c r="F136" s="1588"/>
    </row>
    <row r="137" spans="2:7" ht="31.5" x14ac:dyDescent="0.25">
      <c r="B137" s="1589"/>
      <c r="C137" s="1603"/>
      <c r="D137" s="1614" t="s">
        <v>954</v>
      </c>
      <c r="E137" s="1592">
        <v>2076</v>
      </c>
      <c r="F137" s="1588"/>
    </row>
    <row r="138" spans="2:7" ht="15.75" x14ac:dyDescent="0.25">
      <c r="B138" s="1589" t="s">
        <v>931</v>
      </c>
      <c r="C138" s="1615">
        <v>70598</v>
      </c>
      <c r="D138" s="1591" t="s">
        <v>949</v>
      </c>
      <c r="E138" s="1592">
        <v>39</v>
      </c>
      <c r="F138" s="1588"/>
    </row>
    <row r="139" spans="2:7" ht="15.75" x14ac:dyDescent="0.25">
      <c r="B139" s="1612"/>
      <c r="C139" s="1603"/>
      <c r="D139" s="1118" t="s">
        <v>946</v>
      </c>
      <c r="E139" s="1587">
        <f>861+4013+59376+1135</f>
        <v>65385</v>
      </c>
      <c r="F139" s="1588"/>
    </row>
    <row r="140" spans="2:7" ht="16.5" thickBot="1" x14ac:dyDescent="0.3">
      <c r="B140" s="1594"/>
      <c r="C140" s="1605">
        <f>SUM(C136:C138)</f>
        <v>70598</v>
      </c>
      <c r="D140" s="1596"/>
      <c r="E140" s="1597">
        <f>SUM(E135:E139)</f>
        <v>82656</v>
      </c>
      <c r="F140" s="1598">
        <f>F134+C140-E140</f>
        <v>-426190</v>
      </c>
    </row>
    <row r="141" spans="2:7" ht="15.75" x14ac:dyDescent="0.25">
      <c r="B141" s="1584" t="s">
        <v>956</v>
      </c>
      <c r="C141" s="1603"/>
      <c r="D141" s="1591" t="s">
        <v>928</v>
      </c>
      <c r="E141" s="1592"/>
      <c r="F141" s="1588"/>
    </row>
    <row r="142" spans="2:7" ht="15.75" x14ac:dyDescent="0.25">
      <c r="B142" s="1589" t="s">
        <v>930</v>
      </c>
      <c r="C142" s="1603"/>
      <c r="D142" s="1591" t="s">
        <v>953</v>
      </c>
      <c r="E142" s="1592"/>
      <c r="F142" s="1588"/>
    </row>
    <row r="143" spans="2:7" ht="31.5" x14ac:dyDescent="0.25">
      <c r="B143" s="1589"/>
      <c r="C143" s="1603"/>
      <c r="D143" s="1614" t="s">
        <v>954</v>
      </c>
      <c r="E143" s="1592">
        <v>1845</v>
      </c>
      <c r="F143" s="1588"/>
      <c r="G143" s="662"/>
    </row>
    <row r="144" spans="2:7" ht="15.75" x14ac:dyDescent="0.25">
      <c r="B144" s="1589" t="s">
        <v>931</v>
      </c>
      <c r="C144" s="1615">
        <v>58874</v>
      </c>
      <c r="D144" s="1591" t="s">
        <v>949</v>
      </c>
      <c r="E144" s="1592">
        <v>73</v>
      </c>
      <c r="F144" s="1588"/>
    </row>
    <row r="145" spans="2:9" ht="15.75" x14ac:dyDescent="0.25">
      <c r="B145" s="1612"/>
      <c r="C145" s="1603"/>
      <c r="D145" s="1118" t="s">
        <v>946</v>
      </c>
      <c r="E145" s="1587">
        <v>0</v>
      </c>
      <c r="F145" s="1588"/>
    </row>
    <row r="146" spans="2:9" ht="16.5" thickBot="1" x14ac:dyDescent="0.3">
      <c r="B146" s="1594"/>
      <c r="C146" s="1605">
        <f>SUM(C142:C144)</f>
        <v>58874</v>
      </c>
      <c r="D146" s="1596"/>
      <c r="E146" s="1597">
        <f>SUM(E141:E145)</f>
        <v>1918</v>
      </c>
      <c r="F146" s="1598">
        <f>F140+C146-E146</f>
        <v>-369234</v>
      </c>
      <c r="G146"/>
      <c r="H146"/>
      <c r="I146"/>
    </row>
    <row r="147" spans="2:9" ht="15.75" x14ac:dyDescent="0.25">
      <c r="B147" s="1584" t="s">
        <v>957</v>
      </c>
      <c r="C147" s="1603"/>
      <c r="D147" s="1591"/>
      <c r="E147" s="1592"/>
      <c r="F147" s="1588"/>
      <c r="G147"/>
      <c r="H147"/>
      <c r="I147"/>
    </row>
    <row r="148" spans="2:9" ht="15.75" x14ac:dyDescent="0.25">
      <c r="B148" s="1589" t="s">
        <v>930</v>
      </c>
      <c r="C148" s="1603"/>
      <c r="D148" s="1591" t="s">
        <v>958</v>
      </c>
      <c r="E148" s="1592">
        <v>49982</v>
      </c>
      <c r="F148" s="1588"/>
      <c r="G148" s="663"/>
      <c r="H148"/>
      <c r="I148"/>
    </row>
    <row r="149" spans="2:9" ht="15.75" x14ac:dyDescent="0.25">
      <c r="B149" s="1589"/>
      <c r="C149" s="1603"/>
      <c r="D149" s="1614" t="s">
        <v>959</v>
      </c>
      <c r="E149" s="1592">
        <v>19718</v>
      </c>
      <c r="F149" s="1588"/>
      <c r="G149"/>
      <c r="H149"/>
      <c r="I149"/>
    </row>
    <row r="150" spans="2:9" ht="15.75" x14ac:dyDescent="0.25">
      <c r="B150" s="1589" t="s">
        <v>931</v>
      </c>
      <c r="C150" s="1615">
        <v>62648</v>
      </c>
      <c r="D150" s="1591" t="s">
        <v>949</v>
      </c>
      <c r="E150" s="1592"/>
      <c r="F150" s="1588"/>
      <c r="G150" s="663"/>
      <c r="H150"/>
      <c r="I150"/>
    </row>
    <row r="151" spans="2:9" ht="15.75" x14ac:dyDescent="0.25">
      <c r="B151" s="1612"/>
      <c r="C151" s="1603"/>
      <c r="D151" s="1118" t="s">
        <v>946</v>
      </c>
      <c r="E151" s="1587">
        <v>0</v>
      </c>
      <c r="F151" s="1588"/>
      <c r="G151"/>
      <c r="H151"/>
      <c r="I151"/>
    </row>
    <row r="152" spans="2:9" ht="16.5" thickBot="1" x14ac:dyDescent="0.3">
      <c r="B152" s="1594"/>
      <c r="C152" s="1605">
        <f>SUM(C148:C150)</f>
        <v>62648</v>
      </c>
      <c r="D152" s="1596"/>
      <c r="E152" s="1597">
        <f>SUM(E147:E151)</f>
        <v>69700</v>
      </c>
      <c r="F152" s="1598">
        <f>F146+C152-E152</f>
        <v>-376286</v>
      </c>
      <c r="G152"/>
      <c r="H152"/>
      <c r="I152"/>
    </row>
    <row r="153" spans="2:9" s="659" customFormat="1" ht="37.5" customHeight="1" thickBot="1" x14ac:dyDescent="0.3">
      <c r="B153" s="1579" t="s">
        <v>870</v>
      </c>
      <c r="C153" s="1580" t="s">
        <v>871</v>
      </c>
      <c r="D153" s="1581" t="s">
        <v>872</v>
      </c>
      <c r="E153" s="1582" t="s">
        <v>873</v>
      </c>
      <c r="F153" s="1583" t="s">
        <v>874</v>
      </c>
      <c r="G153" s="661"/>
    </row>
    <row r="154" spans="2:9" ht="15.75" x14ac:dyDescent="0.25">
      <c r="B154" s="1607" t="s">
        <v>960</v>
      </c>
      <c r="C154" s="1608"/>
      <c r="D154" s="1609"/>
      <c r="E154" s="1610"/>
      <c r="F154" s="1611"/>
      <c r="G154"/>
      <c r="H154"/>
      <c r="I154"/>
    </row>
    <row r="155" spans="2:9" ht="15.75" x14ac:dyDescent="0.25">
      <c r="B155" s="1589" t="s">
        <v>930</v>
      </c>
      <c r="C155" s="1603">
        <v>26046</v>
      </c>
      <c r="D155" s="1614" t="s">
        <v>959</v>
      </c>
      <c r="E155" s="1592">
        <v>19764</v>
      </c>
      <c r="F155" s="1588"/>
      <c r="G155"/>
      <c r="H155"/>
      <c r="I155"/>
    </row>
    <row r="156" spans="2:9" ht="15.75" x14ac:dyDescent="0.25">
      <c r="B156" s="1589"/>
      <c r="C156" s="1603"/>
      <c r="D156" s="1117" t="s">
        <v>946</v>
      </c>
      <c r="E156" s="1592">
        <v>4</v>
      </c>
      <c r="F156" s="1588"/>
      <c r="G156"/>
      <c r="H156"/>
      <c r="I156"/>
    </row>
    <row r="157" spans="2:9" ht="15.75" x14ac:dyDescent="0.25">
      <c r="B157" s="1589" t="s">
        <v>931</v>
      </c>
      <c r="C157" s="1615">
        <v>50065</v>
      </c>
      <c r="D157" s="1591" t="s">
        <v>961</v>
      </c>
      <c r="E157" s="1592">
        <v>2366</v>
      </c>
      <c r="F157" s="1588"/>
      <c r="G157"/>
      <c r="H157"/>
      <c r="I157"/>
    </row>
    <row r="158" spans="2:9" ht="15.75" x14ac:dyDescent="0.25">
      <c r="B158" s="1612"/>
      <c r="C158" s="1603"/>
      <c r="D158" s="1118"/>
      <c r="E158" s="1587"/>
      <c r="F158" s="1588"/>
      <c r="G158"/>
      <c r="H158"/>
      <c r="I158"/>
    </row>
    <row r="159" spans="2:9" ht="16.5" thickBot="1" x14ac:dyDescent="0.3">
      <c r="B159" s="1594"/>
      <c r="C159" s="1605">
        <f>SUM(C155:C158)</f>
        <v>76111</v>
      </c>
      <c r="D159" s="1596"/>
      <c r="E159" s="1597">
        <f>SUM(E155:E158)</f>
        <v>22134</v>
      </c>
      <c r="F159" s="1598">
        <f>+F152+C159-E159</f>
        <v>-322309</v>
      </c>
      <c r="G159"/>
      <c r="H159"/>
      <c r="I159"/>
    </row>
    <row r="160" spans="2:9" ht="15.75" x14ac:dyDescent="0.25">
      <c r="B160" s="1607" t="s">
        <v>962</v>
      </c>
      <c r="C160" s="1608"/>
      <c r="D160" s="1609"/>
      <c r="E160" s="1610"/>
      <c r="F160" s="1616"/>
      <c r="G160"/>
      <c r="H160"/>
      <c r="I160"/>
    </row>
    <row r="161" spans="2:9" ht="15.75" x14ac:dyDescent="0.25">
      <c r="B161" s="1589" t="s">
        <v>930</v>
      </c>
      <c r="C161" s="1603">
        <v>74316</v>
      </c>
      <c r="D161" s="1614" t="s">
        <v>959</v>
      </c>
      <c r="E161" s="1592">
        <v>23662</v>
      </c>
      <c r="F161" s="1617"/>
      <c r="G161"/>
      <c r="H161"/>
      <c r="I161"/>
    </row>
    <row r="162" spans="2:9" ht="15.75" x14ac:dyDescent="0.25">
      <c r="B162" s="1589"/>
      <c r="C162" s="1603"/>
      <c r="D162" s="1117" t="s">
        <v>946</v>
      </c>
      <c r="E162" s="1592">
        <v>1948</v>
      </c>
      <c r="F162" s="1617"/>
      <c r="G162"/>
      <c r="H162"/>
      <c r="I162"/>
    </row>
    <row r="163" spans="2:9" ht="15.75" x14ac:dyDescent="0.25">
      <c r="B163" s="1589" t="s">
        <v>931</v>
      </c>
      <c r="C163" s="1615">
        <v>40185</v>
      </c>
      <c r="D163" s="1591" t="s">
        <v>961</v>
      </c>
      <c r="E163" s="1592">
        <v>1953</v>
      </c>
      <c r="F163" s="1617"/>
      <c r="G163"/>
      <c r="H163"/>
      <c r="I163"/>
    </row>
    <row r="164" spans="2:9" ht="15.75" x14ac:dyDescent="0.25">
      <c r="B164" s="1618"/>
      <c r="C164" s="1619"/>
      <c r="D164" s="1620"/>
      <c r="E164" s="1621"/>
      <c r="F164" s="1622"/>
      <c r="G164"/>
      <c r="H164"/>
      <c r="I164"/>
    </row>
    <row r="165" spans="2:9" ht="16.5" thickBot="1" x14ac:dyDescent="0.3">
      <c r="B165" s="1623"/>
      <c r="C165" s="1624">
        <f>SUM(C161:C164)</f>
        <v>114501</v>
      </c>
      <c r="D165" s="1625"/>
      <c r="E165" s="1626">
        <f>SUM(E161:E164)</f>
        <v>27563</v>
      </c>
      <c r="F165" s="1627">
        <f>+F159+C165-E165</f>
        <v>-235371</v>
      </c>
      <c r="G165"/>
      <c r="H165"/>
      <c r="I165"/>
    </row>
    <row r="166" spans="2:9" ht="15.75" x14ac:dyDescent="0.25">
      <c r="B166" s="1607" t="s">
        <v>963</v>
      </c>
      <c r="C166" s="1608"/>
      <c r="D166" s="1609"/>
      <c r="E166" s="1610"/>
      <c r="F166" s="1616"/>
      <c r="G166"/>
      <c r="H166"/>
      <c r="I166"/>
    </row>
    <row r="167" spans="2:9" ht="15.75" x14ac:dyDescent="0.25">
      <c r="B167" s="1589" t="s">
        <v>930</v>
      </c>
      <c r="C167" s="1603">
        <v>78723</v>
      </c>
      <c r="D167" s="1614" t="s">
        <v>959</v>
      </c>
      <c r="E167" s="1592">
        <v>29980</v>
      </c>
      <c r="F167" s="1617"/>
      <c r="G167"/>
      <c r="H167"/>
      <c r="I167"/>
    </row>
    <row r="168" spans="2:9" ht="15.75" x14ac:dyDescent="0.25">
      <c r="B168" s="1589"/>
      <c r="C168" s="1603"/>
      <c r="D168" s="1117" t="s">
        <v>946</v>
      </c>
      <c r="E168" s="1592">
        <v>3028</v>
      </c>
      <c r="F168" s="1617"/>
      <c r="G168"/>
      <c r="H168"/>
      <c r="I168"/>
    </row>
    <row r="169" spans="2:9" ht="15.75" x14ac:dyDescent="0.25">
      <c r="B169" s="1589" t="s">
        <v>931</v>
      </c>
      <c r="C169" s="1615">
        <v>31847</v>
      </c>
      <c r="D169" s="1591" t="s">
        <v>961</v>
      </c>
      <c r="E169" s="1592">
        <v>1895</v>
      </c>
      <c r="F169" s="1617"/>
      <c r="G169"/>
      <c r="H169"/>
      <c r="I169"/>
    </row>
    <row r="170" spans="2:9" ht="15.75" x14ac:dyDescent="0.25">
      <c r="B170" s="1589"/>
      <c r="C170" s="1615"/>
      <c r="D170" s="1591" t="s">
        <v>964</v>
      </c>
      <c r="E170" s="1592">
        <v>25575</v>
      </c>
      <c r="F170" s="1617"/>
      <c r="G170"/>
      <c r="H170"/>
      <c r="I170"/>
    </row>
    <row r="171" spans="2:9" ht="15.75" x14ac:dyDescent="0.25">
      <c r="B171" s="1589"/>
      <c r="C171" s="1615"/>
      <c r="D171" s="1591" t="s">
        <v>965</v>
      </c>
      <c r="E171" s="1592">
        <v>16000</v>
      </c>
      <c r="F171" s="1617"/>
      <c r="G171"/>
      <c r="H171"/>
      <c r="I171"/>
    </row>
    <row r="172" spans="2:9" ht="15.75" x14ac:dyDescent="0.25">
      <c r="B172" s="1618"/>
      <c r="C172" s="1619"/>
      <c r="D172" s="1620"/>
      <c r="E172" s="1621"/>
      <c r="F172" s="1622"/>
      <c r="G172"/>
      <c r="H172"/>
      <c r="I172"/>
    </row>
    <row r="173" spans="2:9" ht="16.5" thickBot="1" x14ac:dyDescent="0.3">
      <c r="B173" s="1623"/>
      <c r="C173" s="1624">
        <f>SUM(C167:C172)</f>
        <v>110570</v>
      </c>
      <c r="D173" s="1625"/>
      <c r="E173" s="1626">
        <f>SUM(E167:E172)</f>
        <v>76478</v>
      </c>
      <c r="F173" s="1627">
        <f>+F165+C173-E173</f>
        <v>-201279</v>
      </c>
      <c r="G173"/>
      <c r="H173"/>
      <c r="I173"/>
    </row>
    <row r="174" spans="2:9" ht="15.75" x14ac:dyDescent="0.25">
      <c r="B174" s="1607" t="s">
        <v>966</v>
      </c>
      <c r="C174" s="1608"/>
      <c r="D174" s="1609"/>
      <c r="E174" s="1610"/>
      <c r="F174" s="1616"/>
      <c r="G174"/>
      <c r="H174"/>
      <c r="I174"/>
    </row>
    <row r="175" spans="2:9" ht="15.75" x14ac:dyDescent="0.25">
      <c r="B175" s="1589" t="s">
        <v>930</v>
      </c>
      <c r="C175" s="1603">
        <v>55643</v>
      </c>
      <c r="D175" s="1614" t="s">
        <v>959</v>
      </c>
      <c r="E175" s="1592">
        <v>29995</v>
      </c>
      <c r="F175" s="1617"/>
      <c r="G175"/>
      <c r="H175"/>
      <c r="I175"/>
    </row>
    <row r="176" spans="2:9" ht="15.75" x14ac:dyDescent="0.25">
      <c r="B176" s="1589"/>
      <c r="C176" s="1603"/>
      <c r="D176" s="1117" t="s">
        <v>946</v>
      </c>
      <c r="E176" s="1592">
        <v>128</v>
      </c>
      <c r="F176" s="1617"/>
      <c r="G176"/>
      <c r="H176"/>
      <c r="I176"/>
    </row>
    <row r="177" spans="2:9" ht="15.75" x14ac:dyDescent="0.25">
      <c r="B177" s="1589" t="s">
        <v>931</v>
      </c>
      <c r="C177" s="1615">
        <v>27450</v>
      </c>
      <c r="D177" s="1591" t="s">
        <v>961</v>
      </c>
      <c r="E177" s="1592">
        <v>1837</v>
      </c>
      <c r="F177" s="1617"/>
      <c r="G177"/>
      <c r="H177"/>
      <c r="I177"/>
    </row>
    <row r="178" spans="2:9" ht="15.75" x14ac:dyDescent="0.25">
      <c r="B178" s="1589"/>
      <c r="C178" s="1615"/>
      <c r="D178" s="1591" t="s">
        <v>964</v>
      </c>
      <c r="E178" s="1592">
        <v>111151</v>
      </c>
      <c r="F178" s="1617"/>
      <c r="G178"/>
      <c r="H178"/>
      <c r="I178"/>
    </row>
    <row r="179" spans="2:9" ht="15.75" x14ac:dyDescent="0.25">
      <c r="B179" s="1589"/>
      <c r="C179" s="1628"/>
      <c r="D179" s="1591"/>
      <c r="E179" s="1629"/>
      <c r="F179" s="1617"/>
      <c r="G179"/>
      <c r="H179"/>
      <c r="I179"/>
    </row>
    <row r="180" spans="2:9" ht="15.75" x14ac:dyDescent="0.25">
      <c r="B180" s="1618"/>
      <c r="C180" s="1619"/>
      <c r="D180" s="1620"/>
      <c r="E180" s="1621"/>
      <c r="F180" s="1622"/>
      <c r="G180"/>
      <c r="H180"/>
      <c r="I180"/>
    </row>
    <row r="181" spans="2:9" ht="16.5" thickBot="1" x14ac:dyDescent="0.3">
      <c r="B181" s="1623"/>
      <c r="C181" s="1624">
        <f>SUM(C175:C180)</f>
        <v>83093</v>
      </c>
      <c r="D181" s="1625"/>
      <c r="E181" s="1626">
        <f>SUM(E175:E180)</f>
        <v>143111</v>
      </c>
      <c r="F181" s="1627">
        <f>+F173+C181-E181</f>
        <v>-261297</v>
      </c>
      <c r="G181"/>
      <c r="H181"/>
      <c r="I181"/>
    </row>
    <row r="182" spans="2:9" ht="15.75" x14ac:dyDescent="0.25">
      <c r="B182" s="1607" t="s">
        <v>967</v>
      </c>
      <c r="C182" s="1608"/>
      <c r="D182" s="1609"/>
      <c r="E182" s="1610"/>
      <c r="F182" s="1616"/>
      <c r="G182"/>
      <c r="H182"/>
      <c r="I182"/>
    </row>
    <row r="183" spans="2:9" ht="15.75" x14ac:dyDescent="0.25">
      <c r="B183" s="1589" t="s">
        <v>930</v>
      </c>
      <c r="C183" s="1603">
        <v>83142</v>
      </c>
      <c r="D183" s="1614" t="s">
        <v>959</v>
      </c>
      <c r="E183" s="1592">
        <v>33745</v>
      </c>
      <c r="F183" s="1617"/>
      <c r="G183"/>
      <c r="H183"/>
      <c r="I183"/>
    </row>
    <row r="184" spans="2:9" ht="15.75" x14ac:dyDescent="0.25">
      <c r="B184" s="1589" t="s">
        <v>931</v>
      </c>
      <c r="C184" s="1615">
        <v>23910</v>
      </c>
      <c r="D184" s="1591" t="s">
        <v>961</v>
      </c>
      <c r="E184" s="1592">
        <v>1779</v>
      </c>
      <c r="F184" s="1617"/>
      <c r="G184"/>
      <c r="H184"/>
      <c r="I184"/>
    </row>
    <row r="185" spans="2:9" ht="15.75" x14ac:dyDescent="0.25">
      <c r="B185" s="1589"/>
      <c r="C185" s="1615"/>
      <c r="D185" s="1591" t="s">
        <v>964</v>
      </c>
      <c r="E185" s="1592">
        <v>24603</v>
      </c>
      <c r="F185" s="1617"/>
      <c r="G185"/>
      <c r="H185"/>
      <c r="I185"/>
    </row>
    <row r="186" spans="2:9" ht="15.75" x14ac:dyDescent="0.25">
      <c r="B186" s="1589"/>
      <c r="C186" s="1628"/>
      <c r="D186" s="1591"/>
      <c r="E186" s="1629"/>
      <c r="F186" s="1617"/>
      <c r="G186"/>
      <c r="H186"/>
      <c r="I186"/>
    </row>
    <row r="187" spans="2:9" ht="15.75" x14ac:dyDescent="0.25">
      <c r="B187" s="1618"/>
      <c r="C187" s="1619"/>
      <c r="D187" s="1620"/>
      <c r="E187" s="1621"/>
      <c r="F187" s="1622"/>
      <c r="G187"/>
      <c r="H187"/>
      <c r="I187"/>
    </row>
    <row r="188" spans="2:9" ht="16.5" thickBot="1" x14ac:dyDescent="0.3">
      <c r="B188" s="1623"/>
      <c r="C188" s="1624">
        <f>SUM(C183:C187)</f>
        <v>107052</v>
      </c>
      <c r="D188" s="1625"/>
      <c r="E188" s="1626">
        <f>SUM(E183:E187)</f>
        <v>60127</v>
      </c>
      <c r="F188" s="1627">
        <f>+F181+C188-E188</f>
        <v>-214372</v>
      </c>
      <c r="G188"/>
      <c r="H188"/>
      <c r="I188"/>
    </row>
    <row r="189" spans="2:9" ht="15.75" x14ac:dyDescent="0.25">
      <c r="B189" s="1607" t="s">
        <v>968</v>
      </c>
      <c r="C189" s="1608"/>
      <c r="D189" s="1609"/>
      <c r="E189" s="1610"/>
      <c r="F189" s="1616"/>
      <c r="G189"/>
      <c r="H189"/>
      <c r="I189"/>
    </row>
    <row r="190" spans="2:9" ht="15.75" x14ac:dyDescent="0.25">
      <c r="B190" s="1589" t="s">
        <v>930</v>
      </c>
      <c r="C190" s="1603">
        <v>95353</v>
      </c>
      <c r="D190" s="1614" t="s">
        <v>959</v>
      </c>
      <c r="E190" s="1592">
        <v>31639</v>
      </c>
      <c r="F190" s="1617"/>
      <c r="G190"/>
      <c r="H190"/>
      <c r="I190"/>
    </row>
    <row r="191" spans="2:9" ht="15.75" x14ac:dyDescent="0.25">
      <c r="B191" s="1589" t="s">
        <v>931</v>
      </c>
      <c r="C191" s="1615">
        <v>16052</v>
      </c>
      <c r="D191" s="1591" t="s">
        <v>961</v>
      </c>
      <c r="E191" s="1592">
        <v>383</v>
      </c>
      <c r="F191" s="1617"/>
      <c r="G191"/>
      <c r="H191"/>
      <c r="I191"/>
    </row>
    <row r="192" spans="2:9" ht="15.75" x14ac:dyDescent="0.25">
      <c r="B192" s="1589"/>
      <c r="C192" s="1615"/>
      <c r="D192" s="1591" t="s">
        <v>964</v>
      </c>
      <c r="E192" s="1592">
        <v>56335</v>
      </c>
      <c r="F192" s="1617"/>
      <c r="G192"/>
      <c r="H192"/>
      <c r="I192"/>
    </row>
    <row r="193" spans="2:9" ht="15.75" x14ac:dyDescent="0.25">
      <c r="B193" s="1589"/>
      <c r="C193" s="1628"/>
      <c r="D193" s="1591"/>
      <c r="E193" s="1629"/>
      <c r="F193" s="1617"/>
      <c r="G193"/>
      <c r="H193"/>
      <c r="I193"/>
    </row>
    <row r="194" spans="2:9" ht="15.75" x14ac:dyDescent="0.25">
      <c r="B194" s="1618"/>
      <c r="C194" s="1619"/>
      <c r="D194" s="1620"/>
      <c r="E194" s="1621"/>
      <c r="F194" s="1622"/>
      <c r="G194"/>
      <c r="H194"/>
      <c r="I194"/>
    </row>
    <row r="195" spans="2:9" ht="16.5" thickBot="1" x14ac:dyDescent="0.3">
      <c r="B195" s="1623"/>
      <c r="C195" s="1624">
        <f>SUM(C190:C194)</f>
        <v>111405</v>
      </c>
      <c r="D195" s="1625"/>
      <c r="E195" s="1626">
        <f>SUM(E190:E194)</f>
        <v>88357</v>
      </c>
      <c r="F195" s="1627">
        <f>+F188+C195-E195</f>
        <v>-191324</v>
      </c>
      <c r="G195"/>
      <c r="H195"/>
      <c r="I195"/>
    </row>
    <row r="196" spans="2:9" ht="15.75" x14ac:dyDescent="0.25">
      <c r="B196" s="1607" t="s">
        <v>969</v>
      </c>
      <c r="C196" s="1608"/>
      <c r="D196" s="1609"/>
      <c r="E196" s="1610"/>
      <c r="F196" s="1616"/>
      <c r="G196"/>
      <c r="H196"/>
      <c r="I196"/>
    </row>
    <row r="197" spans="2:9" ht="15.75" x14ac:dyDescent="0.25">
      <c r="B197" s="1589" t="s">
        <v>930</v>
      </c>
      <c r="C197" s="1603">
        <v>44466</v>
      </c>
      <c r="D197" s="1614" t="s">
        <v>959</v>
      </c>
      <c r="E197" s="1592">
        <v>29314</v>
      </c>
      <c r="F197" s="1617"/>
      <c r="G197"/>
      <c r="H197"/>
      <c r="I197"/>
    </row>
    <row r="198" spans="2:9" ht="15.75" x14ac:dyDescent="0.25">
      <c r="B198" s="1589" t="s">
        <v>931</v>
      </c>
      <c r="C198" s="1615">
        <v>10823</v>
      </c>
      <c r="D198" s="1591" t="s">
        <v>964</v>
      </c>
      <c r="E198" s="1592">
        <v>36529</v>
      </c>
      <c r="F198" s="1617"/>
      <c r="G198"/>
      <c r="H198"/>
      <c r="I198"/>
    </row>
    <row r="199" spans="2:9" ht="15.75" x14ac:dyDescent="0.25">
      <c r="B199" s="1589"/>
      <c r="C199" s="1628"/>
      <c r="D199" s="1591"/>
      <c r="E199" s="1629"/>
      <c r="F199" s="1617"/>
      <c r="G199"/>
      <c r="H199"/>
      <c r="I199"/>
    </row>
    <row r="200" spans="2:9" ht="15.75" x14ac:dyDescent="0.25">
      <c r="B200" s="1618"/>
      <c r="C200" s="1619"/>
      <c r="D200" s="1620"/>
      <c r="E200" s="1621"/>
      <c r="F200" s="1622"/>
      <c r="G200"/>
      <c r="H200"/>
      <c r="I200"/>
    </row>
    <row r="201" spans="2:9" ht="16.5" thickBot="1" x14ac:dyDescent="0.3">
      <c r="B201" s="1623"/>
      <c r="C201" s="1624">
        <f>SUM(C197:C200)</f>
        <v>55289</v>
      </c>
      <c r="D201" s="1625"/>
      <c r="E201" s="1626">
        <f>SUM(E197:E200)</f>
        <v>65843</v>
      </c>
      <c r="F201" s="1627">
        <f>+F195+C201-E201</f>
        <v>-201878</v>
      </c>
      <c r="G201"/>
      <c r="H201"/>
      <c r="I201"/>
    </row>
    <row r="202" spans="2:9" ht="15.75" x14ac:dyDescent="0.25">
      <c r="B202" s="1607" t="s">
        <v>970</v>
      </c>
      <c r="C202" s="1608"/>
      <c r="D202" s="1609"/>
      <c r="E202" s="1610"/>
      <c r="F202" s="1616"/>
      <c r="G202"/>
      <c r="H202"/>
      <c r="I202"/>
    </row>
    <row r="203" spans="2:9" ht="15.75" x14ac:dyDescent="0.25">
      <c r="B203" s="1589" t="s">
        <v>930</v>
      </c>
      <c r="C203" s="1603">
        <v>82343</v>
      </c>
      <c r="D203" s="1614" t="s">
        <v>959</v>
      </c>
      <c r="E203" s="1592">
        <v>29269</v>
      </c>
      <c r="F203" s="1617"/>
      <c r="G203"/>
      <c r="H203"/>
      <c r="I203"/>
    </row>
    <row r="204" spans="2:9" ht="15.75" x14ac:dyDescent="0.25">
      <c r="B204" s="1589" t="s">
        <v>931</v>
      </c>
      <c r="C204" s="1615">
        <v>9185</v>
      </c>
      <c r="D204" s="1591" t="s">
        <v>964</v>
      </c>
      <c r="E204" s="1592">
        <v>58546</v>
      </c>
      <c r="F204" s="1617"/>
      <c r="G204"/>
      <c r="H204"/>
      <c r="I204"/>
    </row>
    <row r="205" spans="2:9" ht="15.75" x14ac:dyDescent="0.25">
      <c r="B205" s="1589"/>
      <c r="C205" s="1628"/>
      <c r="D205" s="1591"/>
      <c r="E205" s="1629"/>
      <c r="F205" s="1617"/>
      <c r="G205"/>
      <c r="H205"/>
      <c r="I205"/>
    </row>
    <row r="206" spans="2:9" ht="15.75" x14ac:dyDescent="0.25">
      <c r="B206" s="1618"/>
      <c r="C206" s="1619"/>
      <c r="D206" s="1620"/>
      <c r="E206" s="1621"/>
      <c r="F206" s="1622"/>
      <c r="G206"/>
      <c r="H206"/>
      <c r="I206"/>
    </row>
    <row r="207" spans="2:9" ht="16.5" thickBot="1" x14ac:dyDescent="0.3">
      <c r="B207" s="1623"/>
      <c r="C207" s="1624">
        <f>SUM(C203:C206)</f>
        <v>91528</v>
      </c>
      <c r="D207" s="1625"/>
      <c r="E207" s="1626">
        <f>SUM(E203:E206)</f>
        <v>87815</v>
      </c>
      <c r="F207" s="1627">
        <f>+F201+C207-E207</f>
        <v>-198165</v>
      </c>
      <c r="G207"/>
      <c r="H207"/>
      <c r="I207"/>
    </row>
    <row r="208" spans="2:9" ht="15.75" x14ac:dyDescent="0.25">
      <c r="B208" s="1607" t="s">
        <v>971</v>
      </c>
      <c r="C208" s="1608"/>
      <c r="D208" s="1609"/>
      <c r="E208" s="1610"/>
      <c r="F208" s="1616"/>
      <c r="G208"/>
      <c r="H208"/>
      <c r="I208"/>
    </row>
    <row r="209" spans="2:9" ht="15.75" x14ac:dyDescent="0.25">
      <c r="B209" s="1589" t="s">
        <v>930</v>
      </c>
      <c r="C209" s="1603">
        <v>21600</v>
      </c>
      <c r="D209" s="1614" t="s">
        <v>959</v>
      </c>
      <c r="E209" s="1592">
        <v>55783</v>
      </c>
      <c r="F209" s="1617"/>
      <c r="G209"/>
      <c r="H209"/>
      <c r="I209"/>
    </row>
    <row r="210" spans="2:9" ht="15.75" x14ac:dyDescent="0.25">
      <c r="B210" s="1589" t="s">
        <v>931</v>
      </c>
      <c r="C210" s="1615">
        <v>6186</v>
      </c>
      <c r="D210" s="1591" t="s">
        <v>964</v>
      </c>
      <c r="E210" s="1592">
        <v>11534</v>
      </c>
      <c r="F210" s="1617"/>
      <c r="G210"/>
      <c r="H210"/>
      <c r="I210"/>
    </row>
    <row r="211" spans="2:9" ht="15.75" x14ac:dyDescent="0.25">
      <c r="B211" s="1589"/>
      <c r="C211" s="1628"/>
      <c r="D211" s="1591"/>
      <c r="E211" s="1629"/>
      <c r="F211" s="1617"/>
      <c r="G211"/>
      <c r="H211"/>
      <c r="I211"/>
    </row>
    <row r="212" spans="2:9" ht="15.75" x14ac:dyDescent="0.25">
      <c r="B212" s="1618"/>
      <c r="C212" s="1619"/>
      <c r="D212" s="1620"/>
      <c r="E212" s="1621"/>
      <c r="F212" s="1622"/>
      <c r="G212"/>
      <c r="H212"/>
      <c r="I212"/>
    </row>
    <row r="213" spans="2:9" ht="16.5" thickBot="1" x14ac:dyDescent="0.3">
      <c r="B213" s="1623"/>
      <c r="C213" s="1624">
        <f>SUM(C209:C212)</f>
        <v>27786</v>
      </c>
      <c r="D213" s="1625"/>
      <c r="E213" s="1626">
        <f>SUM(E209:E212)</f>
        <v>67317</v>
      </c>
      <c r="F213" s="1627">
        <f>+F207+C213-E213</f>
        <v>-237696</v>
      </c>
      <c r="G213"/>
      <c r="H213"/>
      <c r="I213"/>
    </row>
    <row r="214" spans="2:9" ht="15.75" x14ac:dyDescent="0.25">
      <c r="B214" s="1607" t="s">
        <v>972</v>
      </c>
      <c r="C214" s="1608"/>
      <c r="D214" s="1609"/>
      <c r="E214" s="1610"/>
      <c r="F214" s="1616"/>
    </row>
    <row r="215" spans="2:9" ht="15.75" x14ac:dyDescent="0.25">
      <c r="B215" s="1589" t="s">
        <v>930</v>
      </c>
      <c r="C215" s="1603">
        <v>93960</v>
      </c>
      <c r="D215" s="1614" t="s">
        <v>959</v>
      </c>
      <c r="E215" s="1630">
        <v>52136</v>
      </c>
      <c r="F215" s="1617"/>
    </row>
    <row r="216" spans="2:9" ht="15.75" x14ac:dyDescent="0.25">
      <c r="B216" s="1589" t="s">
        <v>931</v>
      </c>
      <c r="C216" s="1615">
        <v>3887</v>
      </c>
      <c r="D216" s="1591" t="s">
        <v>964</v>
      </c>
      <c r="E216" s="1592">
        <v>18742</v>
      </c>
      <c r="F216" s="1617"/>
    </row>
    <row r="217" spans="2:9" ht="15.75" x14ac:dyDescent="0.25">
      <c r="B217" s="1589"/>
      <c r="C217" s="1628"/>
      <c r="D217" s="1591"/>
      <c r="E217" s="1629"/>
      <c r="F217" s="1617"/>
    </row>
    <row r="218" spans="2:9" ht="15.75" x14ac:dyDescent="0.25">
      <c r="B218" s="1618"/>
      <c r="C218" s="1619"/>
      <c r="D218" s="1620"/>
      <c r="E218" s="1621"/>
      <c r="F218" s="1622"/>
    </row>
    <row r="219" spans="2:9" ht="16.5" thickBot="1" x14ac:dyDescent="0.3">
      <c r="B219" s="1623"/>
      <c r="C219" s="1624">
        <f>SUM(C215:C218)</f>
        <v>97847</v>
      </c>
      <c r="D219" s="1625"/>
      <c r="E219" s="1626">
        <f>SUM(E215:E218)</f>
        <v>70878</v>
      </c>
      <c r="F219" s="1627">
        <f>+F213+C219-E219</f>
        <v>-210727</v>
      </c>
    </row>
    <row r="220" spans="2:9" ht="15.75" x14ac:dyDescent="0.25">
      <c r="B220" s="1607" t="s">
        <v>743</v>
      </c>
      <c r="C220" s="1608"/>
      <c r="D220" s="1609"/>
      <c r="E220" s="1610"/>
      <c r="F220" s="1616"/>
    </row>
    <row r="221" spans="2:9" ht="15.75" x14ac:dyDescent="0.25">
      <c r="B221" s="1589" t="s">
        <v>930</v>
      </c>
      <c r="C221" s="1603">
        <v>17500</v>
      </c>
      <c r="D221" s="1614" t="s">
        <v>959</v>
      </c>
      <c r="E221" s="1630">
        <v>41976</v>
      </c>
      <c r="F221" s="1617"/>
    </row>
    <row r="222" spans="2:9" ht="15.75" x14ac:dyDescent="0.25">
      <c r="B222" s="1589" t="s">
        <v>931</v>
      </c>
      <c r="C222" s="1615">
        <v>2005</v>
      </c>
      <c r="D222" s="1591" t="s">
        <v>964</v>
      </c>
      <c r="E222" s="1592">
        <v>0</v>
      </c>
      <c r="F222" s="1617"/>
    </row>
    <row r="223" spans="2:9" ht="15.75" x14ac:dyDescent="0.25">
      <c r="B223" s="1589"/>
      <c r="C223" s="1628"/>
      <c r="D223" s="1591"/>
      <c r="E223" s="1629"/>
      <c r="F223" s="1617"/>
    </row>
    <row r="224" spans="2:9" ht="15.75" x14ac:dyDescent="0.25">
      <c r="B224" s="1618"/>
      <c r="C224" s="1619"/>
      <c r="D224" s="1620"/>
      <c r="E224" s="1621"/>
      <c r="F224" s="1622"/>
    </row>
    <row r="225" spans="2:7" ht="16.5" thickBot="1" x14ac:dyDescent="0.3">
      <c r="B225" s="1623"/>
      <c r="C225" s="1624">
        <f>SUM(C221:C224)</f>
        <v>19505</v>
      </c>
      <c r="D225" s="1625"/>
      <c r="E225" s="1626">
        <f>SUM(E221:E224)</f>
        <v>41976</v>
      </c>
      <c r="F225" s="1627">
        <f>+F219+C225-E225</f>
        <v>-233198</v>
      </c>
    </row>
    <row r="226" spans="2:7" ht="15.75" x14ac:dyDescent="0.25">
      <c r="B226" s="1607" t="s">
        <v>744</v>
      </c>
      <c r="C226" s="1608"/>
      <c r="D226" s="1609"/>
      <c r="E226" s="1610"/>
      <c r="F226" s="1616"/>
    </row>
    <row r="227" spans="2:7" ht="15.75" x14ac:dyDescent="0.25">
      <c r="B227" s="1589" t="s">
        <v>930</v>
      </c>
      <c r="C227" s="1631">
        <v>106236</v>
      </c>
      <c r="D227" s="1614" t="s">
        <v>959</v>
      </c>
      <c r="E227" s="1630">
        <v>34167</v>
      </c>
      <c r="F227" s="1617"/>
    </row>
    <row r="228" spans="2:7" ht="15.75" x14ac:dyDescent="0.25">
      <c r="B228" s="1589" t="s">
        <v>931</v>
      </c>
      <c r="C228" s="1615">
        <v>984</v>
      </c>
      <c r="D228" s="1591" t="s">
        <v>1206</v>
      </c>
      <c r="E228" s="1592">
        <f>5000+67124</f>
        <v>72124</v>
      </c>
      <c r="F228" s="1617"/>
      <c r="G228" s="753"/>
    </row>
    <row r="229" spans="2:7" ht="15.75" x14ac:dyDescent="0.25">
      <c r="B229" s="1589"/>
      <c r="C229" s="1628"/>
      <c r="D229" s="1591"/>
      <c r="E229" s="1629"/>
      <c r="F229" s="1617"/>
    </row>
    <row r="230" spans="2:7" ht="15.75" x14ac:dyDescent="0.25">
      <c r="B230" s="1618"/>
      <c r="C230" s="1619"/>
      <c r="D230" s="1620"/>
      <c r="E230" s="1621"/>
      <c r="F230" s="1622"/>
    </row>
    <row r="231" spans="2:7" ht="16.5" thickBot="1" x14ac:dyDescent="0.3">
      <c r="B231" s="1623"/>
      <c r="C231" s="1624">
        <f>SUM(C227:C230)</f>
        <v>107220</v>
      </c>
      <c r="D231" s="1625"/>
      <c r="E231" s="1626">
        <f>SUM(E227:E230)</f>
        <v>106291</v>
      </c>
      <c r="F231" s="1627">
        <f>+F225+C231-E231</f>
        <v>-232269</v>
      </c>
    </row>
  </sheetData>
  <mergeCells count="6">
    <mergeCell ref="B8:F8"/>
    <mergeCell ref="B3:F3"/>
    <mergeCell ref="B4:F4"/>
    <mergeCell ref="B5:F5"/>
    <mergeCell ref="B6:F6"/>
    <mergeCell ref="B7:F7"/>
  </mergeCells>
  <printOptions horizontalCentered="1" verticalCentered="1"/>
  <pageMargins left="0.19685039370078741" right="0.19685039370078741" top="0.19685039370078741" bottom="0.19685039370078741" header="0" footer="0.31496062992125984"/>
  <pageSetup paperSize="9" scale="59" orientation="portrait" r:id="rId1"/>
  <headerFooter alignWithMargins="0">
    <oddHeader>&amp;C&amp;A&amp;R&amp;"-,Félkövér"&amp;12 25. melléklet a 10/2024. (V.31.) önkormányzati rendelethez</oddHeader>
    <oddFooter xml:space="preserve">&amp;C </oddFooter>
  </headerFooter>
  <rowBreaks count="2" manualBreakCount="2">
    <brk id="76" min="1" max="5" man="1"/>
    <brk id="152" min="1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587C-3520-4192-AA81-79F3C9A9528C}">
  <dimension ref="B2:J32"/>
  <sheetViews>
    <sheetView view="pageLayout" zoomScaleNormal="75" workbookViewId="0">
      <selection activeCell="B8" sqref="B8:E8"/>
    </sheetView>
  </sheetViews>
  <sheetFormatPr defaultColWidth="12" defaultRowHeight="15" x14ac:dyDescent="0.2"/>
  <cols>
    <col min="1" max="1" width="3.6640625" style="664" customWidth="1"/>
    <col min="2" max="2" width="6.6640625" style="664" customWidth="1"/>
    <col min="3" max="4" width="12" style="664" customWidth="1"/>
    <col min="5" max="5" width="111.33203125" style="664" customWidth="1"/>
    <col min="6" max="6" width="22.5" style="665" customWidth="1"/>
    <col min="7" max="7" width="24.83203125" style="664" customWidth="1"/>
    <col min="8" max="16384" width="12" style="664"/>
  </cols>
  <sheetData>
    <row r="2" spans="2:10" ht="18" x14ac:dyDescent="0.25">
      <c r="G2" s="666"/>
    </row>
    <row r="3" spans="2:10" ht="24" customHeight="1" x14ac:dyDescent="0.3">
      <c r="B3" s="2009" t="s">
        <v>973</v>
      </c>
      <c r="C3" s="2009"/>
      <c r="D3" s="2009"/>
      <c r="E3" s="2009"/>
      <c r="F3" s="2009"/>
      <c r="G3" s="2009"/>
    </row>
    <row r="4" spans="2:10" ht="24.75" customHeight="1" x14ac:dyDescent="0.3">
      <c r="B4" s="2009" t="s">
        <v>1192</v>
      </c>
      <c r="C4" s="2009"/>
      <c r="D4" s="2009"/>
      <c r="E4" s="2009"/>
      <c r="F4" s="2009"/>
      <c r="G4" s="2009"/>
    </row>
    <row r="5" spans="2:10" ht="15.75" x14ac:dyDescent="0.25">
      <c r="B5" s="667"/>
      <c r="C5" s="667"/>
      <c r="D5" s="668"/>
      <c r="E5" s="668"/>
      <c r="F5" s="669"/>
      <c r="G5" s="667"/>
    </row>
    <row r="6" spans="2:10" ht="16.5" thickBot="1" x14ac:dyDescent="0.3">
      <c r="B6" s="667"/>
      <c r="C6" s="667" t="s">
        <v>52</v>
      </c>
      <c r="D6" s="667"/>
      <c r="E6" s="667"/>
      <c r="F6" s="670" t="s">
        <v>52</v>
      </c>
      <c r="G6" s="671" t="s">
        <v>15</v>
      </c>
    </row>
    <row r="7" spans="2:10" s="676" customFormat="1" ht="18.75" x14ac:dyDescent="0.3">
      <c r="B7" s="672"/>
      <c r="C7" s="673" t="s">
        <v>52</v>
      </c>
      <c r="D7" s="673" t="s">
        <v>52</v>
      </c>
      <c r="E7" s="673"/>
      <c r="F7" s="674" t="s">
        <v>52</v>
      </c>
      <c r="G7" s="675"/>
    </row>
    <row r="8" spans="2:10" s="676" customFormat="1" ht="18" customHeight="1" x14ac:dyDescent="0.3">
      <c r="B8" s="2010" t="s">
        <v>29</v>
      </c>
      <c r="C8" s="2009"/>
      <c r="D8" s="2009"/>
      <c r="E8" s="2009"/>
      <c r="F8" s="2011" t="s">
        <v>974</v>
      </c>
      <c r="G8" s="2012"/>
    </row>
    <row r="9" spans="2:10" s="676" customFormat="1" ht="38.25" customHeight="1" thickBot="1" x14ac:dyDescent="0.35">
      <c r="B9" s="677"/>
      <c r="C9" s="678"/>
      <c r="D9" s="678"/>
      <c r="E9" s="678"/>
      <c r="F9" s="679" t="s">
        <v>871</v>
      </c>
      <c r="G9" s="680" t="s">
        <v>975</v>
      </c>
    </row>
    <row r="10" spans="2:10" s="676" customFormat="1" ht="33" customHeight="1" x14ac:dyDescent="0.3">
      <c r="B10" s="681" t="s">
        <v>165</v>
      </c>
      <c r="C10" s="682" t="s">
        <v>976</v>
      </c>
      <c r="D10" s="683"/>
      <c r="E10" s="683"/>
      <c r="F10" s="684">
        <v>0</v>
      </c>
      <c r="G10" s="685">
        <f t="shared" ref="G10:G18" si="0">F10/F$18*100</f>
        <v>0</v>
      </c>
    </row>
    <row r="11" spans="2:10" s="676" customFormat="1" ht="33" customHeight="1" thickBot="1" x14ac:dyDescent="0.35">
      <c r="B11" s="688" t="s">
        <v>33</v>
      </c>
      <c r="C11" s="689" t="s">
        <v>977</v>
      </c>
      <c r="D11" s="689"/>
      <c r="E11" s="689"/>
      <c r="F11" s="690">
        <f>SUM(F10:F10)</f>
        <v>0</v>
      </c>
      <c r="G11" s="691">
        <f t="shared" si="0"/>
        <v>0</v>
      </c>
    </row>
    <row r="12" spans="2:10" s="693" customFormat="1" ht="33" customHeight="1" x14ac:dyDescent="0.3">
      <c r="B12" s="681" t="s">
        <v>166</v>
      </c>
      <c r="C12" s="683" t="s">
        <v>978</v>
      </c>
      <c r="D12" s="683"/>
      <c r="E12" s="683"/>
      <c r="F12" s="684">
        <v>0</v>
      </c>
      <c r="G12" s="685">
        <f t="shared" si="0"/>
        <v>0</v>
      </c>
      <c r="H12" s="692"/>
      <c r="I12" s="692"/>
      <c r="J12" s="692"/>
    </row>
    <row r="13" spans="2:10" s="676" customFormat="1" ht="33" customHeight="1" thickBot="1" x14ac:dyDescent="0.35">
      <c r="B13" s="688" t="s">
        <v>167</v>
      </c>
      <c r="C13" s="694" t="s">
        <v>979</v>
      </c>
      <c r="D13" s="694"/>
      <c r="E13" s="694"/>
      <c r="F13" s="695">
        <f>SUM(F12:F12)</f>
        <v>0</v>
      </c>
      <c r="G13" s="691">
        <f t="shared" si="0"/>
        <v>0</v>
      </c>
    </row>
    <row r="14" spans="2:10" s="693" customFormat="1" ht="33" customHeight="1" x14ac:dyDescent="0.3">
      <c r="B14" s="696" t="s">
        <v>169</v>
      </c>
      <c r="C14" s="683" t="s">
        <v>980</v>
      </c>
      <c r="D14" s="683"/>
      <c r="E14" s="683"/>
      <c r="F14" s="697">
        <v>23344</v>
      </c>
      <c r="G14" s="698">
        <f t="shared" si="0"/>
        <v>12.62813958897959</v>
      </c>
      <c r="H14" s="692"/>
      <c r="I14" s="692"/>
      <c r="J14" s="692"/>
    </row>
    <row r="15" spans="2:10" s="676" customFormat="1" ht="33" customHeight="1" x14ac:dyDescent="0.3">
      <c r="B15" s="681" t="s">
        <v>345</v>
      </c>
      <c r="C15" s="2006" t="s">
        <v>981</v>
      </c>
      <c r="D15" s="2007"/>
      <c r="E15" s="2008"/>
      <c r="F15" s="697">
        <v>161513</v>
      </c>
      <c r="G15" s="685">
        <f t="shared" si="0"/>
        <v>87.371860411020407</v>
      </c>
      <c r="H15" s="692"/>
      <c r="I15" s="692"/>
      <c r="J15" s="692"/>
    </row>
    <row r="16" spans="2:10" s="676" customFormat="1" ht="48" customHeight="1" x14ac:dyDescent="0.3">
      <c r="B16" s="681" t="s">
        <v>982</v>
      </c>
      <c r="C16" s="2006" t="s">
        <v>983</v>
      </c>
      <c r="D16" s="2007"/>
      <c r="E16" s="2008"/>
      <c r="F16" s="684">
        <v>0</v>
      </c>
      <c r="G16" s="685">
        <f t="shared" si="0"/>
        <v>0</v>
      </c>
      <c r="H16" s="692"/>
      <c r="I16" s="692"/>
      <c r="J16" s="692"/>
    </row>
    <row r="17" spans="2:7" s="676" customFormat="1" ht="33" customHeight="1" thickBot="1" x14ac:dyDescent="0.35">
      <c r="B17" s="688" t="s">
        <v>984</v>
      </c>
      <c r="C17" s="694" t="s">
        <v>985</v>
      </c>
      <c r="D17" s="694"/>
      <c r="E17" s="694"/>
      <c r="F17" s="695">
        <f>SUM(F14:F16)</f>
        <v>184857</v>
      </c>
      <c r="G17" s="691">
        <f t="shared" si="0"/>
        <v>100</v>
      </c>
    </row>
    <row r="18" spans="2:7" s="699" customFormat="1" ht="33" customHeight="1" thickBot="1" x14ac:dyDescent="0.35">
      <c r="B18" s="688" t="s">
        <v>986</v>
      </c>
      <c r="C18" s="689" t="s">
        <v>987</v>
      </c>
      <c r="D18" s="689"/>
      <c r="E18" s="689"/>
      <c r="F18" s="690">
        <f>+F11+F13+F17</f>
        <v>184857</v>
      </c>
      <c r="G18" s="691">
        <f t="shared" si="0"/>
        <v>100</v>
      </c>
    </row>
    <row r="19" spans="2:7" s="676" customFormat="1" ht="23.1" customHeight="1" x14ac:dyDescent="0.25">
      <c r="F19" s="687"/>
      <c r="G19" s="686"/>
    </row>
    <row r="20" spans="2:7" s="676" customFormat="1" ht="23.1" customHeight="1" x14ac:dyDescent="0.25">
      <c r="B20" s="664"/>
      <c r="C20" s="664"/>
      <c r="D20" s="664"/>
      <c r="E20" s="664"/>
      <c r="F20" s="665"/>
      <c r="G20" s="665"/>
    </row>
    <row r="21" spans="2:7" s="676" customFormat="1" ht="23.1" customHeight="1" x14ac:dyDescent="0.25">
      <c r="B21" s="664"/>
      <c r="C21" s="664"/>
      <c r="D21" s="664"/>
      <c r="E21" s="664"/>
      <c r="F21" s="665"/>
      <c r="G21" s="665"/>
    </row>
    <row r="22" spans="2:7" s="676" customFormat="1" ht="23.1" customHeight="1" x14ac:dyDescent="0.25">
      <c r="B22" s="664"/>
      <c r="C22" s="664"/>
      <c r="D22" s="664"/>
      <c r="E22" s="664"/>
      <c r="F22" s="665"/>
      <c r="G22" s="665"/>
    </row>
    <row r="23" spans="2:7" s="676" customFormat="1" ht="29.25" customHeight="1" x14ac:dyDescent="0.25">
      <c r="B23" s="664"/>
      <c r="C23" s="664"/>
      <c r="D23" s="664"/>
      <c r="E23" s="664"/>
      <c r="F23" s="665"/>
      <c r="G23" s="665"/>
    </row>
    <row r="24" spans="2:7" ht="20.100000000000001" customHeight="1" x14ac:dyDescent="0.2">
      <c r="G24" s="665"/>
    </row>
    <row r="25" spans="2:7" ht="20.100000000000001" customHeight="1" x14ac:dyDescent="0.2">
      <c r="G25" s="665"/>
    </row>
    <row r="26" spans="2:7" ht="20.100000000000001" customHeight="1" x14ac:dyDescent="0.2">
      <c r="G26" s="665"/>
    </row>
    <row r="27" spans="2:7" ht="30.75" customHeight="1" x14ac:dyDescent="0.2">
      <c r="G27" s="665"/>
    </row>
    <row r="28" spans="2:7" ht="20.100000000000001" customHeight="1" x14ac:dyDescent="0.2">
      <c r="G28" s="665"/>
    </row>
    <row r="29" spans="2:7" ht="14.25" customHeight="1" x14ac:dyDescent="0.2">
      <c r="G29" s="665"/>
    </row>
    <row r="30" spans="2:7" x14ac:dyDescent="0.2">
      <c r="G30" s="665"/>
    </row>
    <row r="31" spans="2:7" x14ac:dyDescent="0.2">
      <c r="G31" s="665"/>
    </row>
    <row r="32" spans="2:7" x14ac:dyDescent="0.2">
      <c r="G32" s="665"/>
    </row>
  </sheetData>
  <mergeCells count="6">
    <mergeCell ref="C16:E16"/>
    <mergeCell ref="B3:G3"/>
    <mergeCell ref="B4:G4"/>
    <mergeCell ref="B8:E8"/>
    <mergeCell ref="F8:G8"/>
    <mergeCell ref="C15:E15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2" orientation="portrait" r:id="rId1"/>
  <headerFooter alignWithMargins="0">
    <oddHeader xml:space="preserve">&amp;R&amp;"Cambria,Félkövér"&amp;12   26. melléklet a 10/2024. (V.31.) önkormányzati rendelethez&amp;"Arial,Félkövér"&amp;11
 </oddHeader>
    <oddFooter xml:space="preserve">&amp;C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9E85-CBEF-4D3C-A937-C9B283BBDF9A}">
  <dimension ref="A2:O41"/>
  <sheetViews>
    <sheetView view="pageLayout" zoomScaleNormal="200" workbookViewId="0">
      <selection activeCell="C5" sqref="C5:D10"/>
    </sheetView>
  </sheetViews>
  <sheetFormatPr defaultColWidth="10.6640625" defaultRowHeight="12.75" x14ac:dyDescent="0.2"/>
  <cols>
    <col min="1" max="1" width="4.33203125" style="700" customWidth="1"/>
    <col min="2" max="2" width="5.5" style="700" customWidth="1"/>
    <col min="3" max="3" width="10.6640625" style="700" customWidth="1"/>
    <col min="4" max="4" width="63.83203125" style="700" customWidth="1"/>
    <col min="5" max="5" width="19" style="700" customWidth="1"/>
    <col min="6" max="7" width="12.5" style="700" customWidth="1"/>
    <col min="8" max="8" width="13.6640625" style="700" customWidth="1"/>
    <col min="9" max="9" width="19.1640625" style="700" customWidth="1"/>
    <col min="10" max="10" width="13.6640625" style="700" customWidth="1"/>
    <col min="11" max="11" width="18.1640625" style="700" customWidth="1"/>
    <col min="12" max="12" width="10.6640625" style="700"/>
    <col min="13" max="13" width="11.83203125" style="700" bestFit="1" customWidth="1"/>
    <col min="14" max="14" width="10.6640625" style="700"/>
    <col min="15" max="15" width="13" style="700" customWidth="1"/>
    <col min="16" max="16384" width="10.6640625" style="700"/>
  </cols>
  <sheetData>
    <row r="2" spans="1:12" ht="21" customHeight="1" x14ac:dyDescent="0.25">
      <c r="A2" s="2033" t="s">
        <v>1378</v>
      </c>
      <c r="B2" s="2033"/>
      <c r="C2" s="2033"/>
      <c r="D2" s="2033"/>
      <c r="E2" s="2033"/>
      <c r="F2" s="2033"/>
      <c r="G2" s="2033"/>
      <c r="H2" s="2033"/>
      <c r="I2" s="2033"/>
      <c r="J2" s="2033"/>
      <c r="K2" s="2033"/>
      <c r="L2" s="757"/>
    </row>
    <row r="3" spans="1:12" x14ac:dyDescent="0.2">
      <c r="A3" s="701"/>
      <c r="B3" s="701"/>
      <c r="C3" s="701"/>
      <c r="D3" s="701"/>
      <c r="E3" s="701"/>
      <c r="F3" s="701"/>
      <c r="G3" s="701"/>
      <c r="H3" s="701"/>
      <c r="I3" s="701"/>
      <c r="J3" s="701"/>
      <c r="K3" s="701"/>
    </row>
    <row r="4" spans="1:12" ht="13.5" thickBot="1" x14ac:dyDescent="0.25">
      <c r="A4" s="2034"/>
      <c r="B4" s="2034"/>
      <c r="C4" s="2034"/>
      <c r="D4" s="2034"/>
      <c r="E4" s="2034"/>
      <c r="F4" s="2034"/>
      <c r="G4" s="2034"/>
      <c r="H4" s="2034"/>
      <c r="I4" s="2034"/>
      <c r="J4" s="2034"/>
      <c r="K4" s="702"/>
    </row>
    <row r="5" spans="1:12" ht="15.75" x14ac:dyDescent="0.25">
      <c r="A5" s="2035" t="s">
        <v>720</v>
      </c>
      <c r="B5" s="2036"/>
      <c r="C5" s="2041" t="s">
        <v>29</v>
      </c>
      <c r="D5" s="2036"/>
      <c r="E5" s="2044" t="s">
        <v>988</v>
      </c>
      <c r="F5" s="2045"/>
      <c r="G5" s="2045"/>
      <c r="H5" s="2045"/>
      <c r="I5" s="2045"/>
      <c r="J5" s="2045"/>
      <c r="K5" s="2046"/>
    </row>
    <row r="6" spans="1:12" ht="15.75" x14ac:dyDescent="0.25">
      <c r="A6" s="2037"/>
      <c r="B6" s="2038"/>
      <c r="C6" s="2042"/>
      <c r="D6" s="2038"/>
      <c r="E6" s="2047" t="s">
        <v>989</v>
      </c>
      <c r="F6" s="2048"/>
      <c r="G6" s="2049"/>
      <c r="H6" s="2047" t="s">
        <v>990</v>
      </c>
      <c r="I6" s="2048"/>
      <c r="J6" s="2048"/>
      <c r="K6" s="2050"/>
    </row>
    <row r="7" spans="1:12" ht="15.75" x14ac:dyDescent="0.25">
      <c r="A7" s="2037"/>
      <c r="B7" s="2038"/>
      <c r="C7" s="2042"/>
      <c r="D7" s="2038"/>
      <c r="E7" s="2051" t="s">
        <v>991</v>
      </c>
      <c r="F7" s="2053" t="s">
        <v>992</v>
      </c>
      <c r="G7" s="2054"/>
      <c r="H7" s="2057" t="s">
        <v>993</v>
      </c>
      <c r="I7" s="2058"/>
      <c r="J7" s="2053" t="s">
        <v>994</v>
      </c>
      <c r="K7" s="2059"/>
    </row>
    <row r="8" spans="1:12" ht="15.75" x14ac:dyDescent="0.25">
      <c r="A8" s="2037"/>
      <c r="B8" s="2038"/>
      <c r="C8" s="2042"/>
      <c r="D8" s="2038"/>
      <c r="E8" s="2052"/>
      <c r="F8" s="2055"/>
      <c r="G8" s="2056"/>
      <c r="H8" s="2061" t="s">
        <v>995</v>
      </c>
      <c r="I8" s="2062"/>
      <c r="J8" s="2055"/>
      <c r="K8" s="2060"/>
    </row>
    <row r="9" spans="1:12" ht="15.75" x14ac:dyDescent="0.25">
      <c r="A9" s="2037"/>
      <c r="B9" s="2038"/>
      <c r="C9" s="2042"/>
      <c r="D9" s="2038"/>
      <c r="E9" s="1632" t="s">
        <v>996</v>
      </c>
      <c r="F9" s="1632" t="s">
        <v>997</v>
      </c>
      <c r="G9" s="1632" t="s">
        <v>998</v>
      </c>
      <c r="H9" s="1632" t="s">
        <v>999</v>
      </c>
      <c r="I9" s="1632" t="s">
        <v>1000</v>
      </c>
      <c r="J9" s="1632" t="s">
        <v>999</v>
      </c>
      <c r="K9" s="1633" t="s">
        <v>1000</v>
      </c>
    </row>
    <row r="10" spans="1:12" ht="16.5" thickBot="1" x14ac:dyDescent="0.3">
      <c r="A10" s="2039"/>
      <c r="B10" s="2040"/>
      <c r="C10" s="2043"/>
      <c r="D10" s="2040"/>
      <c r="E10" s="1634" t="s">
        <v>1001</v>
      </c>
      <c r="F10" s="1634" t="s">
        <v>1002</v>
      </c>
      <c r="G10" s="1634" t="s">
        <v>1003</v>
      </c>
      <c r="H10" s="1634" t="s">
        <v>1004</v>
      </c>
      <c r="I10" s="1634" t="s">
        <v>1005</v>
      </c>
      <c r="J10" s="1634" t="s">
        <v>1006</v>
      </c>
      <c r="K10" s="1635" t="s">
        <v>1007</v>
      </c>
    </row>
    <row r="11" spans="1:12" ht="15" customHeight="1" x14ac:dyDescent="0.25">
      <c r="A11" s="2021" t="s">
        <v>1008</v>
      </c>
      <c r="B11" s="2029"/>
      <c r="C11" s="2030" t="s">
        <v>1009</v>
      </c>
      <c r="D11" s="2031"/>
      <c r="E11" s="1636">
        <v>4105</v>
      </c>
      <c r="F11" s="1637">
        <v>1751</v>
      </c>
      <c r="G11" s="1636">
        <v>2735</v>
      </c>
      <c r="H11" s="1637">
        <v>4057</v>
      </c>
      <c r="I11" s="1636">
        <v>96783807</v>
      </c>
      <c r="J11" s="1637">
        <v>4091</v>
      </c>
      <c r="K11" s="1638">
        <v>119746113</v>
      </c>
    </row>
    <row r="12" spans="1:12" ht="15" customHeight="1" x14ac:dyDescent="0.25">
      <c r="A12" s="2015" t="s">
        <v>1010</v>
      </c>
      <c r="B12" s="2016"/>
      <c r="C12" s="2019" t="s">
        <v>1011</v>
      </c>
      <c r="D12" s="2020"/>
      <c r="E12" s="1639">
        <v>10</v>
      </c>
      <c r="F12" s="1640">
        <v>13</v>
      </c>
      <c r="G12" s="1639">
        <v>9520</v>
      </c>
      <c r="H12" s="1640">
        <v>10</v>
      </c>
      <c r="I12" s="1639">
        <v>2140244</v>
      </c>
      <c r="J12" s="1640">
        <v>10</v>
      </c>
      <c r="K12" s="1641">
        <v>2025977</v>
      </c>
    </row>
    <row r="13" spans="1:12" ht="15" customHeight="1" x14ac:dyDescent="0.25">
      <c r="A13" s="2015" t="s">
        <v>1012</v>
      </c>
      <c r="B13" s="2016"/>
      <c r="C13" s="2019" t="s">
        <v>1013</v>
      </c>
      <c r="D13" s="2020"/>
      <c r="E13" s="1639">
        <v>0</v>
      </c>
      <c r="F13" s="1640">
        <v>0</v>
      </c>
      <c r="G13" s="1639">
        <v>0</v>
      </c>
      <c r="H13" s="1640">
        <v>0</v>
      </c>
      <c r="I13" s="1639">
        <v>0</v>
      </c>
      <c r="J13" s="1640">
        <v>0</v>
      </c>
      <c r="K13" s="1641">
        <v>0</v>
      </c>
    </row>
    <row r="14" spans="1:12" ht="15" customHeight="1" x14ac:dyDescent="0.25">
      <c r="A14" s="2015" t="s">
        <v>1014</v>
      </c>
      <c r="B14" s="2016"/>
      <c r="C14" s="2019" t="s">
        <v>1015</v>
      </c>
      <c r="D14" s="2020"/>
      <c r="E14" s="1639">
        <v>14</v>
      </c>
      <c r="F14" s="1640"/>
      <c r="G14" s="1639"/>
      <c r="H14" s="1640">
        <v>14</v>
      </c>
      <c r="I14" s="1639">
        <v>23683829</v>
      </c>
      <c r="J14" s="1640">
        <v>14</v>
      </c>
      <c r="K14" s="1641">
        <v>21541524</v>
      </c>
    </row>
    <row r="15" spans="1:12" ht="15" customHeight="1" thickBot="1" x14ac:dyDescent="0.3">
      <c r="A15" s="2023" t="s">
        <v>1016</v>
      </c>
      <c r="B15" s="2024"/>
      <c r="C15" s="2025" t="s">
        <v>1017</v>
      </c>
      <c r="D15" s="2026"/>
      <c r="E15" s="1642">
        <v>4129</v>
      </c>
      <c r="F15" s="1642">
        <v>1765</v>
      </c>
      <c r="G15" s="1642">
        <v>2255</v>
      </c>
      <c r="H15" s="1642">
        <v>4081</v>
      </c>
      <c r="I15" s="1642">
        <v>122607880</v>
      </c>
      <c r="J15" s="1642">
        <v>4115</v>
      </c>
      <c r="K15" s="1643">
        <v>143313614</v>
      </c>
    </row>
    <row r="16" spans="1:12" ht="15" customHeight="1" x14ac:dyDescent="0.25">
      <c r="A16" s="2027" t="s">
        <v>1018</v>
      </c>
      <c r="B16" s="2028"/>
      <c r="C16" s="1644" t="s">
        <v>1019</v>
      </c>
      <c r="D16" s="1645"/>
      <c r="E16" s="1646">
        <v>1875</v>
      </c>
      <c r="F16" s="1647">
        <v>693</v>
      </c>
      <c r="G16" s="1646">
        <v>6080</v>
      </c>
      <c r="H16" s="1647">
        <v>1873</v>
      </c>
      <c r="I16" s="1646">
        <v>44517971</v>
      </c>
      <c r="J16" s="1647">
        <v>1866</v>
      </c>
      <c r="K16" s="1648">
        <v>63320258</v>
      </c>
    </row>
    <row r="17" spans="1:15" ht="15" customHeight="1" x14ac:dyDescent="0.25">
      <c r="A17" s="2021" t="s">
        <v>1020</v>
      </c>
      <c r="B17" s="2029"/>
      <c r="C17" s="2030" t="s">
        <v>1021</v>
      </c>
      <c r="D17" s="2031"/>
      <c r="E17" s="1636">
        <v>0</v>
      </c>
      <c r="F17" s="1637">
        <v>0</v>
      </c>
      <c r="G17" s="1636">
        <v>0</v>
      </c>
      <c r="H17" s="1637">
        <v>0</v>
      </c>
      <c r="I17" s="1636">
        <v>0</v>
      </c>
      <c r="J17" s="1637">
        <v>0</v>
      </c>
      <c r="K17" s="1638">
        <v>0</v>
      </c>
    </row>
    <row r="18" spans="1:15" ht="15" customHeight="1" x14ac:dyDescent="0.25">
      <c r="A18" s="2015" t="s">
        <v>1022</v>
      </c>
      <c r="B18" s="2016"/>
      <c r="C18" s="1649" t="s">
        <v>1023</v>
      </c>
      <c r="D18" s="1650" t="s">
        <v>1024</v>
      </c>
      <c r="E18" s="1639">
        <v>3456</v>
      </c>
      <c r="F18" s="1640">
        <v>891</v>
      </c>
      <c r="G18" s="1639">
        <v>5425</v>
      </c>
      <c r="H18" s="1640">
        <v>3439</v>
      </c>
      <c r="I18" s="1639">
        <v>120000043</v>
      </c>
      <c r="J18" s="1640">
        <v>3442</v>
      </c>
      <c r="K18" s="1641">
        <v>140275349</v>
      </c>
    </row>
    <row r="19" spans="1:15" ht="15" customHeight="1" x14ac:dyDescent="0.25">
      <c r="A19" s="2021" t="s">
        <v>1025</v>
      </c>
      <c r="B19" s="2029"/>
      <c r="C19" s="1651" t="s">
        <v>1026</v>
      </c>
      <c r="D19" s="1650" t="s">
        <v>1027</v>
      </c>
      <c r="E19" s="1639">
        <v>673</v>
      </c>
      <c r="F19" s="1640">
        <v>873</v>
      </c>
      <c r="G19" s="1639">
        <v>6830</v>
      </c>
      <c r="H19" s="1640">
        <v>642</v>
      </c>
      <c r="I19" s="1639">
        <v>2607837</v>
      </c>
      <c r="J19" s="1640">
        <v>673</v>
      </c>
      <c r="K19" s="1641">
        <v>3038265</v>
      </c>
      <c r="L19" s="703"/>
      <c r="M19" s="703"/>
      <c r="N19" s="703"/>
      <c r="O19" s="703"/>
    </row>
    <row r="20" spans="1:15" ht="15" customHeight="1" x14ac:dyDescent="0.25">
      <c r="A20" s="2013" t="s">
        <v>1028</v>
      </c>
      <c r="B20" s="2032"/>
      <c r="C20" s="1652"/>
      <c r="D20" s="1653" t="s">
        <v>1029</v>
      </c>
      <c r="E20" s="1654">
        <v>1993</v>
      </c>
      <c r="F20" s="1655">
        <v>819</v>
      </c>
      <c r="G20" s="1654">
        <v>1846</v>
      </c>
      <c r="H20" s="1655">
        <v>1950</v>
      </c>
      <c r="I20" s="1654">
        <v>86597416</v>
      </c>
      <c r="J20" s="1655">
        <v>1987</v>
      </c>
      <c r="K20" s="1656">
        <v>52759656</v>
      </c>
    </row>
    <row r="21" spans="1:15" ht="15" customHeight="1" x14ac:dyDescent="0.25">
      <c r="A21" s="2015" t="s">
        <v>1030</v>
      </c>
      <c r="B21" s="2016"/>
      <c r="C21" s="1657" t="s">
        <v>1023</v>
      </c>
      <c r="D21" s="1650" t="s">
        <v>1031</v>
      </c>
      <c r="E21" s="1658">
        <v>869</v>
      </c>
      <c r="F21" s="1640">
        <v>426</v>
      </c>
      <c r="G21" s="1639">
        <v>3113</v>
      </c>
      <c r="H21" s="1640">
        <v>864</v>
      </c>
      <c r="I21" s="1639">
        <v>34848867</v>
      </c>
      <c r="J21" s="1640">
        <v>868</v>
      </c>
      <c r="K21" s="1641">
        <v>79649421</v>
      </c>
    </row>
    <row r="22" spans="1:15" ht="15" customHeight="1" x14ac:dyDescent="0.25">
      <c r="A22" s="2021" t="s">
        <v>1032</v>
      </c>
      <c r="B22" s="2029"/>
      <c r="C22" s="1659" t="s">
        <v>1026</v>
      </c>
      <c r="D22" s="1660" t="s">
        <v>1033</v>
      </c>
      <c r="E22" s="1636">
        <v>1267</v>
      </c>
      <c r="F22" s="1637">
        <v>519</v>
      </c>
      <c r="G22" s="1636">
        <v>7296</v>
      </c>
      <c r="H22" s="1637">
        <v>1267</v>
      </c>
      <c r="I22" s="1636">
        <v>1161597</v>
      </c>
      <c r="J22" s="1637">
        <v>1260</v>
      </c>
      <c r="K22" s="1638">
        <v>10904537</v>
      </c>
      <c r="L22" s="703"/>
      <c r="M22" s="703"/>
      <c r="N22" s="703"/>
      <c r="O22" s="703"/>
    </row>
    <row r="23" spans="1:15" ht="15" customHeight="1" x14ac:dyDescent="0.25">
      <c r="A23" s="2015" t="s">
        <v>1034</v>
      </c>
      <c r="B23" s="2016"/>
      <c r="C23" s="2019" t="s">
        <v>1035</v>
      </c>
      <c r="D23" s="2020"/>
      <c r="E23" s="1639">
        <v>1223</v>
      </c>
      <c r="F23" s="1640">
        <v>1203</v>
      </c>
      <c r="G23" s="1639">
        <v>5328</v>
      </c>
      <c r="H23" s="1640">
        <v>1179</v>
      </c>
      <c r="I23" s="1639">
        <v>20315941</v>
      </c>
      <c r="J23" s="1640">
        <v>1218</v>
      </c>
      <c r="K23" s="1641">
        <v>21664372</v>
      </c>
    </row>
    <row r="24" spans="1:15" ht="15" customHeight="1" x14ac:dyDescent="0.25">
      <c r="A24" s="2013" t="s">
        <v>1036</v>
      </c>
      <c r="B24" s="2014"/>
      <c r="C24" s="1653"/>
      <c r="D24" s="1653" t="s">
        <v>1037</v>
      </c>
      <c r="E24" s="1654">
        <v>1146</v>
      </c>
      <c r="F24" s="1655">
        <v>1099</v>
      </c>
      <c r="G24" s="1654">
        <v>843</v>
      </c>
      <c r="H24" s="1655">
        <v>1138</v>
      </c>
      <c r="I24" s="1654">
        <v>20292891</v>
      </c>
      <c r="J24" s="1655">
        <v>1141</v>
      </c>
      <c r="K24" s="1656">
        <v>21641286</v>
      </c>
    </row>
    <row r="25" spans="1:15" ht="15" customHeight="1" x14ac:dyDescent="0.25">
      <c r="A25" s="2015" t="s">
        <v>1038</v>
      </c>
      <c r="B25" s="2016"/>
      <c r="C25" s="1661" t="s">
        <v>1039</v>
      </c>
      <c r="D25" s="1650" t="s">
        <v>1040</v>
      </c>
      <c r="E25" s="1658">
        <v>72</v>
      </c>
      <c r="F25" s="1640">
        <v>13</v>
      </c>
      <c r="G25" s="1639">
        <v>8524</v>
      </c>
      <c r="H25" s="1640">
        <v>36</v>
      </c>
      <c r="I25" s="1639">
        <v>22640</v>
      </c>
      <c r="J25" s="1640">
        <v>72</v>
      </c>
      <c r="K25" s="1641">
        <v>22676</v>
      </c>
    </row>
    <row r="26" spans="1:15" ht="15" customHeight="1" x14ac:dyDescent="0.25">
      <c r="A26" s="2021" t="s">
        <v>1041</v>
      </c>
      <c r="B26" s="2022"/>
      <c r="C26" s="1660" t="s">
        <v>1026</v>
      </c>
      <c r="D26" s="1660" t="s">
        <v>1042</v>
      </c>
      <c r="E26" s="1636">
        <v>5</v>
      </c>
      <c r="F26" s="1637">
        <v>90</v>
      </c>
      <c r="G26" s="1636">
        <v>5961</v>
      </c>
      <c r="H26" s="1637">
        <v>5</v>
      </c>
      <c r="I26" s="1636">
        <v>410</v>
      </c>
      <c r="J26" s="1637">
        <v>5</v>
      </c>
      <c r="K26" s="1638">
        <v>410</v>
      </c>
    </row>
    <row r="27" spans="1:15" ht="15" customHeight="1" x14ac:dyDescent="0.25">
      <c r="A27" s="2015" t="s">
        <v>1043</v>
      </c>
      <c r="B27" s="2016"/>
      <c r="C27" s="2019" t="s">
        <v>1044</v>
      </c>
      <c r="D27" s="2020"/>
      <c r="E27" s="1639">
        <v>1218</v>
      </c>
      <c r="F27" s="1640">
        <v>554</v>
      </c>
      <c r="G27" s="1639">
        <v>4498</v>
      </c>
      <c r="H27" s="1640">
        <v>1216</v>
      </c>
      <c r="I27" s="1639">
        <v>69225616</v>
      </c>
      <c r="J27" s="1640">
        <v>1218</v>
      </c>
      <c r="K27" s="1641">
        <v>88023676</v>
      </c>
    </row>
    <row r="28" spans="1:15" ht="15" customHeight="1" x14ac:dyDescent="0.25">
      <c r="A28" s="2013" t="s">
        <v>1045</v>
      </c>
      <c r="B28" s="2014"/>
      <c r="C28" s="1653"/>
      <c r="D28" s="1653" t="s">
        <v>1037</v>
      </c>
      <c r="E28" s="1654">
        <v>1196</v>
      </c>
      <c r="F28" s="1655">
        <v>551</v>
      </c>
      <c r="G28" s="1654">
        <v>5688</v>
      </c>
      <c r="H28" s="1655">
        <v>1194</v>
      </c>
      <c r="I28" s="1654">
        <v>69046809</v>
      </c>
      <c r="J28" s="1655">
        <v>1196</v>
      </c>
      <c r="K28" s="1656">
        <v>87704065</v>
      </c>
    </row>
    <row r="29" spans="1:15" ht="15" customHeight="1" x14ac:dyDescent="0.25">
      <c r="A29" s="2015" t="s">
        <v>1046</v>
      </c>
      <c r="B29" s="2016"/>
      <c r="C29" s="1661" t="s">
        <v>1047</v>
      </c>
      <c r="D29" s="1650" t="s">
        <v>1040</v>
      </c>
      <c r="E29" s="1658">
        <v>0</v>
      </c>
      <c r="F29" s="1640">
        <v>0</v>
      </c>
      <c r="G29" s="1639">
        <v>0</v>
      </c>
      <c r="H29" s="1640">
        <v>0</v>
      </c>
      <c r="I29" s="1639">
        <v>0</v>
      </c>
      <c r="J29" s="1640">
        <v>0</v>
      </c>
      <c r="K29" s="1641">
        <v>0</v>
      </c>
    </row>
    <row r="30" spans="1:15" ht="15" customHeight="1" x14ac:dyDescent="0.25">
      <c r="A30" s="2015" t="s">
        <v>1048</v>
      </c>
      <c r="B30" s="2016"/>
      <c r="C30" s="1661" t="s">
        <v>1026</v>
      </c>
      <c r="D30" s="1650" t="s">
        <v>1042</v>
      </c>
      <c r="E30" s="1658">
        <v>3</v>
      </c>
      <c r="F30" s="1640">
        <v>0</v>
      </c>
      <c r="G30" s="1639">
        <v>3538</v>
      </c>
      <c r="H30" s="1640">
        <v>3</v>
      </c>
      <c r="I30" s="1639">
        <v>24472</v>
      </c>
      <c r="J30" s="1640">
        <v>3</v>
      </c>
      <c r="K30" s="1641">
        <v>56163</v>
      </c>
    </row>
    <row r="31" spans="1:15" ht="15" customHeight="1" x14ac:dyDescent="0.25">
      <c r="A31" s="2015" t="s">
        <v>1049</v>
      </c>
      <c r="B31" s="2016"/>
      <c r="C31" s="1660"/>
      <c r="D31" s="1660" t="s">
        <v>1050</v>
      </c>
      <c r="E31" s="1636">
        <v>19</v>
      </c>
      <c r="F31" s="1637">
        <v>2</v>
      </c>
      <c r="G31" s="1636">
        <v>5272</v>
      </c>
      <c r="H31" s="1637">
        <v>19</v>
      </c>
      <c r="I31" s="1636">
        <v>154335</v>
      </c>
      <c r="J31" s="1637">
        <v>19</v>
      </c>
      <c r="K31" s="1638">
        <v>263448</v>
      </c>
    </row>
    <row r="32" spans="1:15" ht="15" customHeight="1" x14ac:dyDescent="0.25">
      <c r="A32" s="2015" t="s">
        <v>1051</v>
      </c>
      <c r="B32" s="2016"/>
      <c r="C32" s="2019" t="s">
        <v>1052</v>
      </c>
      <c r="D32" s="2020"/>
      <c r="E32" s="1639">
        <v>1665</v>
      </c>
      <c r="F32" s="1640"/>
      <c r="G32" s="1639"/>
      <c r="H32" s="1640">
        <v>1664</v>
      </c>
      <c r="I32" s="1639">
        <v>3482548</v>
      </c>
      <c r="J32" s="1640">
        <v>1657</v>
      </c>
      <c r="K32" s="1641">
        <v>11520413</v>
      </c>
    </row>
    <row r="33" spans="1:13" ht="15" customHeight="1" x14ac:dyDescent="0.25">
      <c r="A33" s="2013" t="s">
        <v>1053</v>
      </c>
      <c r="B33" s="2014"/>
      <c r="C33" s="1653"/>
      <c r="D33" s="1653" t="s">
        <v>1037</v>
      </c>
      <c r="E33" s="1654">
        <v>1659</v>
      </c>
      <c r="F33" s="1655"/>
      <c r="G33" s="1654"/>
      <c r="H33" s="1655">
        <v>1658</v>
      </c>
      <c r="I33" s="1654">
        <v>3473943</v>
      </c>
      <c r="J33" s="1655">
        <v>1651</v>
      </c>
      <c r="K33" s="1656">
        <v>11482350</v>
      </c>
    </row>
    <row r="34" spans="1:13" ht="15" customHeight="1" x14ac:dyDescent="0.25">
      <c r="A34" s="2015" t="s">
        <v>1054</v>
      </c>
      <c r="B34" s="2016"/>
      <c r="C34" s="1661" t="s">
        <v>1055</v>
      </c>
      <c r="D34" s="1650" t="s">
        <v>1040</v>
      </c>
      <c r="E34" s="1658">
        <v>0</v>
      </c>
      <c r="F34" s="1640"/>
      <c r="G34" s="1639"/>
      <c r="H34" s="1640">
        <v>0</v>
      </c>
      <c r="I34" s="1639">
        <v>0</v>
      </c>
      <c r="J34" s="1640">
        <v>0</v>
      </c>
      <c r="K34" s="1641">
        <v>0</v>
      </c>
    </row>
    <row r="35" spans="1:13" ht="15" customHeight="1" x14ac:dyDescent="0.25">
      <c r="A35" s="2021" t="s">
        <v>1056</v>
      </c>
      <c r="B35" s="2022"/>
      <c r="C35" s="1660" t="s">
        <v>1026</v>
      </c>
      <c r="D35" s="1660" t="s">
        <v>1042</v>
      </c>
      <c r="E35" s="1636">
        <v>6</v>
      </c>
      <c r="F35" s="1637"/>
      <c r="G35" s="1636"/>
      <c r="H35" s="1637">
        <v>6</v>
      </c>
      <c r="I35" s="1636">
        <v>8605</v>
      </c>
      <c r="J35" s="1637">
        <v>6</v>
      </c>
      <c r="K35" s="1638">
        <v>38063</v>
      </c>
    </row>
    <row r="36" spans="1:13" ht="15" customHeight="1" x14ac:dyDescent="0.25">
      <c r="A36" s="2013" t="s">
        <v>1057</v>
      </c>
      <c r="B36" s="2014"/>
      <c r="C36" s="1662"/>
      <c r="D36" s="1661" t="s">
        <v>1058</v>
      </c>
      <c r="E36" s="1654">
        <v>139</v>
      </c>
      <c r="F36" s="1655">
        <v>521</v>
      </c>
      <c r="G36" s="1654">
        <v>6458</v>
      </c>
      <c r="H36" s="1655">
        <v>105</v>
      </c>
      <c r="I36" s="1654">
        <v>621677</v>
      </c>
      <c r="J36" s="1655">
        <v>139</v>
      </c>
      <c r="K36" s="1656">
        <v>1022105</v>
      </c>
    </row>
    <row r="37" spans="1:13" ht="15" customHeight="1" x14ac:dyDescent="0.25">
      <c r="A37" s="2015" t="s">
        <v>1059</v>
      </c>
      <c r="B37" s="2016"/>
      <c r="C37" s="1661" t="s">
        <v>1060</v>
      </c>
      <c r="D37" s="1650" t="s">
        <v>1061</v>
      </c>
      <c r="E37" s="1658">
        <v>6</v>
      </c>
      <c r="F37" s="1640">
        <v>9</v>
      </c>
      <c r="G37" s="1639">
        <v>8414</v>
      </c>
      <c r="H37" s="1640">
        <v>6</v>
      </c>
      <c r="I37" s="1639">
        <v>1112079</v>
      </c>
      <c r="J37" s="1640">
        <v>6</v>
      </c>
      <c r="K37" s="1641">
        <v>1114064</v>
      </c>
    </row>
    <row r="38" spans="1:13" ht="15" customHeight="1" thickBot="1" x14ac:dyDescent="0.3">
      <c r="A38" s="2017">
        <v>28</v>
      </c>
      <c r="B38" s="2018"/>
      <c r="C38" s="1663" t="s">
        <v>1026</v>
      </c>
      <c r="D38" s="1664" t="s">
        <v>1062</v>
      </c>
      <c r="E38" s="1665">
        <v>277</v>
      </c>
      <c r="F38" s="1666">
        <v>70</v>
      </c>
      <c r="G38" s="1665">
        <v>4032</v>
      </c>
      <c r="H38" s="1666">
        <v>277</v>
      </c>
      <c r="I38" s="1665">
        <v>9657719</v>
      </c>
      <c r="J38" s="1666">
        <v>272</v>
      </c>
      <c r="K38" s="1667">
        <v>13708144</v>
      </c>
      <c r="M38" s="703"/>
    </row>
    <row r="40" spans="1:13" x14ac:dyDescent="0.2">
      <c r="E40" s="703"/>
    </row>
    <row r="41" spans="1:13" x14ac:dyDescent="0.2">
      <c r="E41" s="703"/>
      <c r="F41" s="703"/>
      <c r="G41" s="703"/>
      <c r="H41" s="703"/>
      <c r="I41" s="703"/>
      <c r="J41" s="703"/>
      <c r="K41" s="703"/>
    </row>
  </sheetData>
  <mergeCells count="49">
    <mergeCell ref="A2:K2"/>
    <mergeCell ref="A4:J4"/>
    <mergeCell ref="A5:B10"/>
    <mergeCell ref="C5:D10"/>
    <mergeCell ref="E5:K5"/>
    <mergeCell ref="E6:G6"/>
    <mergeCell ref="H6:K6"/>
    <mergeCell ref="E7:E8"/>
    <mergeCell ref="F7:G8"/>
    <mergeCell ref="H7:I7"/>
    <mergeCell ref="J7:K8"/>
    <mergeCell ref="H8:I8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25:B25"/>
    <mergeCell ref="A16:B16"/>
    <mergeCell ref="A17:B17"/>
    <mergeCell ref="C17:D17"/>
    <mergeCell ref="A18:B18"/>
    <mergeCell ref="A19:B19"/>
    <mergeCell ref="A20:B20"/>
    <mergeCell ref="A21:B21"/>
    <mergeCell ref="A22:B22"/>
    <mergeCell ref="A23:B23"/>
    <mergeCell ref="C23:D23"/>
    <mergeCell ref="A24:B24"/>
    <mergeCell ref="C32:D32"/>
    <mergeCell ref="A33:B33"/>
    <mergeCell ref="A34:B34"/>
    <mergeCell ref="A35:B35"/>
    <mergeCell ref="A26:B26"/>
    <mergeCell ref="A27:B27"/>
    <mergeCell ref="C27:D27"/>
    <mergeCell ref="A28:B28"/>
    <mergeCell ref="A29:B29"/>
    <mergeCell ref="A30:B30"/>
    <mergeCell ref="A36:B36"/>
    <mergeCell ref="A37:B37"/>
    <mergeCell ref="A38:B38"/>
    <mergeCell ref="A31:B31"/>
    <mergeCell ref="A32:B3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>
    <oddHeader>&amp;R&amp;"Calibri,Félkövér"&amp;11 &amp;12 27. melléklet a 10/2024. (V.31.)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C0F1-DBAC-4AE8-B983-1D30CC37C761}">
  <dimension ref="B1:N90"/>
  <sheetViews>
    <sheetView zoomScaleNormal="100" workbookViewId="0">
      <selection activeCell="I87" sqref="I87"/>
    </sheetView>
  </sheetViews>
  <sheetFormatPr defaultColWidth="10.6640625" defaultRowHeight="15" x14ac:dyDescent="0.2"/>
  <cols>
    <col min="1" max="1" width="10.6640625" style="705"/>
    <col min="2" max="2" width="11.5" style="704" customWidth="1"/>
    <col min="3" max="3" width="8.83203125" style="705" customWidth="1"/>
    <col min="4" max="4" width="118" style="705" customWidth="1"/>
    <col min="5" max="5" width="26" style="705" customWidth="1"/>
    <col min="6" max="6" width="23.5" style="705" customWidth="1"/>
    <col min="7" max="7" width="25.1640625" style="705" customWidth="1"/>
    <col min="8" max="8" width="22.5" style="706" customWidth="1"/>
    <col min="9" max="9" width="19.83203125" style="705" bestFit="1" customWidth="1"/>
    <col min="10" max="10" width="18.83203125" style="705" customWidth="1"/>
    <col min="11" max="11" width="10.6640625" style="705"/>
    <col min="12" max="12" width="19.1640625" style="705" bestFit="1" customWidth="1"/>
    <col min="13" max="13" width="28" style="705" customWidth="1"/>
    <col min="14" max="16384" width="10.6640625" style="705"/>
  </cols>
  <sheetData>
    <row r="1" spans="2:14" ht="18" x14ac:dyDescent="0.25">
      <c r="I1" s="707"/>
    </row>
    <row r="2" spans="2:14" ht="18" x14ac:dyDescent="0.25">
      <c r="E2" s="666"/>
      <c r="F2" s="708"/>
    </row>
    <row r="5" spans="2:14" ht="21.75" customHeight="1" x14ac:dyDescent="0.3">
      <c r="B5" s="2065" t="s">
        <v>1377</v>
      </c>
      <c r="C5" s="2065"/>
      <c r="D5" s="2065"/>
      <c r="E5" s="2065"/>
      <c r="F5" s="2065"/>
      <c r="G5" s="2065"/>
    </row>
    <row r="6" spans="2:14" ht="16.5" thickBot="1" x14ac:dyDescent="0.3">
      <c r="B6" s="709"/>
      <c r="C6" s="710"/>
      <c r="D6" s="710"/>
      <c r="E6" s="710"/>
      <c r="F6" s="710"/>
      <c r="G6" s="627" t="s">
        <v>15</v>
      </c>
    </row>
    <row r="7" spans="2:14" s="707" customFormat="1" ht="25.5" customHeight="1" thickBot="1" x14ac:dyDescent="0.3">
      <c r="B7" s="1258" t="s">
        <v>754</v>
      </c>
      <c r="C7" s="1259"/>
      <c r="D7" s="1259"/>
      <c r="E7" s="2066"/>
      <c r="F7" s="2067"/>
      <c r="G7" s="2068"/>
      <c r="H7" s="711"/>
    </row>
    <row r="8" spans="2:14" ht="25.5" customHeight="1" thickBot="1" x14ac:dyDescent="0.3">
      <c r="B8" s="1262"/>
      <c r="C8" s="1259"/>
      <c r="D8" s="1259"/>
      <c r="E8" s="1263" t="s">
        <v>1063</v>
      </c>
      <c r="F8" s="1261" t="s">
        <v>1064</v>
      </c>
      <c r="G8" s="1264" t="s">
        <v>1065</v>
      </c>
    </row>
    <row r="9" spans="2:14" s="713" customFormat="1" ht="25.5" customHeight="1" thickBot="1" x14ac:dyDescent="0.35">
      <c r="B9" s="1265" t="s">
        <v>1066</v>
      </c>
      <c r="C9" s="1266" t="s">
        <v>1067</v>
      </c>
      <c r="D9" s="1266"/>
      <c r="E9" s="1267">
        <f>+E10+E18+E49+E53</f>
        <v>129922090</v>
      </c>
      <c r="F9" s="1267">
        <f>+F10+F18+F49+F53</f>
        <v>30221269</v>
      </c>
      <c r="G9" s="1268">
        <f>+G10+G18+G49+G53</f>
        <v>99700821</v>
      </c>
      <c r="H9" s="712"/>
    </row>
    <row r="10" spans="2:14" s="715" customFormat="1" ht="25.5" customHeight="1" thickBot="1" x14ac:dyDescent="0.35">
      <c r="B10" s="1260" t="s">
        <v>766</v>
      </c>
      <c r="C10" s="1269" t="s">
        <v>1068</v>
      </c>
      <c r="D10" s="1269"/>
      <c r="E10" s="1270">
        <f>+E11+E15</f>
        <v>329075</v>
      </c>
      <c r="F10" s="1270">
        <f>+F11+F15</f>
        <v>270731</v>
      </c>
      <c r="G10" s="1271">
        <f>+G15+G11</f>
        <v>58344</v>
      </c>
      <c r="H10" s="714"/>
      <c r="I10" s="713"/>
      <c r="L10" s="713"/>
      <c r="M10" s="713"/>
    </row>
    <row r="11" spans="2:14" s="716" customFormat="1" ht="25.5" customHeight="1" x14ac:dyDescent="0.3">
      <c r="B11" s="1272" t="s">
        <v>1069</v>
      </c>
      <c r="C11" s="1273" t="s">
        <v>758</v>
      </c>
      <c r="D11" s="1273"/>
      <c r="E11" s="1274">
        <f>SUM(E12:E14)</f>
        <v>185365</v>
      </c>
      <c r="F11" s="1274">
        <f>SUM(F12:F14)</f>
        <v>142493</v>
      </c>
      <c r="G11" s="1275">
        <f>SUM(G12:G14)</f>
        <v>42872</v>
      </c>
      <c r="H11" s="715"/>
      <c r="I11" s="713"/>
      <c r="J11" s="715"/>
      <c r="K11" s="715"/>
      <c r="L11" s="713"/>
      <c r="M11" s="713"/>
      <c r="N11" s="715"/>
    </row>
    <row r="12" spans="2:14" ht="25.5" customHeight="1" x14ac:dyDescent="0.3">
      <c r="B12" s="1276"/>
      <c r="C12" s="1277" t="s">
        <v>1070</v>
      </c>
      <c r="D12" s="1277"/>
      <c r="E12" s="1278">
        <v>38333</v>
      </c>
      <c r="F12" s="1279">
        <v>18788</v>
      </c>
      <c r="G12" s="1280">
        <f>+E12-F12</f>
        <v>19545</v>
      </c>
      <c r="H12" s="717"/>
      <c r="I12" s="713"/>
      <c r="J12" s="715"/>
      <c r="K12" s="715"/>
      <c r="L12" s="713"/>
      <c r="M12" s="713"/>
      <c r="N12" s="715"/>
    </row>
    <row r="13" spans="2:14" ht="25.5" customHeight="1" x14ac:dyDescent="0.3">
      <c r="B13" s="1276"/>
      <c r="C13" s="1277" t="s">
        <v>1071</v>
      </c>
      <c r="D13" s="1277"/>
      <c r="E13" s="1278">
        <v>147032</v>
      </c>
      <c r="F13" s="1279">
        <f>123706-1</f>
        <v>123705</v>
      </c>
      <c r="G13" s="1280">
        <f t="shared" ref="G13:G14" si="0">+E13-F13</f>
        <v>23327</v>
      </c>
      <c r="H13" s="717"/>
      <c r="I13" s="713"/>
      <c r="J13" s="715"/>
      <c r="K13" s="715"/>
      <c r="L13" s="713"/>
      <c r="M13" s="713"/>
      <c r="N13" s="715"/>
    </row>
    <row r="14" spans="2:14" ht="25.5" customHeight="1" x14ac:dyDescent="0.3">
      <c r="B14" s="1281"/>
      <c r="C14" s="1282" t="s">
        <v>1072</v>
      </c>
      <c r="D14" s="1282"/>
      <c r="E14" s="1283">
        <v>0</v>
      </c>
      <c r="F14" s="1284">
        <v>0</v>
      </c>
      <c r="G14" s="1280">
        <f t="shared" si="0"/>
        <v>0</v>
      </c>
      <c r="H14" s="717"/>
      <c r="I14" s="713"/>
      <c r="J14" s="715"/>
      <c r="K14" s="715"/>
      <c r="L14" s="713"/>
      <c r="M14" s="713"/>
      <c r="N14" s="715"/>
    </row>
    <row r="15" spans="2:14" s="716" customFormat="1" ht="25.5" customHeight="1" x14ac:dyDescent="0.3">
      <c r="B15" s="1285" t="s">
        <v>764</v>
      </c>
      <c r="C15" s="1286" t="s">
        <v>763</v>
      </c>
      <c r="D15" s="1286"/>
      <c r="E15" s="1287">
        <f>SUM(E16:E17)</f>
        <v>143710</v>
      </c>
      <c r="F15" s="1287">
        <f t="shared" ref="F15:G15" si="1">SUM(F16:F17)</f>
        <v>128238</v>
      </c>
      <c r="G15" s="1288">
        <f t="shared" si="1"/>
        <v>15472</v>
      </c>
      <c r="H15" s="717"/>
      <c r="I15" s="713"/>
      <c r="J15" s="715"/>
      <c r="K15" s="715"/>
      <c r="L15" s="713"/>
      <c r="M15" s="713"/>
      <c r="N15" s="715"/>
    </row>
    <row r="16" spans="2:14" ht="25.5" customHeight="1" x14ac:dyDescent="0.3">
      <c r="B16" s="1276"/>
      <c r="C16" s="1277" t="s">
        <v>1070</v>
      </c>
      <c r="D16" s="1277"/>
      <c r="E16" s="1278">
        <v>8595</v>
      </c>
      <c r="F16" s="1279">
        <v>2894</v>
      </c>
      <c r="G16" s="1289">
        <f>+E16-F16</f>
        <v>5701</v>
      </c>
      <c r="H16" s="717"/>
      <c r="I16" s="713"/>
      <c r="J16" s="715"/>
      <c r="K16" s="715"/>
      <c r="L16" s="713"/>
      <c r="M16" s="713"/>
      <c r="N16" s="715"/>
    </row>
    <row r="17" spans="2:14" ht="25.5" customHeight="1" thickBot="1" x14ac:dyDescent="0.35">
      <c r="B17" s="1281"/>
      <c r="C17" s="1282" t="s">
        <v>1071</v>
      </c>
      <c r="D17" s="1282"/>
      <c r="E17" s="1283">
        <v>135115</v>
      </c>
      <c r="F17" s="1284">
        <v>125344</v>
      </c>
      <c r="G17" s="1289">
        <f>+E17-F17</f>
        <v>9771</v>
      </c>
      <c r="H17" s="717"/>
      <c r="I17" s="713"/>
      <c r="J17" s="715"/>
      <c r="K17" s="715"/>
      <c r="L17" s="713"/>
      <c r="M17" s="713"/>
      <c r="N17" s="715"/>
    </row>
    <row r="18" spans="2:14" s="715" customFormat="1" ht="25.5" customHeight="1" thickBot="1" x14ac:dyDescent="0.35">
      <c r="B18" s="1260" t="s">
        <v>778</v>
      </c>
      <c r="C18" s="1269" t="s">
        <v>1073</v>
      </c>
      <c r="D18" s="1269"/>
      <c r="E18" s="1290">
        <f>+E19+E40+E44+E45</f>
        <v>122186676</v>
      </c>
      <c r="F18" s="1290">
        <f>+F19+F40+F44+F45</f>
        <v>29875162</v>
      </c>
      <c r="G18" s="1291">
        <f>E18-F18</f>
        <v>92311514</v>
      </c>
      <c r="H18" s="714"/>
      <c r="I18" s="713"/>
      <c r="L18" s="713"/>
      <c r="M18" s="713"/>
    </row>
    <row r="19" spans="2:14" s="718" customFormat="1" ht="25.5" customHeight="1" x14ac:dyDescent="0.3">
      <c r="B19" s="1272" t="s">
        <v>769</v>
      </c>
      <c r="C19" s="1273" t="s">
        <v>768</v>
      </c>
      <c r="D19" s="1273"/>
      <c r="E19" s="1292">
        <f>+E20+E27+E36</f>
        <v>113668393</v>
      </c>
      <c r="F19" s="1292">
        <f>+F20+F27+F36</f>
        <v>25784252</v>
      </c>
      <c r="G19" s="1293">
        <f>+G20+G27+G36</f>
        <v>87884141</v>
      </c>
      <c r="H19" s="714"/>
      <c r="I19" s="713"/>
      <c r="J19" s="715"/>
      <c r="K19" s="715"/>
      <c r="L19" s="713"/>
      <c r="M19" s="713"/>
      <c r="N19" s="715"/>
    </row>
    <row r="20" spans="2:14" s="719" customFormat="1" ht="25.5" customHeight="1" x14ac:dyDescent="0.3">
      <c r="B20" s="1285"/>
      <c r="C20" s="1294" t="s">
        <v>1074</v>
      </c>
      <c r="D20" s="1286"/>
      <c r="E20" s="1295">
        <f>SUM(E21:E26)</f>
        <v>58166091</v>
      </c>
      <c r="F20" s="1295">
        <f>SUM(F21:F26)</f>
        <v>16885081</v>
      </c>
      <c r="G20" s="1296">
        <f>SUM(G21:G26)</f>
        <v>41281010</v>
      </c>
      <c r="H20" s="717"/>
      <c r="I20" s="713"/>
      <c r="J20" s="715"/>
      <c r="L20" s="713"/>
      <c r="M20" s="713"/>
    </row>
    <row r="21" spans="2:14" ht="25.5" customHeight="1" x14ac:dyDescent="0.3">
      <c r="B21" s="1281"/>
      <c r="C21" s="1297" t="s">
        <v>1075</v>
      </c>
      <c r="D21" s="1282" t="s">
        <v>1076</v>
      </c>
      <c r="E21" s="1283">
        <v>38348007</v>
      </c>
      <c r="F21" s="1284">
        <v>12877470</v>
      </c>
      <c r="G21" s="1298">
        <f>+E21-F21</f>
        <v>25470537</v>
      </c>
      <c r="H21" s="717"/>
      <c r="I21" s="713"/>
      <c r="J21" s="715"/>
      <c r="L21" s="713"/>
      <c r="M21" s="713"/>
    </row>
    <row r="22" spans="2:14" ht="25.5" customHeight="1" x14ac:dyDescent="0.3">
      <c r="B22" s="1276"/>
      <c r="C22" s="1299" t="s">
        <v>1075</v>
      </c>
      <c r="D22" s="1277" t="s">
        <v>1077</v>
      </c>
      <c r="E22" s="1278">
        <v>11241903</v>
      </c>
      <c r="F22" s="1279">
        <v>3315170</v>
      </c>
      <c r="G22" s="1280">
        <f t="shared" ref="G22:G26" si="2">+E22-F22</f>
        <v>7926733</v>
      </c>
      <c r="H22" s="717"/>
      <c r="I22" s="713"/>
      <c r="J22" s="715"/>
      <c r="L22" s="713"/>
      <c r="M22" s="713"/>
    </row>
    <row r="23" spans="2:14" ht="25.5" customHeight="1" x14ac:dyDescent="0.3">
      <c r="B23" s="1276"/>
      <c r="C23" s="1299" t="s">
        <v>1075</v>
      </c>
      <c r="D23" s="1277" t="s">
        <v>1078</v>
      </c>
      <c r="E23" s="1278">
        <v>687649</v>
      </c>
      <c r="F23" s="1279">
        <v>189</v>
      </c>
      <c r="G23" s="1280">
        <f t="shared" si="2"/>
        <v>687460</v>
      </c>
      <c r="H23" s="717"/>
      <c r="I23" s="713"/>
      <c r="J23" s="715"/>
      <c r="L23" s="713"/>
      <c r="M23" s="713"/>
    </row>
    <row r="24" spans="2:14" ht="25.5" customHeight="1" x14ac:dyDescent="0.3">
      <c r="B24" s="1276"/>
      <c r="C24" s="1299" t="s">
        <v>1075</v>
      </c>
      <c r="D24" s="1277" t="s">
        <v>1079</v>
      </c>
      <c r="E24" s="1278">
        <v>759195</v>
      </c>
      <c r="F24" s="1279">
        <v>212851</v>
      </c>
      <c r="G24" s="1280">
        <f t="shared" si="2"/>
        <v>546344</v>
      </c>
      <c r="H24" s="717"/>
      <c r="I24" s="713"/>
      <c r="J24" s="715"/>
      <c r="L24" s="713"/>
      <c r="M24" s="713"/>
    </row>
    <row r="25" spans="2:14" ht="25.5" customHeight="1" x14ac:dyDescent="0.3">
      <c r="B25" s="1276"/>
      <c r="C25" s="1299" t="s">
        <v>1075</v>
      </c>
      <c r="D25" s="1277" t="s">
        <v>1080</v>
      </c>
      <c r="E25" s="1278">
        <f>64885+39583</f>
        <v>104468</v>
      </c>
      <c r="F25" s="1279">
        <f>7551+0</f>
        <v>7551</v>
      </c>
      <c r="G25" s="1280">
        <f t="shared" si="2"/>
        <v>96917</v>
      </c>
      <c r="H25" s="717"/>
      <c r="I25" s="713"/>
      <c r="J25" s="715"/>
      <c r="L25" s="713"/>
      <c r="M25" s="713"/>
    </row>
    <row r="26" spans="2:14" ht="39" customHeight="1" x14ac:dyDescent="0.3">
      <c r="B26" s="1281"/>
      <c r="C26" s="1300" t="s">
        <v>1075</v>
      </c>
      <c r="D26" s="1301" t="s">
        <v>1081</v>
      </c>
      <c r="E26" s="1283">
        <v>7024869</v>
      </c>
      <c r="F26" s="1284">
        <v>471850</v>
      </c>
      <c r="G26" s="1302">
        <f t="shared" si="2"/>
        <v>6553019</v>
      </c>
      <c r="H26" s="717"/>
      <c r="I26" s="713"/>
      <c r="J26" s="715"/>
      <c r="L26" s="713"/>
      <c r="M26" s="713"/>
    </row>
    <row r="27" spans="2:14" s="719" customFormat="1" ht="25.5" customHeight="1" x14ac:dyDescent="0.3">
      <c r="B27" s="1285"/>
      <c r="C27" s="1294" t="s">
        <v>1082</v>
      </c>
      <c r="D27" s="1303"/>
      <c r="E27" s="1295">
        <f>SUM(E28:E35)</f>
        <v>54340705</v>
      </c>
      <c r="F27" s="1295">
        <f>SUM(F28:F35)</f>
        <v>8540913</v>
      </c>
      <c r="G27" s="1296">
        <f>SUM(G28:G35)</f>
        <v>45799792</v>
      </c>
      <c r="H27" s="717"/>
      <c r="I27" s="713"/>
      <c r="J27" s="715"/>
      <c r="L27" s="713"/>
      <c r="M27" s="713"/>
    </row>
    <row r="28" spans="2:14" ht="25.5" customHeight="1" x14ac:dyDescent="0.3">
      <c r="B28" s="1281"/>
      <c r="C28" s="1297" t="s">
        <v>1075</v>
      </c>
      <c r="D28" s="1284" t="s">
        <v>1083</v>
      </c>
      <c r="E28" s="1283">
        <v>4729154</v>
      </c>
      <c r="F28" s="1284">
        <v>1800900</v>
      </c>
      <c r="G28" s="1289">
        <f>E28-F28</f>
        <v>2928254</v>
      </c>
      <c r="H28" s="717"/>
      <c r="I28" s="713"/>
      <c r="J28" s="715"/>
      <c r="L28" s="713"/>
      <c r="M28" s="713"/>
    </row>
    <row r="29" spans="2:14" ht="25.5" customHeight="1" x14ac:dyDescent="0.3">
      <c r="B29" s="1276"/>
      <c r="C29" s="1299" t="s">
        <v>1075</v>
      </c>
      <c r="D29" s="1279" t="s">
        <v>1084</v>
      </c>
      <c r="E29" s="1278">
        <v>335298</v>
      </c>
      <c r="F29" s="1279">
        <v>58303</v>
      </c>
      <c r="G29" s="1280">
        <f t="shared" ref="G29:G35" si="3">E29-F29</f>
        <v>276995</v>
      </c>
      <c r="H29" s="717"/>
      <c r="I29" s="713"/>
      <c r="J29" s="715"/>
      <c r="L29" s="713"/>
      <c r="M29" s="713"/>
    </row>
    <row r="30" spans="2:14" ht="25.5" customHeight="1" x14ac:dyDescent="0.3">
      <c r="B30" s="1276"/>
      <c r="C30" s="1299" t="s">
        <v>1075</v>
      </c>
      <c r="D30" s="1279" t="s">
        <v>1085</v>
      </c>
      <c r="E30" s="1278">
        <v>412033</v>
      </c>
      <c r="F30" s="1279">
        <v>164324</v>
      </c>
      <c r="G30" s="1280">
        <f t="shared" si="3"/>
        <v>247709</v>
      </c>
      <c r="H30" s="717"/>
      <c r="I30" s="713"/>
      <c r="J30" s="715"/>
      <c r="L30" s="713"/>
      <c r="M30" s="713"/>
    </row>
    <row r="31" spans="2:14" ht="25.5" customHeight="1" x14ac:dyDescent="0.3">
      <c r="B31" s="1276"/>
      <c r="C31" s="1299" t="s">
        <v>1075</v>
      </c>
      <c r="D31" s="1279" t="s">
        <v>1079</v>
      </c>
      <c r="E31" s="1278">
        <v>5819295</v>
      </c>
      <c r="F31" s="1279">
        <v>1675284</v>
      </c>
      <c r="G31" s="1280">
        <f t="shared" si="3"/>
        <v>4144011</v>
      </c>
      <c r="H31" s="717"/>
      <c r="I31" s="713"/>
      <c r="J31" s="715"/>
      <c r="L31" s="713"/>
      <c r="M31" s="713"/>
    </row>
    <row r="32" spans="2:14" ht="25.5" customHeight="1" x14ac:dyDescent="0.3">
      <c r="B32" s="1276"/>
      <c r="C32" s="1299" t="s">
        <v>1075</v>
      </c>
      <c r="D32" s="1279" t="s">
        <v>1086</v>
      </c>
      <c r="E32" s="1278">
        <f>1690386+205543</f>
        <v>1895929</v>
      </c>
      <c r="F32" s="1279">
        <f>10781+1576</f>
        <v>12357</v>
      </c>
      <c r="G32" s="1280">
        <f t="shared" si="3"/>
        <v>1883572</v>
      </c>
      <c r="H32" s="717"/>
      <c r="I32" s="713"/>
      <c r="J32" s="715"/>
      <c r="L32" s="713"/>
      <c r="M32" s="713"/>
    </row>
    <row r="33" spans="2:13" ht="25.5" customHeight="1" x14ac:dyDescent="0.3">
      <c r="B33" s="1276"/>
      <c r="C33" s="1299" t="s">
        <v>1075</v>
      </c>
      <c r="D33" s="1304" t="s">
        <v>1087</v>
      </c>
      <c r="E33" s="1278">
        <v>201300</v>
      </c>
      <c r="F33" s="1279">
        <v>21064</v>
      </c>
      <c r="G33" s="1280">
        <f t="shared" si="3"/>
        <v>180236</v>
      </c>
      <c r="H33" s="717"/>
      <c r="I33" s="713"/>
      <c r="J33" s="715"/>
      <c r="L33" s="713"/>
      <c r="M33" s="713"/>
    </row>
    <row r="34" spans="2:13" ht="25.5" customHeight="1" x14ac:dyDescent="0.3">
      <c r="B34" s="1276"/>
      <c r="C34" s="1299" t="s">
        <v>1075</v>
      </c>
      <c r="D34" s="1279" t="s">
        <v>1080</v>
      </c>
      <c r="E34" s="1278">
        <f>287278+21191+1616319+7590966+42959+9330770+12546880+1750981+600669+514943</f>
        <v>34302956</v>
      </c>
      <c r="F34" s="1279">
        <f>59487+4238+400649+1907511+7329+440583+584724+202017+70617+186900</f>
        <v>3864055</v>
      </c>
      <c r="G34" s="1280">
        <f t="shared" si="3"/>
        <v>30438901</v>
      </c>
      <c r="H34" s="717"/>
      <c r="I34" s="713"/>
      <c r="J34" s="715"/>
      <c r="L34" s="713"/>
      <c r="M34" s="713"/>
    </row>
    <row r="35" spans="2:13" ht="46.15" customHeight="1" x14ac:dyDescent="0.3">
      <c r="B35" s="1281"/>
      <c r="C35" s="1300" t="s">
        <v>1075</v>
      </c>
      <c r="D35" s="1305" t="s">
        <v>1088</v>
      </c>
      <c r="E35" s="1283">
        <v>6644740</v>
      </c>
      <c r="F35" s="1284">
        <v>944626</v>
      </c>
      <c r="G35" s="1280">
        <f t="shared" si="3"/>
        <v>5700114</v>
      </c>
      <c r="H35" s="717"/>
      <c r="I35" s="713"/>
      <c r="J35" s="715"/>
      <c r="L35" s="713"/>
      <c r="M35" s="713"/>
    </row>
    <row r="36" spans="2:13" s="719" customFormat="1" ht="25.5" customHeight="1" x14ac:dyDescent="0.3">
      <c r="B36" s="1285"/>
      <c r="C36" s="1294" t="s">
        <v>1072</v>
      </c>
      <c r="D36" s="1303"/>
      <c r="E36" s="1295">
        <f>SUM(E37:E39)</f>
        <v>1161597</v>
      </c>
      <c r="F36" s="1295">
        <f>SUM(F37:F39)</f>
        <v>358258</v>
      </c>
      <c r="G36" s="1296">
        <f>SUM(G37:G39)</f>
        <v>803339</v>
      </c>
      <c r="H36" s="717"/>
      <c r="I36" s="713"/>
      <c r="J36" s="715"/>
      <c r="L36" s="713"/>
      <c r="M36" s="713"/>
    </row>
    <row r="37" spans="2:13" ht="25.5" customHeight="1" x14ac:dyDescent="0.3">
      <c r="B37" s="1281"/>
      <c r="C37" s="1297" t="s">
        <v>1075</v>
      </c>
      <c r="D37" s="1284" t="s">
        <v>1089</v>
      </c>
      <c r="E37" s="1283">
        <v>188773</v>
      </c>
      <c r="F37" s="1284">
        <v>14627</v>
      </c>
      <c r="G37" s="1289">
        <f>E37-F37</f>
        <v>174146</v>
      </c>
      <c r="H37" s="717"/>
      <c r="I37" s="713"/>
      <c r="J37" s="715"/>
      <c r="L37" s="713"/>
      <c r="M37" s="713"/>
    </row>
    <row r="38" spans="2:13" ht="25.5" customHeight="1" x14ac:dyDescent="0.3">
      <c r="B38" s="1276"/>
      <c r="C38" s="1299" t="s">
        <v>1075</v>
      </c>
      <c r="D38" s="1279" t="s">
        <v>1080</v>
      </c>
      <c r="E38" s="1278">
        <f>956099+13659</f>
        <v>969758</v>
      </c>
      <c r="F38" s="1279">
        <f>340968+1180</f>
        <v>342148</v>
      </c>
      <c r="G38" s="1280">
        <f>E38-F38</f>
        <v>627610</v>
      </c>
      <c r="H38" s="717"/>
      <c r="I38" s="713"/>
      <c r="J38" s="715"/>
      <c r="L38" s="713"/>
      <c r="M38" s="713"/>
    </row>
    <row r="39" spans="2:13" ht="39" customHeight="1" x14ac:dyDescent="0.3">
      <c r="B39" s="1281"/>
      <c r="C39" s="1300" t="s">
        <v>1075</v>
      </c>
      <c r="D39" s="1305" t="s">
        <v>1090</v>
      </c>
      <c r="E39" s="1283">
        <v>3066</v>
      </c>
      <c r="F39" s="1284">
        <v>1483</v>
      </c>
      <c r="G39" s="1289">
        <f>E39-F39</f>
        <v>1583</v>
      </c>
      <c r="H39" s="717"/>
      <c r="I39" s="713"/>
      <c r="J39" s="715"/>
      <c r="L39" s="713"/>
      <c r="M39" s="713"/>
    </row>
    <row r="40" spans="2:13" s="718" customFormat="1" ht="25.5" customHeight="1" x14ac:dyDescent="0.3">
      <c r="B40" s="1285" t="s">
        <v>1091</v>
      </c>
      <c r="C40" s="1286" t="s">
        <v>1092</v>
      </c>
      <c r="D40" s="1286"/>
      <c r="E40" s="1287">
        <f>SUM(E41:E43)</f>
        <v>6899073</v>
      </c>
      <c r="F40" s="1287">
        <f>SUM(F41:F43)</f>
        <v>4090402</v>
      </c>
      <c r="G40" s="1288">
        <f>SUM(G41:G43)</f>
        <v>2808671</v>
      </c>
      <c r="H40" s="714"/>
      <c r="I40" s="713"/>
      <c r="J40" s="715"/>
      <c r="L40" s="713"/>
      <c r="M40" s="713"/>
    </row>
    <row r="41" spans="2:13" ht="25.5" customHeight="1" x14ac:dyDescent="0.3">
      <c r="B41" s="1281"/>
      <c r="C41" s="1282" t="s">
        <v>1093</v>
      </c>
      <c r="D41" s="1282"/>
      <c r="E41" s="1283">
        <f>980343+5324</f>
        <v>985667</v>
      </c>
      <c r="F41" s="1284">
        <v>3966</v>
      </c>
      <c r="G41" s="1289">
        <f>E41-F41</f>
        <v>981701</v>
      </c>
      <c r="H41" s="717"/>
      <c r="I41" s="713"/>
      <c r="J41" s="715"/>
      <c r="L41" s="713"/>
      <c r="M41" s="713"/>
    </row>
    <row r="42" spans="2:13" ht="25.5" customHeight="1" x14ac:dyDescent="0.3">
      <c r="B42" s="1276"/>
      <c r="C42" s="1277" t="s">
        <v>1094</v>
      </c>
      <c r="D42" s="1277"/>
      <c r="E42" s="1278">
        <v>5895060</v>
      </c>
      <c r="F42" s="1279">
        <f>4068087+4-1</f>
        <v>4068090</v>
      </c>
      <c r="G42" s="1280">
        <f>E42-F42</f>
        <v>1826970</v>
      </c>
      <c r="H42" s="717"/>
      <c r="I42" s="713"/>
      <c r="J42" s="715"/>
      <c r="L42" s="713"/>
      <c r="M42" s="713"/>
    </row>
    <row r="43" spans="2:13" ht="25.5" customHeight="1" x14ac:dyDescent="0.3">
      <c r="B43" s="1306"/>
      <c r="C43" s="1307" t="s">
        <v>1095</v>
      </c>
      <c r="D43" s="1307"/>
      <c r="E43" s="1308">
        <v>18346</v>
      </c>
      <c r="F43" s="1309">
        <v>18346</v>
      </c>
      <c r="G43" s="1280">
        <f>E43-F43</f>
        <v>0</v>
      </c>
      <c r="H43" s="717"/>
      <c r="I43" s="713"/>
      <c r="J43" s="715"/>
      <c r="L43" s="713"/>
      <c r="M43" s="713"/>
    </row>
    <row r="44" spans="2:13" s="718" customFormat="1" ht="25.5" customHeight="1" x14ac:dyDescent="0.3">
      <c r="B44" s="1310" t="s">
        <v>774</v>
      </c>
      <c r="C44" s="1311" t="s">
        <v>1096</v>
      </c>
      <c r="D44" s="1311"/>
      <c r="E44" s="1312">
        <v>508</v>
      </c>
      <c r="F44" s="1312">
        <v>508</v>
      </c>
      <c r="G44" s="1313">
        <f>E44-F44</f>
        <v>0</v>
      </c>
      <c r="H44" s="714"/>
      <c r="I44" s="713"/>
      <c r="J44" s="715"/>
      <c r="L44" s="713"/>
      <c r="M44" s="713"/>
    </row>
    <row r="45" spans="2:13" s="718" customFormat="1" ht="25.5" customHeight="1" x14ac:dyDescent="0.3">
      <c r="B45" s="1272" t="s">
        <v>1097</v>
      </c>
      <c r="C45" s="1273" t="s">
        <v>775</v>
      </c>
      <c r="D45" s="1273"/>
      <c r="E45" s="1274">
        <f>SUM(E46:E47)</f>
        <v>1618702</v>
      </c>
      <c r="F45" s="1274">
        <f>SUM(F46:F47)</f>
        <v>0</v>
      </c>
      <c r="G45" s="1275">
        <f>SUM(G46:G47)</f>
        <v>1618702</v>
      </c>
      <c r="H45" s="714"/>
      <c r="I45" s="713"/>
      <c r="J45" s="715"/>
      <c r="L45" s="713"/>
      <c r="M45" s="713"/>
    </row>
    <row r="46" spans="2:13" ht="25.5" customHeight="1" x14ac:dyDescent="0.3">
      <c r="B46" s="1276"/>
      <c r="C46" s="1314" t="s">
        <v>1098</v>
      </c>
      <c r="D46" s="1314"/>
      <c r="E46" s="1315">
        <f>1302393-1</f>
        <v>1302392</v>
      </c>
      <c r="F46" s="1316">
        <v>0</v>
      </c>
      <c r="G46" s="1280">
        <f>E46-F46</f>
        <v>1302392</v>
      </c>
      <c r="H46" s="717"/>
      <c r="I46" s="713"/>
      <c r="J46" s="715"/>
      <c r="L46" s="713"/>
      <c r="M46" s="713"/>
    </row>
    <row r="47" spans="2:13" ht="25.5" customHeight="1" x14ac:dyDescent="0.3">
      <c r="B47" s="1276"/>
      <c r="C47" s="1314" t="s">
        <v>1099</v>
      </c>
      <c r="D47" s="1314"/>
      <c r="E47" s="1315">
        <v>316310</v>
      </c>
      <c r="F47" s="1316">
        <v>0</v>
      </c>
      <c r="G47" s="1280">
        <f>E47-F47</f>
        <v>316310</v>
      </c>
      <c r="H47" s="717"/>
      <c r="I47" s="713"/>
      <c r="J47" s="715"/>
      <c r="L47" s="713"/>
      <c r="M47" s="713"/>
    </row>
    <row r="48" spans="2:13" s="718" customFormat="1" ht="25.5" customHeight="1" x14ac:dyDescent="0.3">
      <c r="B48" s="1317" t="s">
        <v>1100</v>
      </c>
      <c r="C48" s="1318" t="s">
        <v>1101</v>
      </c>
      <c r="D48" s="1319"/>
      <c r="E48" s="1320">
        <v>0</v>
      </c>
      <c r="F48" s="1321">
        <v>0</v>
      </c>
      <c r="G48" s="1322">
        <f>E48-F48</f>
        <v>0</v>
      </c>
      <c r="H48" s="714"/>
      <c r="I48" s="713"/>
      <c r="J48" s="715"/>
      <c r="L48" s="713"/>
      <c r="M48" s="713"/>
    </row>
    <row r="49" spans="2:13" s="715" customFormat="1" ht="25.5" customHeight="1" thickBot="1" x14ac:dyDescent="0.35">
      <c r="B49" s="1323" t="s">
        <v>785</v>
      </c>
      <c r="C49" s="1324" t="s">
        <v>1102</v>
      </c>
      <c r="D49" s="1325"/>
      <c r="E49" s="1326">
        <f>SUM(E50)</f>
        <v>6458011</v>
      </c>
      <c r="F49" s="1327"/>
      <c r="G49" s="1328">
        <f>SUM(G50:G52)</f>
        <v>6458011</v>
      </c>
      <c r="H49" s="714"/>
      <c r="I49" s="713"/>
      <c r="L49" s="713"/>
      <c r="M49" s="713"/>
    </row>
    <row r="50" spans="2:13" s="720" customFormat="1" ht="25.5" customHeight="1" x14ac:dyDescent="0.3">
      <c r="B50" s="1281" t="s">
        <v>1103</v>
      </c>
      <c r="C50" s="1282" t="s">
        <v>1104</v>
      </c>
      <c r="D50" s="1329"/>
      <c r="E50" s="1330">
        <v>6458011</v>
      </c>
      <c r="F50" s="1331"/>
      <c r="G50" s="1280">
        <v>6458011</v>
      </c>
      <c r="H50" s="706"/>
      <c r="I50" s="713"/>
      <c r="L50" s="713"/>
      <c r="M50" s="713"/>
    </row>
    <row r="51" spans="2:13" s="720" customFormat="1" ht="25.5" customHeight="1" x14ac:dyDescent="0.3">
      <c r="B51" s="1276" t="s">
        <v>783</v>
      </c>
      <c r="C51" s="1277" t="s">
        <v>1105</v>
      </c>
      <c r="D51" s="1314"/>
      <c r="E51" s="1315"/>
      <c r="F51" s="1316"/>
      <c r="G51" s="1280">
        <v>0</v>
      </c>
      <c r="H51" s="706"/>
      <c r="I51" s="713"/>
      <c r="L51" s="713"/>
      <c r="M51" s="713"/>
    </row>
    <row r="52" spans="2:13" s="720" customFormat="1" ht="25.5" customHeight="1" thickBot="1" x14ac:dyDescent="0.35">
      <c r="B52" s="1281" t="s">
        <v>1106</v>
      </c>
      <c r="C52" s="1282" t="s">
        <v>1107</v>
      </c>
      <c r="D52" s="1329"/>
      <c r="E52" s="1330"/>
      <c r="F52" s="1331"/>
      <c r="G52" s="1289">
        <v>0</v>
      </c>
      <c r="H52" s="706"/>
      <c r="I52" s="713"/>
      <c r="L52" s="713"/>
      <c r="M52" s="713"/>
    </row>
    <row r="53" spans="2:13" s="715" customFormat="1" ht="25.5" customHeight="1" thickBot="1" x14ac:dyDescent="0.35">
      <c r="B53" s="1260" t="s">
        <v>1108</v>
      </c>
      <c r="C53" s="1269" t="s">
        <v>1109</v>
      </c>
      <c r="D53" s="1332"/>
      <c r="E53" s="1333">
        <f>SUM(E54)</f>
        <v>948328</v>
      </c>
      <c r="F53" s="1333">
        <f>SUM(F54)</f>
        <v>75376</v>
      </c>
      <c r="G53" s="1333">
        <f>SUM(G54)</f>
        <v>872952</v>
      </c>
      <c r="H53" s="714"/>
      <c r="I53" s="713"/>
      <c r="L53" s="713"/>
      <c r="M53" s="713"/>
    </row>
    <row r="54" spans="2:13" ht="25.5" customHeight="1" thickBot="1" x14ac:dyDescent="0.35">
      <c r="B54" s="1281" t="s">
        <v>1110</v>
      </c>
      <c r="C54" s="1334" t="s">
        <v>1111</v>
      </c>
      <c r="D54" s="1329"/>
      <c r="E54" s="1330">
        <v>948328</v>
      </c>
      <c r="F54" s="1331">
        <v>75376</v>
      </c>
      <c r="G54" s="1289">
        <v>872952</v>
      </c>
      <c r="H54" s="717"/>
      <c r="I54" s="715"/>
      <c r="L54" s="713"/>
      <c r="M54" s="713"/>
    </row>
    <row r="55" spans="2:13" s="715" customFormat="1" ht="25.5" customHeight="1" thickBot="1" x14ac:dyDescent="0.35">
      <c r="B55" s="1260" t="s">
        <v>1112</v>
      </c>
      <c r="C55" s="1269" t="s">
        <v>1113</v>
      </c>
      <c r="D55" s="1332"/>
      <c r="E55" s="1335" t="s">
        <v>52</v>
      </c>
      <c r="F55" s="1336"/>
      <c r="G55" s="1271">
        <f>SUM(G56:G57)</f>
        <v>33433</v>
      </c>
      <c r="H55" s="714"/>
      <c r="L55" s="713"/>
    </row>
    <row r="56" spans="2:13" s="720" customFormat="1" ht="25.5" customHeight="1" x14ac:dyDescent="0.3">
      <c r="B56" s="1281" t="s">
        <v>792</v>
      </c>
      <c r="C56" s="1282" t="s">
        <v>1114</v>
      </c>
      <c r="D56" s="1329"/>
      <c r="E56" s="1337" t="s">
        <v>52</v>
      </c>
      <c r="F56" s="1338"/>
      <c r="G56" s="1289">
        <v>33433</v>
      </c>
      <c r="H56" s="721"/>
      <c r="L56" s="713"/>
    </row>
    <row r="57" spans="2:13" s="720" customFormat="1" ht="25.5" customHeight="1" x14ac:dyDescent="0.3">
      <c r="B57" s="1276" t="s">
        <v>794</v>
      </c>
      <c r="C57" s="1277" t="s">
        <v>793</v>
      </c>
      <c r="D57" s="1314"/>
      <c r="E57" s="1339" t="s">
        <v>52</v>
      </c>
      <c r="F57" s="1340"/>
      <c r="G57" s="1280">
        <v>0</v>
      </c>
      <c r="H57" s="706"/>
      <c r="L57" s="713"/>
    </row>
    <row r="58" spans="2:13" ht="25.5" customHeight="1" thickBot="1" x14ac:dyDescent="0.35">
      <c r="B58" s="1281"/>
      <c r="C58" s="1282"/>
      <c r="D58" s="1329"/>
      <c r="E58" s="1337"/>
      <c r="F58" s="1338"/>
      <c r="G58" s="1341"/>
      <c r="L58" s="713"/>
    </row>
    <row r="59" spans="2:13" s="715" customFormat="1" ht="25.5" customHeight="1" thickBot="1" x14ac:dyDescent="0.35">
      <c r="B59" s="1260" t="s">
        <v>808</v>
      </c>
      <c r="C59" s="1269" t="s">
        <v>1115</v>
      </c>
      <c r="D59" s="1332"/>
      <c r="E59" s="1342"/>
      <c r="F59" s="1343"/>
      <c r="G59" s="1344">
        <f>SUM(G60:G63)</f>
        <v>7613661</v>
      </c>
      <c r="H59" s="714"/>
      <c r="L59" s="713"/>
    </row>
    <row r="60" spans="2:13" s="720" customFormat="1" ht="25.5" customHeight="1" x14ac:dyDescent="0.25">
      <c r="B60" s="1281" t="s">
        <v>800</v>
      </c>
      <c r="C60" s="1282" t="s">
        <v>799</v>
      </c>
      <c r="D60" s="1329"/>
      <c r="E60" s="1337"/>
      <c r="F60" s="1338"/>
      <c r="G60" s="1345">
        <v>0</v>
      </c>
      <c r="H60" s="706"/>
    </row>
    <row r="61" spans="2:13" s="720" customFormat="1" ht="25.5" customHeight="1" x14ac:dyDescent="0.25">
      <c r="B61" s="1276" t="s">
        <v>802</v>
      </c>
      <c r="C61" s="1277" t="s">
        <v>801</v>
      </c>
      <c r="D61" s="1314"/>
      <c r="E61" s="1339"/>
      <c r="F61" s="1340"/>
      <c r="G61" s="1346">
        <v>1075</v>
      </c>
      <c r="H61" s="706"/>
    </row>
    <row r="62" spans="2:13" s="720" customFormat="1" ht="25.5" customHeight="1" x14ac:dyDescent="0.25">
      <c r="B62" s="1281" t="s">
        <v>804</v>
      </c>
      <c r="C62" s="1282" t="s">
        <v>803</v>
      </c>
      <c r="D62" s="1329"/>
      <c r="E62" s="1337"/>
      <c r="F62" s="1338"/>
      <c r="G62" s="1345">
        <v>7551424</v>
      </c>
      <c r="H62" s="706"/>
    </row>
    <row r="63" spans="2:13" s="720" customFormat="1" ht="25.5" customHeight="1" x14ac:dyDescent="0.25">
      <c r="B63" s="1276" t="s">
        <v>1116</v>
      </c>
      <c r="C63" s="1277" t="s">
        <v>805</v>
      </c>
      <c r="D63" s="1314"/>
      <c r="E63" s="1339"/>
      <c r="F63" s="1340"/>
      <c r="G63" s="1346">
        <v>61162</v>
      </c>
      <c r="H63" s="706"/>
    </row>
    <row r="64" spans="2:13" ht="25.5" customHeight="1" thickBot="1" x14ac:dyDescent="0.3">
      <c r="B64" s="1281"/>
      <c r="C64" s="1282"/>
      <c r="D64" s="1329"/>
      <c r="E64" s="1337"/>
      <c r="F64" s="1338"/>
      <c r="G64" s="1341"/>
    </row>
    <row r="65" spans="2:8" ht="25.5" customHeight="1" x14ac:dyDescent="0.25">
      <c r="B65" s="1347"/>
      <c r="C65" s="1348"/>
      <c r="D65" s="1349"/>
      <c r="E65" s="1350"/>
      <c r="F65" s="1351"/>
      <c r="G65" s="1352"/>
    </row>
    <row r="66" spans="2:8" s="716" customFormat="1" ht="25.5" customHeight="1" x14ac:dyDescent="0.25">
      <c r="B66" s="1353" t="s">
        <v>1117</v>
      </c>
      <c r="C66" s="1273"/>
      <c r="D66" s="1273"/>
      <c r="E66" s="1354"/>
      <c r="F66" s="1355"/>
      <c r="G66" s="1356"/>
      <c r="H66" s="717"/>
    </row>
    <row r="67" spans="2:8" s="719" customFormat="1" ht="25.5" customHeight="1" x14ac:dyDescent="0.25">
      <c r="B67" s="1272"/>
      <c r="C67" s="1273" t="s">
        <v>1118</v>
      </c>
      <c r="D67" s="1273"/>
      <c r="E67" s="1274">
        <f>SUM(E68:E71)</f>
        <v>2527490</v>
      </c>
      <c r="F67" s="1274">
        <f>SUM(F68:F71)</f>
        <v>2527490</v>
      </c>
      <c r="G67" s="1293">
        <f>SUM(G68:G71)</f>
        <v>0</v>
      </c>
      <c r="H67" s="722"/>
    </row>
    <row r="68" spans="2:8" s="720" customFormat="1" ht="25.5" customHeight="1" x14ac:dyDescent="0.25">
      <c r="B68" s="1276"/>
      <c r="C68" s="1277" t="s">
        <v>1068</v>
      </c>
      <c r="D68" s="1277"/>
      <c r="E68" s="1278">
        <v>221403</v>
      </c>
      <c r="F68" s="1278">
        <v>221403</v>
      </c>
      <c r="G68" s="1357">
        <f>+E68-F68</f>
        <v>0</v>
      </c>
      <c r="H68" s="706"/>
    </row>
    <row r="69" spans="2:8" s="720" customFormat="1" ht="25.5" customHeight="1" x14ac:dyDescent="0.25">
      <c r="B69" s="1281"/>
      <c r="C69" s="1282" t="s">
        <v>1119</v>
      </c>
      <c r="D69" s="1282"/>
      <c r="E69" s="1283">
        <v>82293</v>
      </c>
      <c r="F69" s="1283">
        <v>82293</v>
      </c>
      <c r="G69" s="1357">
        <f>+E69-F69</f>
        <v>0</v>
      </c>
      <c r="H69" s="706"/>
    </row>
    <row r="70" spans="2:8" s="720" customFormat="1" ht="25.5" customHeight="1" x14ac:dyDescent="0.25">
      <c r="B70" s="1276"/>
      <c r="C70" s="1277" t="s">
        <v>1120</v>
      </c>
      <c r="D70" s="1277"/>
      <c r="E70" s="1278">
        <v>2223794</v>
      </c>
      <c r="F70" s="1278">
        <v>2223794</v>
      </c>
      <c r="G70" s="1357">
        <f>+E70-F70</f>
        <v>0</v>
      </c>
      <c r="H70" s="706"/>
    </row>
    <row r="71" spans="2:8" s="720" customFormat="1" ht="25.5" customHeight="1" x14ac:dyDescent="0.25">
      <c r="B71" s="1276"/>
      <c r="C71" s="1277" t="s">
        <v>773</v>
      </c>
      <c r="D71" s="1277"/>
      <c r="E71" s="1278">
        <v>0</v>
      </c>
      <c r="F71" s="1278">
        <v>0</v>
      </c>
      <c r="G71" s="1357">
        <f>+E71-F71</f>
        <v>0</v>
      </c>
      <c r="H71" s="706"/>
    </row>
    <row r="72" spans="2:8" s="716" customFormat="1" ht="25.5" customHeight="1" x14ac:dyDescent="0.25">
      <c r="B72" s="1272"/>
      <c r="C72" s="1282"/>
      <c r="D72" s="1273"/>
      <c r="E72" s="1358"/>
      <c r="F72" s="1359"/>
      <c r="G72" s="1356"/>
      <c r="H72" s="717"/>
    </row>
    <row r="73" spans="2:8" s="719" customFormat="1" ht="25.5" customHeight="1" x14ac:dyDescent="0.25">
      <c r="B73" s="1272"/>
      <c r="C73" s="1273" t="s">
        <v>1121</v>
      </c>
      <c r="D73" s="1273"/>
      <c r="E73" s="1274">
        <f>SUM(E74:E76)</f>
        <v>620695</v>
      </c>
      <c r="F73" s="1274">
        <f>SUM(F74:F76)</f>
        <v>620695</v>
      </c>
      <c r="G73" s="1293">
        <f>SUM(G74:G76)</f>
        <v>0</v>
      </c>
      <c r="H73" s="717"/>
    </row>
    <row r="74" spans="2:8" s="716" customFormat="1" ht="25.5" customHeight="1" x14ac:dyDescent="0.25">
      <c r="B74" s="1285"/>
      <c r="C74" s="1277" t="s">
        <v>1122</v>
      </c>
      <c r="D74" s="1286"/>
      <c r="E74" s="1278">
        <v>25930</v>
      </c>
      <c r="F74" s="1279">
        <v>25930</v>
      </c>
      <c r="G74" s="1357">
        <f>+E74-F74</f>
        <v>0</v>
      </c>
      <c r="H74" s="717"/>
    </row>
    <row r="75" spans="2:8" s="716" customFormat="1" ht="25.5" customHeight="1" x14ac:dyDescent="0.25">
      <c r="B75" s="1272"/>
      <c r="C75" s="1282" t="s">
        <v>1123</v>
      </c>
      <c r="D75" s="1273"/>
      <c r="E75" s="1283">
        <v>21915</v>
      </c>
      <c r="F75" s="1284">
        <v>21915</v>
      </c>
      <c r="G75" s="1357">
        <f>+E75-F75</f>
        <v>0</v>
      </c>
      <c r="H75" s="717"/>
    </row>
    <row r="76" spans="2:8" s="716" customFormat="1" ht="25.5" customHeight="1" x14ac:dyDescent="0.25">
      <c r="B76" s="1285"/>
      <c r="C76" s="1277" t="s">
        <v>1124</v>
      </c>
      <c r="D76" s="1286"/>
      <c r="E76" s="1278">
        <v>572850</v>
      </c>
      <c r="F76" s="1279">
        <v>572850</v>
      </c>
      <c r="G76" s="1357">
        <f>+E76-F76</f>
        <v>0</v>
      </c>
      <c r="H76" s="717"/>
    </row>
    <row r="77" spans="2:8" s="716" customFormat="1" ht="25.5" customHeight="1" x14ac:dyDescent="0.25">
      <c r="B77" s="1272"/>
      <c r="C77" s="1282"/>
      <c r="D77" s="1273"/>
      <c r="E77" s="1360"/>
      <c r="F77" s="1361"/>
      <c r="G77" s="1362"/>
      <c r="H77" s="717"/>
    </row>
    <row r="78" spans="2:8" s="716" customFormat="1" ht="25.5" customHeight="1" x14ac:dyDescent="0.25">
      <c r="B78" s="1272"/>
      <c r="C78" s="1273" t="s">
        <v>1125</v>
      </c>
      <c r="D78" s="1273"/>
      <c r="E78" s="1354"/>
      <c r="F78" s="1354"/>
      <c r="G78" s="1363"/>
      <c r="H78" s="717"/>
    </row>
    <row r="79" spans="2:8" s="716" customFormat="1" ht="25.5" customHeight="1" x14ac:dyDescent="0.25">
      <c r="B79" s="1285"/>
      <c r="C79" s="1286" t="s">
        <v>1126</v>
      </c>
      <c r="D79" s="1286"/>
      <c r="E79" s="1364"/>
      <c r="F79" s="1364"/>
      <c r="G79" s="1356"/>
      <c r="H79" s="717"/>
    </row>
    <row r="80" spans="2:8" s="720" customFormat="1" ht="45" customHeight="1" x14ac:dyDescent="0.25">
      <c r="B80" s="1281"/>
      <c r="C80" s="2063" t="s">
        <v>1127</v>
      </c>
      <c r="D80" s="2064"/>
      <c r="E80" s="1365">
        <v>1053457</v>
      </c>
      <c r="F80" s="1360"/>
      <c r="G80" s="1366"/>
      <c r="H80" s="706"/>
    </row>
    <row r="81" spans="2:8" s="720" customFormat="1" ht="25.5" customHeight="1" x14ac:dyDescent="0.25">
      <c r="B81" s="1276"/>
      <c r="C81" s="1277" t="s">
        <v>1128</v>
      </c>
      <c r="D81" s="1277"/>
      <c r="E81" s="1367"/>
      <c r="F81" s="1368"/>
      <c r="G81" s="1366"/>
      <c r="H81" s="706"/>
    </row>
    <row r="82" spans="2:8" s="720" customFormat="1" ht="25.5" customHeight="1" x14ac:dyDescent="0.25">
      <c r="B82" s="1281"/>
      <c r="C82" s="1282" t="s">
        <v>1129</v>
      </c>
      <c r="D82" s="1282"/>
      <c r="E82" s="1365">
        <v>76545</v>
      </c>
      <c r="F82" s="1360"/>
      <c r="G82" s="1366"/>
      <c r="H82" s="706"/>
    </row>
    <row r="83" spans="2:8" s="720" customFormat="1" ht="25.5" customHeight="1" x14ac:dyDescent="0.25">
      <c r="B83" s="1276"/>
      <c r="C83" s="1277" t="s">
        <v>1130</v>
      </c>
      <c r="D83" s="1277"/>
      <c r="E83" s="1367">
        <v>18551176</v>
      </c>
      <c r="F83" s="1368"/>
      <c r="G83" s="1366"/>
      <c r="H83" s="706"/>
    </row>
    <row r="84" spans="2:8" ht="25.5" customHeight="1" x14ac:dyDescent="0.25">
      <c r="B84" s="1281"/>
      <c r="C84" s="1282"/>
      <c r="D84" s="1282"/>
      <c r="E84" s="1365"/>
      <c r="F84" s="1361"/>
      <c r="G84" s="1362"/>
    </row>
    <row r="85" spans="2:8" s="718" customFormat="1" ht="25.5" customHeight="1" x14ac:dyDescent="0.25">
      <c r="B85" s="1369"/>
      <c r="C85" s="1303" t="s">
        <v>1131</v>
      </c>
      <c r="D85" s="1303"/>
      <c r="E85" s="1287">
        <f>SUM(E86:E89)</f>
        <v>10444824</v>
      </c>
      <c r="F85" s="1287">
        <f>SUM(F86:F89)</f>
        <v>4697398</v>
      </c>
      <c r="G85" s="1288">
        <f>SUM(G86:G89)</f>
        <v>5747426</v>
      </c>
      <c r="H85" s="714"/>
    </row>
    <row r="86" spans="2:8" s="720" customFormat="1" ht="25.5" customHeight="1" x14ac:dyDescent="0.25">
      <c r="B86" s="1281"/>
      <c r="C86" s="2069" t="s">
        <v>1132</v>
      </c>
      <c r="D86" s="2070"/>
      <c r="E86" s="1283">
        <v>4821629</v>
      </c>
      <c r="F86" s="1284">
        <f>2048577-1</f>
        <v>2048576</v>
      </c>
      <c r="G86" s="1289">
        <f>+E86-F86</f>
        <v>2773053</v>
      </c>
      <c r="H86" s="706"/>
    </row>
    <row r="87" spans="2:8" s="720" customFormat="1" ht="25.5" customHeight="1" x14ac:dyDescent="0.25">
      <c r="B87" s="1276"/>
      <c r="C87" s="2071" t="s">
        <v>1133</v>
      </c>
      <c r="D87" s="2072"/>
      <c r="E87" s="1278">
        <v>4469354</v>
      </c>
      <c r="F87" s="1279">
        <f>2006562-1</f>
        <v>2006561</v>
      </c>
      <c r="G87" s="1280">
        <f>+E87-F87</f>
        <v>2462793</v>
      </c>
      <c r="H87" s="706"/>
    </row>
    <row r="88" spans="2:8" s="720" customFormat="1" ht="36.75" customHeight="1" x14ac:dyDescent="0.25">
      <c r="B88" s="1281"/>
      <c r="C88" s="2073" t="s">
        <v>1134</v>
      </c>
      <c r="D88" s="2074"/>
      <c r="E88" s="1373">
        <v>629459</v>
      </c>
      <c r="F88" s="1373">
        <v>351989</v>
      </c>
      <c r="G88" s="1729">
        <f>+E88-F88</f>
        <v>277470</v>
      </c>
      <c r="H88" s="706"/>
    </row>
    <row r="89" spans="2:8" s="720" customFormat="1" ht="36.75" customHeight="1" x14ac:dyDescent="0.25">
      <c r="B89" s="1276"/>
      <c r="C89" s="2063" t="s">
        <v>1135</v>
      </c>
      <c r="D89" s="2064"/>
      <c r="E89" s="1367">
        <v>524382</v>
      </c>
      <c r="F89" s="1367">
        <v>290272</v>
      </c>
      <c r="G89" s="1357">
        <f>+E89-F89</f>
        <v>234110</v>
      </c>
      <c r="H89" s="706"/>
    </row>
    <row r="90" spans="2:8" s="719" customFormat="1" ht="20.100000000000001" customHeight="1" thickBot="1" x14ac:dyDescent="0.3">
      <c r="B90" s="1323"/>
      <c r="C90" s="1324"/>
      <c r="D90" s="1324"/>
      <c r="E90" s="1370"/>
      <c r="F90" s="1371"/>
      <c r="G90" s="1372"/>
      <c r="H90" s="717"/>
    </row>
  </sheetData>
  <mergeCells count="7">
    <mergeCell ref="C89:D89"/>
    <mergeCell ref="B5:G5"/>
    <mergeCell ref="E7:G7"/>
    <mergeCell ref="C80:D80"/>
    <mergeCell ref="C86:D86"/>
    <mergeCell ref="C87:D87"/>
    <mergeCell ref="C88:D88"/>
  </mergeCell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60" orientation="portrait" r:id="rId1"/>
  <headerFooter alignWithMargins="0">
    <oddHeader>&amp;R&amp;"Arial,Félkövér"&amp;14 &amp;"Calibri,Félkövér"&amp;12 28. melléklet a 10/2024. (V.31.) önkormányzati rendelethez</oddHeader>
  </headerFooter>
  <rowBreaks count="1" manualBreakCount="1">
    <brk id="48" min="1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61C9-EE96-43F1-A952-452881A2DA0B}">
  <dimension ref="B1:K33"/>
  <sheetViews>
    <sheetView view="pageLayout" topLeftCell="N1" zoomScaleNormal="100" workbookViewId="0">
      <selection activeCell="N8" sqref="N8"/>
    </sheetView>
  </sheetViews>
  <sheetFormatPr defaultRowHeight="14.25" x14ac:dyDescent="0.2"/>
  <cols>
    <col min="1" max="1" width="9.33203125" style="723"/>
    <col min="2" max="2" width="15.33203125" style="723" customWidth="1"/>
    <col min="3" max="3" width="16.5" style="723" customWidth="1"/>
    <col min="4" max="4" width="16.6640625" style="723" customWidth="1"/>
    <col min="5" max="5" width="49.33203125" style="723" customWidth="1"/>
    <col min="6" max="6" width="19.83203125" style="723" bestFit="1" customWidth="1"/>
    <col min="7" max="7" width="20" style="723" bestFit="1" customWidth="1"/>
    <col min="8" max="8" width="21.33203125" style="724" customWidth="1"/>
    <col min="9" max="9" width="16.33203125" style="723" bestFit="1" customWidth="1"/>
    <col min="10" max="10" width="15.33203125" style="724" customWidth="1"/>
    <col min="11" max="11" width="17.83203125" style="723" customWidth="1"/>
    <col min="12" max="229" width="9.33203125" style="723"/>
    <col min="230" max="230" width="22.5" style="723" customWidth="1"/>
    <col min="231" max="231" width="15.33203125" style="723" customWidth="1"/>
    <col min="232" max="232" width="16.5" style="723" customWidth="1"/>
    <col min="233" max="233" width="16.6640625" style="723" customWidth="1"/>
    <col min="234" max="234" width="38" style="723" customWidth="1"/>
    <col min="235" max="235" width="19.83203125" style="723" bestFit="1" customWidth="1"/>
    <col min="236" max="236" width="20" style="723" bestFit="1" customWidth="1"/>
    <col min="237" max="237" width="21.33203125" style="723" customWidth="1"/>
    <col min="238" max="238" width="17" style="723" bestFit="1" customWidth="1"/>
    <col min="239" max="239" width="13.1640625" style="723" bestFit="1" customWidth="1"/>
    <col min="240" max="240" width="17.83203125" style="723" customWidth="1"/>
    <col min="241" max="241" width="18.1640625" style="723" bestFit="1" customWidth="1"/>
    <col min="242" max="242" width="16" style="723" bestFit="1" customWidth="1"/>
    <col min="243" max="243" width="14.6640625" style="723" bestFit="1" customWidth="1"/>
    <col min="244" max="485" width="9.33203125" style="723"/>
    <col min="486" max="486" width="22.5" style="723" customWidth="1"/>
    <col min="487" max="487" width="15.33203125" style="723" customWidth="1"/>
    <col min="488" max="488" width="16.5" style="723" customWidth="1"/>
    <col min="489" max="489" width="16.6640625" style="723" customWidth="1"/>
    <col min="490" max="490" width="38" style="723" customWidth="1"/>
    <col min="491" max="491" width="19.83203125" style="723" bestFit="1" customWidth="1"/>
    <col min="492" max="492" width="20" style="723" bestFit="1" customWidth="1"/>
    <col min="493" max="493" width="21.33203125" style="723" customWidth="1"/>
    <col min="494" max="494" width="17" style="723" bestFit="1" customWidth="1"/>
    <col min="495" max="495" width="13.1640625" style="723" bestFit="1" customWidth="1"/>
    <col min="496" max="496" width="17.83203125" style="723" customWidth="1"/>
    <col min="497" max="497" width="18.1640625" style="723" bestFit="1" customWidth="1"/>
    <col min="498" max="498" width="16" style="723" bestFit="1" customWidth="1"/>
    <col min="499" max="499" width="14.6640625" style="723" bestFit="1" customWidth="1"/>
    <col min="500" max="741" width="9.33203125" style="723"/>
    <col min="742" max="742" width="22.5" style="723" customWidth="1"/>
    <col min="743" max="743" width="15.33203125" style="723" customWidth="1"/>
    <col min="744" max="744" width="16.5" style="723" customWidth="1"/>
    <col min="745" max="745" width="16.6640625" style="723" customWidth="1"/>
    <col min="746" max="746" width="38" style="723" customWidth="1"/>
    <col min="747" max="747" width="19.83203125" style="723" bestFit="1" customWidth="1"/>
    <col min="748" max="748" width="20" style="723" bestFit="1" customWidth="1"/>
    <col min="749" max="749" width="21.33203125" style="723" customWidth="1"/>
    <col min="750" max="750" width="17" style="723" bestFit="1" customWidth="1"/>
    <col min="751" max="751" width="13.1640625" style="723" bestFit="1" customWidth="1"/>
    <col min="752" max="752" width="17.83203125" style="723" customWidth="1"/>
    <col min="753" max="753" width="18.1640625" style="723" bestFit="1" customWidth="1"/>
    <col min="754" max="754" width="16" style="723" bestFit="1" customWidth="1"/>
    <col min="755" max="755" width="14.6640625" style="723" bestFit="1" customWidth="1"/>
    <col min="756" max="997" width="9.33203125" style="723"/>
    <col min="998" max="998" width="22.5" style="723" customWidth="1"/>
    <col min="999" max="999" width="15.33203125" style="723" customWidth="1"/>
    <col min="1000" max="1000" width="16.5" style="723" customWidth="1"/>
    <col min="1001" max="1001" width="16.6640625" style="723" customWidth="1"/>
    <col min="1002" max="1002" width="38" style="723" customWidth="1"/>
    <col min="1003" max="1003" width="19.83203125" style="723" bestFit="1" customWidth="1"/>
    <col min="1004" max="1004" width="20" style="723" bestFit="1" customWidth="1"/>
    <col min="1005" max="1005" width="21.33203125" style="723" customWidth="1"/>
    <col min="1006" max="1006" width="17" style="723" bestFit="1" customWidth="1"/>
    <col min="1007" max="1007" width="13.1640625" style="723" bestFit="1" customWidth="1"/>
    <col min="1008" max="1008" width="17.83203125" style="723" customWidth="1"/>
    <col min="1009" max="1009" width="18.1640625" style="723" bestFit="1" customWidth="1"/>
    <col min="1010" max="1010" width="16" style="723" bestFit="1" customWidth="1"/>
    <col min="1011" max="1011" width="14.6640625" style="723" bestFit="1" customWidth="1"/>
    <col min="1012" max="1253" width="9.33203125" style="723"/>
    <col min="1254" max="1254" width="22.5" style="723" customWidth="1"/>
    <col min="1255" max="1255" width="15.33203125" style="723" customWidth="1"/>
    <col min="1256" max="1256" width="16.5" style="723" customWidth="1"/>
    <col min="1257" max="1257" width="16.6640625" style="723" customWidth="1"/>
    <col min="1258" max="1258" width="38" style="723" customWidth="1"/>
    <col min="1259" max="1259" width="19.83203125" style="723" bestFit="1" customWidth="1"/>
    <col min="1260" max="1260" width="20" style="723" bestFit="1" customWidth="1"/>
    <col min="1261" max="1261" width="21.33203125" style="723" customWidth="1"/>
    <col min="1262" max="1262" width="17" style="723" bestFit="1" customWidth="1"/>
    <col min="1263" max="1263" width="13.1640625" style="723" bestFit="1" customWidth="1"/>
    <col min="1264" max="1264" width="17.83203125" style="723" customWidth="1"/>
    <col min="1265" max="1265" width="18.1640625" style="723" bestFit="1" customWidth="1"/>
    <col min="1266" max="1266" width="16" style="723" bestFit="1" customWidth="1"/>
    <col min="1267" max="1267" width="14.6640625" style="723" bestFit="1" customWidth="1"/>
    <col min="1268" max="1509" width="9.33203125" style="723"/>
    <col min="1510" max="1510" width="22.5" style="723" customWidth="1"/>
    <col min="1511" max="1511" width="15.33203125" style="723" customWidth="1"/>
    <col min="1512" max="1512" width="16.5" style="723" customWidth="1"/>
    <col min="1513" max="1513" width="16.6640625" style="723" customWidth="1"/>
    <col min="1514" max="1514" width="38" style="723" customWidth="1"/>
    <col min="1515" max="1515" width="19.83203125" style="723" bestFit="1" customWidth="1"/>
    <col min="1516" max="1516" width="20" style="723" bestFit="1" customWidth="1"/>
    <col min="1517" max="1517" width="21.33203125" style="723" customWidth="1"/>
    <col min="1518" max="1518" width="17" style="723" bestFit="1" customWidth="1"/>
    <col min="1519" max="1519" width="13.1640625" style="723" bestFit="1" customWidth="1"/>
    <col min="1520" max="1520" width="17.83203125" style="723" customWidth="1"/>
    <col min="1521" max="1521" width="18.1640625" style="723" bestFit="1" customWidth="1"/>
    <col min="1522" max="1522" width="16" style="723" bestFit="1" customWidth="1"/>
    <col min="1523" max="1523" width="14.6640625" style="723" bestFit="1" customWidth="1"/>
    <col min="1524" max="1765" width="9.33203125" style="723"/>
    <col min="1766" max="1766" width="22.5" style="723" customWidth="1"/>
    <col min="1767" max="1767" width="15.33203125" style="723" customWidth="1"/>
    <col min="1768" max="1768" width="16.5" style="723" customWidth="1"/>
    <col min="1769" max="1769" width="16.6640625" style="723" customWidth="1"/>
    <col min="1770" max="1770" width="38" style="723" customWidth="1"/>
    <col min="1771" max="1771" width="19.83203125" style="723" bestFit="1" customWidth="1"/>
    <col min="1772" max="1772" width="20" style="723" bestFit="1" customWidth="1"/>
    <col min="1773" max="1773" width="21.33203125" style="723" customWidth="1"/>
    <col min="1774" max="1774" width="17" style="723" bestFit="1" customWidth="1"/>
    <col min="1775" max="1775" width="13.1640625" style="723" bestFit="1" customWidth="1"/>
    <col min="1776" max="1776" width="17.83203125" style="723" customWidth="1"/>
    <col min="1777" max="1777" width="18.1640625" style="723" bestFit="1" customWidth="1"/>
    <col min="1778" max="1778" width="16" style="723" bestFit="1" customWidth="1"/>
    <col min="1779" max="1779" width="14.6640625" style="723" bestFit="1" customWidth="1"/>
    <col min="1780" max="2021" width="9.33203125" style="723"/>
    <col min="2022" max="2022" width="22.5" style="723" customWidth="1"/>
    <col min="2023" max="2023" width="15.33203125" style="723" customWidth="1"/>
    <col min="2024" max="2024" width="16.5" style="723" customWidth="1"/>
    <col min="2025" max="2025" width="16.6640625" style="723" customWidth="1"/>
    <col min="2026" max="2026" width="38" style="723" customWidth="1"/>
    <col min="2027" max="2027" width="19.83203125" style="723" bestFit="1" customWidth="1"/>
    <col min="2028" max="2028" width="20" style="723" bestFit="1" customWidth="1"/>
    <col min="2029" max="2029" width="21.33203125" style="723" customWidth="1"/>
    <col min="2030" max="2030" width="17" style="723" bestFit="1" customWidth="1"/>
    <col min="2031" max="2031" width="13.1640625" style="723" bestFit="1" customWidth="1"/>
    <col min="2032" max="2032" width="17.83203125" style="723" customWidth="1"/>
    <col min="2033" max="2033" width="18.1640625" style="723" bestFit="1" customWidth="1"/>
    <col min="2034" max="2034" width="16" style="723" bestFit="1" customWidth="1"/>
    <col min="2035" max="2035" width="14.6640625" style="723" bestFit="1" customWidth="1"/>
    <col min="2036" max="2277" width="9.33203125" style="723"/>
    <col min="2278" max="2278" width="22.5" style="723" customWidth="1"/>
    <col min="2279" max="2279" width="15.33203125" style="723" customWidth="1"/>
    <col min="2280" max="2280" width="16.5" style="723" customWidth="1"/>
    <col min="2281" max="2281" width="16.6640625" style="723" customWidth="1"/>
    <col min="2282" max="2282" width="38" style="723" customWidth="1"/>
    <col min="2283" max="2283" width="19.83203125" style="723" bestFit="1" customWidth="1"/>
    <col min="2284" max="2284" width="20" style="723" bestFit="1" customWidth="1"/>
    <col min="2285" max="2285" width="21.33203125" style="723" customWidth="1"/>
    <col min="2286" max="2286" width="17" style="723" bestFit="1" customWidth="1"/>
    <col min="2287" max="2287" width="13.1640625" style="723" bestFit="1" customWidth="1"/>
    <col min="2288" max="2288" width="17.83203125" style="723" customWidth="1"/>
    <col min="2289" max="2289" width="18.1640625" style="723" bestFit="1" customWidth="1"/>
    <col min="2290" max="2290" width="16" style="723" bestFit="1" customWidth="1"/>
    <col min="2291" max="2291" width="14.6640625" style="723" bestFit="1" customWidth="1"/>
    <col min="2292" max="2533" width="9.33203125" style="723"/>
    <col min="2534" max="2534" width="22.5" style="723" customWidth="1"/>
    <col min="2535" max="2535" width="15.33203125" style="723" customWidth="1"/>
    <col min="2536" max="2536" width="16.5" style="723" customWidth="1"/>
    <col min="2537" max="2537" width="16.6640625" style="723" customWidth="1"/>
    <col min="2538" max="2538" width="38" style="723" customWidth="1"/>
    <col min="2539" max="2539" width="19.83203125" style="723" bestFit="1" customWidth="1"/>
    <col min="2540" max="2540" width="20" style="723" bestFit="1" customWidth="1"/>
    <col min="2541" max="2541" width="21.33203125" style="723" customWidth="1"/>
    <col min="2542" max="2542" width="17" style="723" bestFit="1" customWidth="1"/>
    <col min="2543" max="2543" width="13.1640625" style="723" bestFit="1" customWidth="1"/>
    <col min="2544" max="2544" width="17.83203125" style="723" customWidth="1"/>
    <col min="2545" max="2545" width="18.1640625" style="723" bestFit="1" customWidth="1"/>
    <col min="2546" max="2546" width="16" style="723" bestFit="1" customWidth="1"/>
    <col min="2547" max="2547" width="14.6640625" style="723" bestFit="1" customWidth="1"/>
    <col min="2548" max="2789" width="9.33203125" style="723"/>
    <col min="2790" max="2790" width="22.5" style="723" customWidth="1"/>
    <col min="2791" max="2791" width="15.33203125" style="723" customWidth="1"/>
    <col min="2792" max="2792" width="16.5" style="723" customWidth="1"/>
    <col min="2793" max="2793" width="16.6640625" style="723" customWidth="1"/>
    <col min="2794" max="2794" width="38" style="723" customWidth="1"/>
    <col min="2795" max="2795" width="19.83203125" style="723" bestFit="1" customWidth="1"/>
    <col min="2796" max="2796" width="20" style="723" bestFit="1" customWidth="1"/>
    <col min="2797" max="2797" width="21.33203125" style="723" customWidth="1"/>
    <col min="2798" max="2798" width="17" style="723" bestFit="1" customWidth="1"/>
    <col min="2799" max="2799" width="13.1640625" style="723" bestFit="1" customWidth="1"/>
    <col min="2800" max="2800" width="17.83203125" style="723" customWidth="1"/>
    <col min="2801" max="2801" width="18.1640625" style="723" bestFit="1" customWidth="1"/>
    <col min="2802" max="2802" width="16" style="723" bestFit="1" customWidth="1"/>
    <col min="2803" max="2803" width="14.6640625" style="723" bestFit="1" customWidth="1"/>
    <col min="2804" max="3045" width="9.33203125" style="723"/>
    <col min="3046" max="3046" width="22.5" style="723" customWidth="1"/>
    <col min="3047" max="3047" width="15.33203125" style="723" customWidth="1"/>
    <col min="3048" max="3048" width="16.5" style="723" customWidth="1"/>
    <col min="3049" max="3049" width="16.6640625" style="723" customWidth="1"/>
    <col min="3050" max="3050" width="38" style="723" customWidth="1"/>
    <col min="3051" max="3051" width="19.83203125" style="723" bestFit="1" customWidth="1"/>
    <col min="3052" max="3052" width="20" style="723" bestFit="1" customWidth="1"/>
    <col min="3053" max="3053" width="21.33203125" style="723" customWidth="1"/>
    <col min="3054" max="3054" width="17" style="723" bestFit="1" customWidth="1"/>
    <col min="3055" max="3055" width="13.1640625" style="723" bestFit="1" customWidth="1"/>
    <col min="3056" max="3056" width="17.83203125" style="723" customWidth="1"/>
    <col min="3057" max="3057" width="18.1640625" style="723" bestFit="1" customWidth="1"/>
    <col min="3058" max="3058" width="16" style="723" bestFit="1" customWidth="1"/>
    <col min="3059" max="3059" width="14.6640625" style="723" bestFit="1" customWidth="1"/>
    <col min="3060" max="3301" width="9.33203125" style="723"/>
    <col min="3302" max="3302" width="22.5" style="723" customWidth="1"/>
    <col min="3303" max="3303" width="15.33203125" style="723" customWidth="1"/>
    <col min="3304" max="3304" width="16.5" style="723" customWidth="1"/>
    <col min="3305" max="3305" width="16.6640625" style="723" customWidth="1"/>
    <col min="3306" max="3306" width="38" style="723" customWidth="1"/>
    <col min="3307" max="3307" width="19.83203125" style="723" bestFit="1" customWidth="1"/>
    <col min="3308" max="3308" width="20" style="723" bestFit="1" customWidth="1"/>
    <col min="3309" max="3309" width="21.33203125" style="723" customWidth="1"/>
    <col min="3310" max="3310" width="17" style="723" bestFit="1" customWidth="1"/>
    <col min="3311" max="3311" width="13.1640625" style="723" bestFit="1" customWidth="1"/>
    <col min="3312" max="3312" width="17.83203125" style="723" customWidth="1"/>
    <col min="3313" max="3313" width="18.1640625" style="723" bestFit="1" customWidth="1"/>
    <col min="3314" max="3314" width="16" style="723" bestFit="1" customWidth="1"/>
    <col min="3315" max="3315" width="14.6640625" style="723" bestFit="1" customWidth="1"/>
    <col min="3316" max="3557" width="9.33203125" style="723"/>
    <col min="3558" max="3558" width="22.5" style="723" customWidth="1"/>
    <col min="3559" max="3559" width="15.33203125" style="723" customWidth="1"/>
    <col min="3560" max="3560" width="16.5" style="723" customWidth="1"/>
    <col min="3561" max="3561" width="16.6640625" style="723" customWidth="1"/>
    <col min="3562" max="3562" width="38" style="723" customWidth="1"/>
    <col min="3563" max="3563" width="19.83203125" style="723" bestFit="1" customWidth="1"/>
    <col min="3564" max="3564" width="20" style="723" bestFit="1" customWidth="1"/>
    <col min="3565" max="3565" width="21.33203125" style="723" customWidth="1"/>
    <col min="3566" max="3566" width="17" style="723" bestFit="1" customWidth="1"/>
    <col min="3567" max="3567" width="13.1640625" style="723" bestFit="1" customWidth="1"/>
    <col min="3568" max="3568" width="17.83203125" style="723" customWidth="1"/>
    <col min="3569" max="3569" width="18.1640625" style="723" bestFit="1" customWidth="1"/>
    <col min="3570" max="3570" width="16" style="723" bestFit="1" customWidth="1"/>
    <col min="3571" max="3571" width="14.6640625" style="723" bestFit="1" customWidth="1"/>
    <col min="3572" max="3813" width="9.33203125" style="723"/>
    <col min="3814" max="3814" width="22.5" style="723" customWidth="1"/>
    <col min="3815" max="3815" width="15.33203125" style="723" customWidth="1"/>
    <col min="3816" max="3816" width="16.5" style="723" customWidth="1"/>
    <col min="3817" max="3817" width="16.6640625" style="723" customWidth="1"/>
    <col min="3818" max="3818" width="38" style="723" customWidth="1"/>
    <col min="3819" max="3819" width="19.83203125" style="723" bestFit="1" customWidth="1"/>
    <col min="3820" max="3820" width="20" style="723" bestFit="1" customWidth="1"/>
    <col min="3821" max="3821" width="21.33203125" style="723" customWidth="1"/>
    <col min="3822" max="3822" width="17" style="723" bestFit="1" customWidth="1"/>
    <col min="3823" max="3823" width="13.1640625" style="723" bestFit="1" customWidth="1"/>
    <col min="3824" max="3824" width="17.83203125" style="723" customWidth="1"/>
    <col min="3825" max="3825" width="18.1640625" style="723" bestFit="1" customWidth="1"/>
    <col min="3826" max="3826" width="16" style="723" bestFit="1" customWidth="1"/>
    <col min="3827" max="3827" width="14.6640625" style="723" bestFit="1" customWidth="1"/>
    <col min="3828" max="4069" width="9.33203125" style="723"/>
    <col min="4070" max="4070" width="22.5" style="723" customWidth="1"/>
    <col min="4071" max="4071" width="15.33203125" style="723" customWidth="1"/>
    <col min="4072" max="4072" width="16.5" style="723" customWidth="1"/>
    <col min="4073" max="4073" width="16.6640625" style="723" customWidth="1"/>
    <col min="4074" max="4074" width="38" style="723" customWidth="1"/>
    <col min="4075" max="4075" width="19.83203125" style="723" bestFit="1" customWidth="1"/>
    <col min="4076" max="4076" width="20" style="723" bestFit="1" customWidth="1"/>
    <col min="4077" max="4077" width="21.33203125" style="723" customWidth="1"/>
    <col min="4078" max="4078" width="17" style="723" bestFit="1" customWidth="1"/>
    <col min="4079" max="4079" width="13.1640625" style="723" bestFit="1" customWidth="1"/>
    <col min="4080" max="4080" width="17.83203125" style="723" customWidth="1"/>
    <col min="4081" max="4081" width="18.1640625" style="723" bestFit="1" customWidth="1"/>
    <col min="4082" max="4082" width="16" style="723" bestFit="1" customWidth="1"/>
    <col min="4083" max="4083" width="14.6640625" style="723" bestFit="1" customWidth="1"/>
    <col min="4084" max="4325" width="9.33203125" style="723"/>
    <col min="4326" max="4326" width="22.5" style="723" customWidth="1"/>
    <col min="4327" max="4327" width="15.33203125" style="723" customWidth="1"/>
    <col min="4328" max="4328" width="16.5" style="723" customWidth="1"/>
    <col min="4329" max="4329" width="16.6640625" style="723" customWidth="1"/>
    <col min="4330" max="4330" width="38" style="723" customWidth="1"/>
    <col min="4331" max="4331" width="19.83203125" style="723" bestFit="1" customWidth="1"/>
    <col min="4332" max="4332" width="20" style="723" bestFit="1" customWidth="1"/>
    <col min="4333" max="4333" width="21.33203125" style="723" customWidth="1"/>
    <col min="4334" max="4334" width="17" style="723" bestFit="1" customWidth="1"/>
    <col min="4335" max="4335" width="13.1640625" style="723" bestFit="1" customWidth="1"/>
    <col min="4336" max="4336" width="17.83203125" style="723" customWidth="1"/>
    <col min="4337" max="4337" width="18.1640625" style="723" bestFit="1" customWidth="1"/>
    <col min="4338" max="4338" width="16" style="723" bestFit="1" customWidth="1"/>
    <col min="4339" max="4339" width="14.6640625" style="723" bestFit="1" customWidth="1"/>
    <col min="4340" max="4581" width="9.33203125" style="723"/>
    <col min="4582" max="4582" width="22.5" style="723" customWidth="1"/>
    <col min="4583" max="4583" width="15.33203125" style="723" customWidth="1"/>
    <col min="4584" max="4584" width="16.5" style="723" customWidth="1"/>
    <col min="4585" max="4585" width="16.6640625" style="723" customWidth="1"/>
    <col min="4586" max="4586" width="38" style="723" customWidth="1"/>
    <col min="4587" max="4587" width="19.83203125" style="723" bestFit="1" customWidth="1"/>
    <col min="4588" max="4588" width="20" style="723" bestFit="1" customWidth="1"/>
    <col min="4589" max="4589" width="21.33203125" style="723" customWidth="1"/>
    <col min="4590" max="4590" width="17" style="723" bestFit="1" customWidth="1"/>
    <col min="4591" max="4591" width="13.1640625" style="723" bestFit="1" customWidth="1"/>
    <col min="4592" max="4592" width="17.83203125" style="723" customWidth="1"/>
    <col min="4593" max="4593" width="18.1640625" style="723" bestFit="1" customWidth="1"/>
    <col min="4594" max="4594" width="16" style="723" bestFit="1" customWidth="1"/>
    <col min="4595" max="4595" width="14.6640625" style="723" bestFit="1" customWidth="1"/>
    <col min="4596" max="4837" width="9.33203125" style="723"/>
    <col min="4838" max="4838" width="22.5" style="723" customWidth="1"/>
    <col min="4839" max="4839" width="15.33203125" style="723" customWidth="1"/>
    <col min="4840" max="4840" width="16.5" style="723" customWidth="1"/>
    <col min="4841" max="4841" width="16.6640625" style="723" customWidth="1"/>
    <col min="4842" max="4842" width="38" style="723" customWidth="1"/>
    <col min="4843" max="4843" width="19.83203125" style="723" bestFit="1" customWidth="1"/>
    <col min="4844" max="4844" width="20" style="723" bestFit="1" customWidth="1"/>
    <col min="4845" max="4845" width="21.33203125" style="723" customWidth="1"/>
    <col min="4846" max="4846" width="17" style="723" bestFit="1" customWidth="1"/>
    <col min="4847" max="4847" width="13.1640625" style="723" bestFit="1" customWidth="1"/>
    <col min="4848" max="4848" width="17.83203125" style="723" customWidth="1"/>
    <col min="4849" max="4849" width="18.1640625" style="723" bestFit="1" customWidth="1"/>
    <col min="4850" max="4850" width="16" style="723" bestFit="1" customWidth="1"/>
    <col min="4851" max="4851" width="14.6640625" style="723" bestFit="1" customWidth="1"/>
    <col min="4852" max="5093" width="9.33203125" style="723"/>
    <col min="5094" max="5094" width="22.5" style="723" customWidth="1"/>
    <col min="5095" max="5095" width="15.33203125" style="723" customWidth="1"/>
    <col min="5096" max="5096" width="16.5" style="723" customWidth="1"/>
    <col min="5097" max="5097" width="16.6640625" style="723" customWidth="1"/>
    <col min="5098" max="5098" width="38" style="723" customWidth="1"/>
    <col min="5099" max="5099" width="19.83203125" style="723" bestFit="1" customWidth="1"/>
    <col min="5100" max="5100" width="20" style="723" bestFit="1" customWidth="1"/>
    <col min="5101" max="5101" width="21.33203125" style="723" customWidth="1"/>
    <col min="5102" max="5102" width="17" style="723" bestFit="1" customWidth="1"/>
    <col min="5103" max="5103" width="13.1640625" style="723" bestFit="1" customWidth="1"/>
    <col min="5104" max="5104" width="17.83203125" style="723" customWidth="1"/>
    <col min="5105" max="5105" width="18.1640625" style="723" bestFit="1" customWidth="1"/>
    <col min="5106" max="5106" width="16" style="723" bestFit="1" customWidth="1"/>
    <col min="5107" max="5107" width="14.6640625" style="723" bestFit="1" customWidth="1"/>
    <col min="5108" max="5349" width="9.33203125" style="723"/>
    <col min="5350" max="5350" width="22.5" style="723" customWidth="1"/>
    <col min="5351" max="5351" width="15.33203125" style="723" customWidth="1"/>
    <col min="5352" max="5352" width="16.5" style="723" customWidth="1"/>
    <col min="5353" max="5353" width="16.6640625" style="723" customWidth="1"/>
    <col min="5354" max="5354" width="38" style="723" customWidth="1"/>
    <col min="5355" max="5355" width="19.83203125" style="723" bestFit="1" customWidth="1"/>
    <col min="5356" max="5356" width="20" style="723" bestFit="1" customWidth="1"/>
    <col min="5357" max="5357" width="21.33203125" style="723" customWidth="1"/>
    <col min="5358" max="5358" width="17" style="723" bestFit="1" customWidth="1"/>
    <col min="5359" max="5359" width="13.1640625" style="723" bestFit="1" customWidth="1"/>
    <col min="5360" max="5360" width="17.83203125" style="723" customWidth="1"/>
    <col min="5361" max="5361" width="18.1640625" style="723" bestFit="1" customWidth="1"/>
    <col min="5362" max="5362" width="16" style="723" bestFit="1" customWidth="1"/>
    <col min="5363" max="5363" width="14.6640625" style="723" bestFit="1" customWidth="1"/>
    <col min="5364" max="5605" width="9.33203125" style="723"/>
    <col min="5606" max="5606" width="22.5" style="723" customWidth="1"/>
    <col min="5607" max="5607" width="15.33203125" style="723" customWidth="1"/>
    <col min="5608" max="5608" width="16.5" style="723" customWidth="1"/>
    <col min="5609" max="5609" width="16.6640625" style="723" customWidth="1"/>
    <col min="5610" max="5610" width="38" style="723" customWidth="1"/>
    <col min="5611" max="5611" width="19.83203125" style="723" bestFit="1" customWidth="1"/>
    <col min="5612" max="5612" width="20" style="723" bestFit="1" customWidth="1"/>
    <col min="5613" max="5613" width="21.33203125" style="723" customWidth="1"/>
    <col min="5614" max="5614" width="17" style="723" bestFit="1" customWidth="1"/>
    <col min="5615" max="5615" width="13.1640625" style="723" bestFit="1" customWidth="1"/>
    <col min="5616" max="5616" width="17.83203125" style="723" customWidth="1"/>
    <col min="5617" max="5617" width="18.1640625" style="723" bestFit="1" customWidth="1"/>
    <col min="5618" max="5618" width="16" style="723" bestFit="1" customWidth="1"/>
    <col min="5619" max="5619" width="14.6640625" style="723" bestFit="1" customWidth="1"/>
    <col min="5620" max="5861" width="9.33203125" style="723"/>
    <col min="5862" max="5862" width="22.5" style="723" customWidth="1"/>
    <col min="5863" max="5863" width="15.33203125" style="723" customWidth="1"/>
    <col min="5864" max="5864" width="16.5" style="723" customWidth="1"/>
    <col min="5865" max="5865" width="16.6640625" style="723" customWidth="1"/>
    <col min="5866" max="5866" width="38" style="723" customWidth="1"/>
    <col min="5867" max="5867" width="19.83203125" style="723" bestFit="1" customWidth="1"/>
    <col min="5868" max="5868" width="20" style="723" bestFit="1" customWidth="1"/>
    <col min="5869" max="5869" width="21.33203125" style="723" customWidth="1"/>
    <col min="5870" max="5870" width="17" style="723" bestFit="1" customWidth="1"/>
    <col min="5871" max="5871" width="13.1640625" style="723" bestFit="1" customWidth="1"/>
    <col min="5872" max="5872" width="17.83203125" style="723" customWidth="1"/>
    <col min="5873" max="5873" width="18.1640625" style="723" bestFit="1" customWidth="1"/>
    <col min="5874" max="5874" width="16" style="723" bestFit="1" customWidth="1"/>
    <col min="5875" max="5875" width="14.6640625" style="723" bestFit="1" customWidth="1"/>
    <col min="5876" max="6117" width="9.33203125" style="723"/>
    <col min="6118" max="6118" width="22.5" style="723" customWidth="1"/>
    <col min="6119" max="6119" width="15.33203125" style="723" customWidth="1"/>
    <col min="6120" max="6120" width="16.5" style="723" customWidth="1"/>
    <col min="6121" max="6121" width="16.6640625" style="723" customWidth="1"/>
    <col min="6122" max="6122" width="38" style="723" customWidth="1"/>
    <col min="6123" max="6123" width="19.83203125" style="723" bestFit="1" customWidth="1"/>
    <col min="6124" max="6124" width="20" style="723" bestFit="1" customWidth="1"/>
    <col min="6125" max="6125" width="21.33203125" style="723" customWidth="1"/>
    <col min="6126" max="6126" width="17" style="723" bestFit="1" customWidth="1"/>
    <col min="6127" max="6127" width="13.1640625" style="723" bestFit="1" customWidth="1"/>
    <col min="6128" max="6128" width="17.83203125" style="723" customWidth="1"/>
    <col min="6129" max="6129" width="18.1640625" style="723" bestFit="1" customWidth="1"/>
    <col min="6130" max="6130" width="16" style="723" bestFit="1" customWidth="1"/>
    <col min="6131" max="6131" width="14.6640625" style="723" bestFit="1" customWidth="1"/>
    <col min="6132" max="6373" width="9.33203125" style="723"/>
    <col min="6374" max="6374" width="22.5" style="723" customWidth="1"/>
    <col min="6375" max="6375" width="15.33203125" style="723" customWidth="1"/>
    <col min="6376" max="6376" width="16.5" style="723" customWidth="1"/>
    <col min="6377" max="6377" width="16.6640625" style="723" customWidth="1"/>
    <col min="6378" max="6378" width="38" style="723" customWidth="1"/>
    <col min="6379" max="6379" width="19.83203125" style="723" bestFit="1" customWidth="1"/>
    <col min="6380" max="6380" width="20" style="723" bestFit="1" customWidth="1"/>
    <col min="6381" max="6381" width="21.33203125" style="723" customWidth="1"/>
    <col min="6382" max="6382" width="17" style="723" bestFit="1" customWidth="1"/>
    <col min="6383" max="6383" width="13.1640625" style="723" bestFit="1" customWidth="1"/>
    <col min="6384" max="6384" width="17.83203125" style="723" customWidth="1"/>
    <col min="6385" max="6385" width="18.1640625" style="723" bestFit="1" customWidth="1"/>
    <col min="6386" max="6386" width="16" style="723" bestFit="1" customWidth="1"/>
    <col min="6387" max="6387" width="14.6640625" style="723" bestFit="1" customWidth="1"/>
    <col min="6388" max="6629" width="9.33203125" style="723"/>
    <col min="6630" max="6630" width="22.5" style="723" customWidth="1"/>
    <col min="6631" max="6631" width="15.33203125" style="723" customWidth="1"/>
    <col min="6632" max="6632" width="16.5" style="723" customWidth="1"/>
    <col min="6633" max="6633" width="16.6640625" style="723" customWidth="1"/>
    <col min="6634" max="6634" width="38" style="723" customWidth="1"/>
    <col min="6635" max="6635" width="19.83203125" style="723" bestFit="1" customWidth="1"/>
    <col min="6636" max="6636" width="20" style="723" bestFit="1" customWidth="1"/>
    <col min="6637" max="6637" width="21.33203125" style="723" customWidth="1"/>
    <col min="6638" max="6638" width="17" style="723" bestFit="1" customWidth="1"/>
    <col min="6639" max="6639" width="13.1640625" style="723" bestFit="1" customWidth="1"/>
    <col min="6640" max="6640" width="17.83203125" style="723" customWidth="1"/>
    <col min="6641" max="6641" width="18.1640625" style="723" bestFit="1" customWidth="1"/>
    <col min="6642" max="6642" width="16" style="723" bestFit="1" customWidth="1"/>
    <col min="6643" max="6643" width="14.6640625" style="723" bestFit="1" customWidth="1"/>
    <col min="6644" max="6885" width="9.33203125" style="723"/>
    <col min="6886" max="6886" width="22.5" style="723" customWidth="1"/>
    <col min="6887" max="6887" width="15.33203125" style="723" customWidth="1"/>
    <col min="6888" max="6888" width="16.5" style="723" customWidth="1"/>
    <col min="6889" max="6889" width="16.6640625" style="723" customWidth="1"/>
    <col min="6890" max="6890" width="38" style="723" customWidth="1"/>
    <col min="6891" max="6891" width="19.83203125" style="723" bestFit="1" customWidth="1"/>
    <col min="6892" max="6892" width="20" style="723" bestFit="1" customWidth="1"/>
    <col min="6893" max="6893" width="21.33203125" style="723" customWidth="1"/>
    <col min="6894" max="6894" width="17" style="723" bestFit="1" customWidth="1"/>
    <col min="6895" max="6895" width="13.1640625" style="723" bestFit="1" customWidth="1"/>
    <col min="6896" max="6896" width="17.83203125" style="723" customWidth="1"/>
    <col min="6897" max="6897" width="18.1640625" style="723" bestFit="1" customWidth="1"/>
    <col min="6898" max="6898" width="16" style="723" bestFit="1" customWidth="1"/>
    <col min="6899" max="6899" width="14.6640625" style="723" bestFit="1" customWidth="1"/>
    <col min="6900" max="7141" width="9.33203125" style="723"/>
    <col min="7142" max="7142" width="22.5" style="723" customWidth="1"/>
    <col min="7143" max="7143" width="15.33203125" style="723" customWidth="1"/>
    <col min="7144" max="7144" width="16.5" style="723" customWidth="1"/>
    <col min="7145" max="7145" width="16.6640625" style="723" customWidth="1"/>
    <col min="7146" max="7146" width="38" style="723" customWidth="1"/>
    <col min="7147" max="7147" width="19.83203125" style="723" bestFit="1" customWidth="1"/>
    <col min="7148" max="7148" width="20" style="723" bestFit="1" customWidth="1"/>
    <col min="7149" max="7149" width="21.33203125" style="723" customWidth="1"/>
    <col min="7150" max="7150" width="17" style="723" bestFit="1" customWidth="1"/>
    <col min="7151" max="7151" width="13.1640625" style="723" bestFit="1" customWidth="1"/>
    <col min="7152" max="7152" width="17.83203125" style="723" customWidth="1"/>
    <col min="7153" max="7153" width="18.1640625" style="723" bestFit="1" customWidth="1"/>
    <col min="7154" max="7154" width="16" style="723" bestFit="1" customWidth="1"/>
    <col min="7155" max="7155" width="14.6640625" style="723" bestFit="1" customWidth="1"/>
    <col min="7156" max="7397" width="9.33203125" style="723"/>
    <col min="7398" max="7398" width="22.5" style="723" customWidth="1"/>
    <col min="7399" max="7399" width="15.33203125" style="723" customWidth="1"/>
    <col min="7400" max="7400" width="16.5" style="723" customWidth="1"/>
    <col min="7401" max="7401" width="16.6640625" style="723" customWidth="1"/>
    <col min="7402" max="7402" width="38" style="723" customWidth="1"/>
    <col min="7403" max="7403" width="19.83203125" style="723" bestFit="1" customWidth="1"/>
    <col min="7404" max="7404" width="20" style="723" bestFit="1" customWidth="1"/>
    <col min="7405" max="7405" width="21.33203125" style="723" customWidth="1"/>
    <col min="7406" max="7406" width="17" style="723" bestFit="1" customWidth="1"/>
    <col min="7407" max="7407" width="13.1640625" style="723" bestFit="1" customWidth="1"/>
    <col min="7408" max="7408" width="17.83203125" style="723" customWidth="1"/>
    <col min="7409" max="7409" width="18.1640625" style="723" bestFit="1" customWidth="1"/>
    <col min="7410" max="7410" width="16" style="723" bestFit="1" customWidth="1"/>
    <col min="7411" max="7411" width="14.6640625" style="723" bestFit="1" customWidth="1"/>
    <col min="7412" max="7653" width="9.33203125" style="723"/>
    <col min="7654" max="7654" width="22.5" style="723" customWidth="1"/>
    <col min="7655" max="7655" width="15.33203125" style="723" customWidth="1"/>
    <col min="7656" max="7656" width="16.5" style="723" customWidth="1"/>
    <col min="7657" max="7657" width="16.6640625" style="723" customWidth="1"/>
    <col min="7658" max="7658" width="38" style="723" customWidth="1"/>
    <col min="7659" max="7659" width="19.83203125" style="723" bestFit="1" customWidth="1"/>
    <col min="7660" max="7660" width="20" style="723" bestFit="1" customWidth="1"/>
    <col min="7661" max="7661" width="21.33203125" style="723" customWidth="1"/>
    <col min="7662" max="7662" width="17" style="723" bestFit="1" customWidth="1"/>
    <col min="7663" max="7663" width="13.1640625" style="723" bestFit="1" customWidth="1"/>
    <col min="7664" max="7664" width="17.83203125" style="723" customWidth="1"/>
    <col min="7665" max="7665" width="18.1640625" style="723" bestFit="1" customWidth="1"/>
    <col min="7666" max="7666" width="16" style="723" bestFit="1" customWidth="1"/>
    <col min="7667" max="7667" width="14.6640625" style="723" bestFit="1" customWidth="1"/>
    <col min="7668" max="7909" width="9.33203125" style="723"/>
    <col min="7910" max="7910" width="22.5" style="723" customWidth="1"/>
    <col min="7911" max="7911" width="15.33203125" style="723" customWidth="1"/>
    <col min="7912" max="7912" width="16.5" style="723" customWidth="1"/>
    <col min="7913" max="7913" width="16.6640625" style="723" customWidth="1"/>
    <col min="7914" max="7914" width="38" style="723" customWidth="1"/>
    <col min="7915" max="7915" width="19.83203125" style="723" bestFit="1" customWidth="1"/>
    <col min="7916" max="7916" width="20" style="723" bestFit="1" customWidth="1"/>
    <col min="7917" max="7917" width="21.33203125" style="723" customWidth="1"/>
    <col min="7918" max="7918" width="17" style="723" bestFit="1" customWidth="1"/>
    <col min="7919" max="7919" width="13.1640625" style="723" bestFit="1" customWidth="1"/>
    <col min="7920" max="7920" width="17.83203125" style="723" customWidth="1"/>
    <col min="7921" max="7921" width="18.1640625" style="723" bestFit="1" customWidth="1"/>
    <col min="7922" max="7922" width="16" style="723" bestFit="1" customWidth="1"/>
    <col min="7923" max="7923" width="14.6640625" style="723" bestFit="1" customWidth="1"/>
    <col min="7924" max="8165" width="9.33203125" style="723"/>
    <col min="8166" max="8166" width="22.5" style="723" customWidth="1"/>
    <col min="8167" max="8167" width="15.33203125" style="723" customWidth="1"/>
    <col min="8168" max="8168" width="16.5" style="723" customWidth="1"/>
    <col min="8169" max="8169" width="16.6640625" style="723" customWidth="1"/>
    <col min="8170" max="8170" width="38" style="723" customWidth="1"/>
    <col min="8171" max="8171" width="19.83203125" style="723" bestFit="1" customWidth="1"/>
    <col min="8172" max="8172" width="20" style="723" bestFit="1" customWidth="1"/>
    <col min="8173" max="8173" width="21.33203125" style="723" customWidth="1"/>
    <col min="8174" max="8174" width="17" style="723" bestFit="1" customWidth="1"/>
    <col min="8175" max="8175" width="13.1640625" style="723" bestFit="1" customWidth="1"/>
    <col min="8176" max="8176" width="17.83203125" style="723" customWidth="1"/>
    <col min="8177" max="8177" width="18.1640625" style="723" bestFit="1" customWidth="1"/>
    <col min="8178" max="8178" width="16" style="723" bestFit="1" customWidth="1"/>
    <col min="8179" max="8179" width="14.6640625" style="723" bestFit="1" customWidth="1"/>
    <col min="8180" max="8421" width="9.33203125" style="723"/>
    <col min="8422" max="8422" width="22.5" style="723" customWidth="1"/>
    <col min="8423" max="8423" width="15.33203125" style="723" customWidth="1"/>
    <col min="8424" max="8424" width="16.5" style="723" customWidth="1"/>
    <col min="8425" max="8425" width="16.6640625" style="723" customWidth="1"/>
    <col min="8426" max="8426" width="38" style="723" customWidth="1"/>
    <col min="8427" max="8427" width="19.83203125" style="723" bestFit="1" customWidth="1"/>
    <col min="8428" max="8428" width="20" style="723" bestFit="1" customWidth="1"/>
    <col min="8429" max="8429" width="21.33203125" style="723" customWidth="1"/>
    <col min="8430" max="8430" width="17" style="723" bestFit="1" customWidth="1"/>
    <col min="8431" max="8431" width="13.1640625" style="723" bestFit="1" customWidth="1"/>
    <col min="8432" max="8432" width="17.83203125" style="723" customWidth="1"/>
    <col min="8433" max="8433" width="18.1640625" style="723" bestFit="1" customWidth="1"/>
    <col min="8434" max="8434" width="16" style="723" bestFit="1" customWidth="1"/>
    <col min="8435" max="8435" width="14.6640625" style="723" bestFit="1" customWidth="1"/>
    <col min="8436" max="8677" width="9.33203125" style="723"/>
    <col min="8678" max="8678" width="22.5" style="723" customWidth="1"/>
    <col min="8679" max="8679" width="15.33203125" style="723" customWidth="1"/>
    <col min="8680" max="8680" width="16.5" style="723" customWidth="1"/>
    <col min="8681" max="8681" width="16.6640625" style="723" customWidth="1"/>
    <col min="8682" max="8682" width="38" style="723" customWidth="1"/>
    <col min="8683" max="8683" width="19.83203125" style="723" bestFit="1" customWidth="1"/>
    <col min="8684" max="8684" width="20" style="723" bestFit="1" customWidth="1"/>
    <col min="8685" max="8685" width="21.33203125" style="723" customWidth="1"/>
    <col min="8686" max="8686" width="17" style="723" bestFit="1" customWidth="1"/>
    <col min="8687" max="8687" width="13.1640625" style="723" bestFit="1" customWidth="1"/>
    <col min="8688" max="8688" width="17.83203125" style="723" customWidth="1"/>
    <col min="8689" max="8689" width="18.1640625" style="723" bestFit="1" customWidth="1"/>
    <col min="8690" max="8690" width="16" style="723" bestFit="1" customWidth="1"/>
    <col min="8691" max="8691" width="14.6640625" style="723" bestFit="1" customWidth="1"/>
    <col min="8692" max="8933" width="9.33203125" style="723"/>
    <col min="8934" max="8934" width="22.5" style="723" customWidth="1"/>
    <col min="8935" max="8935" width="15.33203125" style="723" customWidth="1"/>
    <col min="8936" max="8936" width="16.5" style="723" customWidth="1"/>
    <col min="8937" max="8937" width="16.6640625" style="723" customWidth="1"/>
    <col min="8938" max="8938" width="38" style="723" customWidth="1"/>
    <col min="8939" max="8939" width="19.83203125" style="723" bestFit="1" customWidth="1"/>
    <col min="8940" max="8940" width="20" style="723" bestFit="1" customWidth="1"/>
    <col min="8941" max="8941" width="21.33203125" style="723" customWidth="1"/>
    <col min="8942" max="8942" width="17" style="723" bestFit="1" customWidth="1"/>
    <col min="8943" max="8943" width="13.1640625" style="723" bestFit="1" customWidth="1"/>
    <col min="8944" max="8944" width="17.83203125" style="723" customWidth="1"/>
    <col min="8945" max="8945" width="18.1640625" style="723" bestFit="1" customWidth="1"/>
    <col min="8946" max="8946" width="16" style="723" bestFit="1" customWidth="1"/>
    <col min="8947" max="8947" width="14.6640625" style="723" bestFit="1" customWidth="1"/>
    <col min="8948" max="9189" width="9.33203125" style="723"/>
    <col min="9190" max="9190" width="22.5" style="723" customWidth="1"/>
    <col min="9191" max="9191" width="15.33203125" style="723" customWidth="1"/>
    <col min="9192" max="9192" width="16.5" style="723" customWidth="1"/>
    <col min="9193" max="9193" width="16.6640625" style="723" customWidth="1"/>
    <col min="9194" max="9194" width="38" style="723" customWidth="1"/>
    <col min="9195" max="9195" width="19.83203125" style="723" bestFit="1" customWidth="1"/>
    <col min="9196" max="9196" width="20" style="723" bestFit="1" customWidth="1"/>
    <col min="9197" max="9197" width="21.33203125" style="723" customWidth="1"/>
    <col min="9198" max="9198" width="17" style="723" bestFit="1" customWidth="1"/>
    <col min="9199" max="9199" width="13.1640625" style="723" bestFit="1" customWidth="1"/>
    <col min="9200" max="9200" width="17.83203125" style="723" customWidth="1"/>
    <col min="9201" max="9201" width="18.1640625" style="723" bestFit="1" customWidth="1"/>
    <col min="9202" max="9202" width="16" style="723" bestFit="1" customWidth="1"/>
    <col min="9203" max="9203" width="14.6640625" style="723" bestFit="1" customWidth="1"/>
    <col min="9204" max="9445" width="9.33203125" style="723"/>
    <col min="9446" max="9446" width="22.5" style="723" customWidth="1"/>
    <col min="9447" max="9447" width="15.33203125" style="723" customWidth="1"/>
    <col min="9448" max="9448" width="16.5" style="723" customWidth="1"/>
    <col min="9449" max="9449" width="16.6640625" style="723" customWidth="1"/>
    <col min="9450" max="9450" width="38" style="723" customWidth="1"/>
    <col min="9451" max="9451" width="19.83203125" style="723" bestFit="1" customWidth="1"/>
    <col min="9452" max="9452" width="20" style="723" bestFit="1" customWidth="1"/>
    <col min="9453" max="9453" width="21.33203125" style="723" customWidth="1"/>
    <col min="9454" max="9454" width="17" style="723" bestFit="1" customWidth="1"/>
    <col min="9455" max="9455" width="13.1640625" style="723" bestFit="1" customWidth="1"/>
    <col min="9456" max="9456" width="17.83203125" style="723" customWidth="1"/>
    <col min="9457" max="9457" width="18.1640625" style="723" bestFit="1" customWidth="1"/>
    <col min="9458" max="9458" width="16" style="723" bestFit="1" customWidth="1"/>
    <col min="9459" max="9459" width="14.6640625" style="723" bestFit="1" customWidth="1"/>
    <col min="9460" max="9701" width="9.33203125" style="723"/>
    <col min="9702" max="9702" width="22.5" style="723" customWidth="1"/>
    <col min="9703" max="9703" width="15.33203125" style="723" customWidth="1"/>
    <col min="9704" max="9704" width="16.5" style="723" customWidth="1"/>
    <col min="9705" max="9705" width="16.6640625" style="723" customWidth="1"/>
    <col min="9706" max="9706" width="38" style="723" customWidth="1"/>
    <col min="9707" max="9707" width="19.83203125" style="723" bestFit="1" customWidth="1"/>
    <col min="9708" max="9708" width="20" style="723" bestFit="1" customWidth="1"/>
    <col min="9709" max="9709" width="21.33203125" style="723" customWidth="1"/>
    <col min="9710" max="9710" width="17" style="723" bestFit="1" customWidth="1"/>
    <col min="9711" max="9711" width="13.1640625" style="723" bestFit="1" customWidth="1"/>
    <col min="9712" max="9712" width="17.83203125" style="723" customWidth="1"/>
    <col min="9713" max="9713" width="18.1640625" style="723" bestFit="1" customWidth="1"/>
    <col min="9714" max="9714" width="16" style="723" bestFit="1" customWidth="1"/>
    <col min="9715" max="9715" width="14.6640625" style="723" bestFit="1" customWidth="1"/>
    <col min="9716" max="9957" width="9.33203125" style="723"/>
    <col min="9958" max="9958" width="22.5" style="723" customWidth="1"/>
    <col min="9959" max="9959" width="15.33203125" style="723" customWidth="1"/>
    <col min="9960" max="9960" width="16.5" style="723" customWidth="1"/>
    <col min="9961" max="9961" width="16.6640625" style="723" customWidth="1"/>
    <col min="9962" max="9962" width="38" style="723" customWidth="1"/>
    <col min="9963" max="9963" width="19.83203125" style="723" bestFit="1" customWidth="1"/>
    <col min="9964" max="9964" width="20" style="723" bestFit="1" customWidth="1"/>
    <col min="9965" max="9965" width="21.33203125" style="723" customWidth="1"/>
    <col min="9966" max="9966" width="17" style="723" bestFit="1" customWidth="1"/>
    <col min="9967" max="9967" width="13.1640625" style="723" bestFit="1" customWidth="1"/>
    <col min="9968" max="9968" width="17.83203125" style="723" customWidth="1"/>
    <col min="9969" max="9969" width="18.1640625" style="723" bestFit="1" customWidth="1"/>
    <col min="9970" max="9970" width="16" style="723" bestFit="1" customWidth="1"/>
    <col min="9971" max="9971" width="14.6640625" style="723" bestFit="1" customWidth="1"/>
    <col min="9972" max="10213" width="9.33203125" style="723"/>
    <col min="10214" max="10214" width="22.5" style="723" customWidth="1"/>
    <col min="10215" max="10215" width="15.33203125" style="723" customWidth="1"/>
    <col min="10216" max="10216" width="16.5" style="723" customWidth="1"/>
    <col min="10217" max="10217" width="16.6640625" style="723" customWidth="1"/>
    <col min="10218" max="10218" width="38" style="723" customWidth="1"/>
    <col min="10219" max="10219" width="19.83203125" style="723" bestFit="1" customWidth="1"/>
    <col min="10220" max="10220" width="20" style="723" bestFit="1" customWidth="1"/>
    <col min="10221" max="10221" width="21.33203125" style="723" customWidth="1"/>
    <col min="10222" max="10222" width="17" style="723" bestFit="1" customWidth="1"/>
    <col min="10223" max="10223" width="13.1640625" style="723" bestFit="1" customWidth="1"/>
    <col min="10224" max="10224" width="17.83203125" style="723" customWidth="1"/>
    <col min="10225" max="10225" width="18.1640625" style="723" bestFit="1" customWidth="1"/>
    <col min="10226" max="10226" width="16" style="723" bestFit="1" customWidth="1"/>
    <col min="10227" max="10227" width="14.6640625" style="723" bestFit="1" customWidth="1"/>
    <col min="10228" max="10469" width="9.33203125" style="723"/>
    <col min="10470" max="10470" width="22.5" style="723" customWidth="1"/>
    <col min="10471" max="10471" width="15.33203125" style="723" customWidth="1"/>
    <col min="10472" max="10472" width="16.5" style="723" customWidth="1"/>
    <col min="10473" max="10473" width="16.6640625" style="723" customWidth="1"/>
    <col min="10474" max="10474" width="38" style="723" customWidth="1"/>
    <col min="10475" max="10475" width="19.83203125" style="723" bestFit="1" customWidth="1"/>
    <col min="10476" max="10476" width="20" style="723" bestFit="1" customWidth="1"/>
    <col min="10477" max="10477" width="21.33203125" style="723" customWidth="1"/>
    <col min="10478" max="10478" width="17" style="723" bestFit="1" customWidth="1"/>
    <col min="10479" max="10479" width="13.1640625" style="723" bestFit="1" customWidth="1"/>
    <col min="10480" max="10480" width="17.83203125" style="723" customWidth="1"/>
    <col min="10481" max="10481" width="18.1640625" style="723" bestFit="1" customWidth="1"/>
    <col min="10482" max="10482" width="16" style="723" bestFit="1" customWidth="1"/>
    <col min="10483" max="10483" width="14.6640625" style="723" bestFit="1" customWidth="1"/>
    <col min="10484" max="10725" width="9.33203125" style="723"/>
    <col min="10726" max="10726" width="22.5" style="723" customWidth="1"/>
    <col min="10727" max="10727" width="15.33203125" style="723" customWidth="1"/>
    <col min="10728" max="10728" width="16.5" style="723" customWidth="1"/>
    <col min="10729" max="10729" width="16.6640625" style="723" customWidth="1"/>
    <col min="10730" max="10730" width="38" style="723" customWidth="1"/>
    <col min="10731" max="10731" width="19.83203125" style="723" bestFit="1" customWidth="1"/>
    <col min="10732" max="10732" width="20" style="723" bestFit="1" customWidth="1"/>
    <col min="10733" max="10733" width="21.33203125" style="723" customWidth="1"/>
    <col min="10734" max="10734" width="17" style="723" bestFit="1" customWidth="1"/>
    <col min="10735" max="10735" width="13.1640625" style="723" bestFit="1" customWidth="1"/>
    <col min="10736" max="10736" width="17.83203125" style="723" customWidth="1"/>
    <col min="10737" max="10737" width="18.1640625" style="723" bestFit="1" customWidth="1"/>
    <col min="10738" max="10738" width="16" style="723" bestFit="1" customWidth="1"/>
    <col min="10739" max="10739" width="14.6640625" style="723" bestFit="1" customWidth="1"/>
    <col min="10740" max="10981" width="9.33203125" style="723"/>
    <col min="10982" max="10982" width="22.5" style="723" customWidth="1"/>
    <col min="10983" max="10983" width="15.33203125" style="723" customWidth="1"/>
    <col min="10984" max="10984" width="16.5" style="723" customWidth="1"/>
    <col min="10985" max="10985" width="16.6640625" style="723" customWidth="1"/>
    <col min="10986" max="10986" width="38" style="723" customWidth="1"/>
    <col min="10987" max="10987" width="19.83203125" style="723" bestFit="1" customWidth="1"/>
    <col min="10988" max="10988" width="20" style="723" bestFit="1" customWidth="1"/>
    <col min="10989" max="10989" width="21.33203125" style="723" customWidth="1"/>
    <col min="10990" max="10990" width="17" style="723" bestFit="1" customWidth="1"/>
    <col min="10991" max="10991" width="13.1640625" style="723" bestFit="1" customWidth="1"/>
    <col min="10992" max="10992" width="17.83203125" style="723" customWidth="1"/>
    <col min="10993" max="10993" width="18.1640625" style="723" bestFit="1" customWidth="1"/>
    <col min="10994" max="10994" width="16" style="723" bestFit="1" customWidth="1"/>
    <col min="10995" max="10995" width="14.6640625" style="723" bestFit="1" customWidth="1"/>
    <col min="10996" max="11237" width="9.33203125" style="723"/>
    <col min="11238" max="11238" width="22.5" style="723" customWidth="1"/>
    <col min="11239" max="11239" width="15.33203125" style="723" customWidth="1"/>
    <col min="11240" max="11240" width="16.5" style="723" customWidth="1"/>
    <col min="11241" max="11241" width="16.6640625" style="723" customWidth="1"/>
    <col min="11242" max="11242" width="38" style="723" customWidth="1"/>
    <col min="11243" max="11243" width="19.83203125" style="723" bestFit="1" customWidth="1"/>
    <col min="11244" max="11244" width="20" style="723" bestFit="1" customWidth="1"/>
    <col min="11245" max="11245" width="21.33203125" style="723" customWidth="1"/>
    <col min="11246" max="11246" width="17" style="723" bestFit="1" customWidth="1"/>
    <col min="11247" max="11247" width="13.1640625" style="723" bestFit="1" customWidth="1"/>
    <col min="11248" max="11248" width="17.83203125" style="723" customWidth="1"/>
    <col min="11249" max="11249" width="18.1640625" style="723" bestFit="1" customWidth="1"/>
    <col min="11250" max="11250" width="16" style="723" bestFit="1" customWidth="1"/>
    <col min="11251" max="11251" width="14.6640625" style="723" bestFit="1" customWidth="1"/>
    <col min="11252" max="11493" width="9.33203125" style="723"/>
    <col min="11494" max="11494" width="22.5" style="723" customWidth="1"/>
    <col min="11495" max="11495" width="15.33203125" style="723" customWidth="1"/>
    <col min="11496" max="11496" width="16.5" style="723" customWidth="1"/>
    <col min="11497" max="11497" width="16.6640625" style="723" customWidth="1"/>
    <col min="11498" max="11498" width="38" style="723" customWidth="1"/>
    <col min="11499" max="11499" width="19.83203125" style="723" bestFit="1" customWidth="1"/>
    <col min="11500" max="11500" width="20" style="723" bestFit="1" customWidth="1"/>
    <col min="11501" max="11501" width="21.33203125" style="723" customWidth="1"/>
    <col min="11502" max="11502" width="17" style="723" bestFit="1" customWidth="1"/>
    <col min="11503" max="11503" width="13.1640625" style="723" bestFit="1" customWidth="1"/>
    <col min="11504" max="11504" width="17.83203125" style="723" customWidth="1"/>
    <col min="11505" max="11505" width="18.1640625" style="723" bestFit="1" customWidth="1"/>
    <col min="11506" max="11506" width="16" style="723" bestFit="1" customWidth="1"/>
    <col min="11507" max="11507" width="14.6640625" style="723" bestFit="1" customWidth="1"/>
    <col min="11508" max="11749" width="9.33203125" style="723"/>
    <col min="11750" max="11750" width="22.5" style="723" customWidth="1"/>
    <col min="11751" max="11751" width="15.33203125" style="723" customWidth="1"/>
    <col min="11752" max="11752" width="16.5" style="723" customWidth="1"/>
    <col min="11753" max="11753" width="16.6640625" style="723" customWidth="1"/>
    <col min="11754" max="11754" width="38" style="723" customWidth="1"/>
    <col min="11755" max="11755" width="19.83203125" style="723" bestFit="1" customWidth="1"/>
    <col min="11756" max="11756" width="20" style="723" bestFit="1" customWidth="1"/>
    <col min="11757" max="11757" width="21.33203125" style="723" customWidth="1"/>
    <col min="11758" max="11758" width="17" style="723" bestFit="1" customWidth="1"/>
    <col min="11759" max="11759" width="13.1640625" style="723" bestFit="1" customWidth="1"/>
    <col min="11760" max="11760" width="17.83203125" style="723" customWidth="1"/>
    <col min="11761" max="11761" width="18.1640625" style="723" bestFit="1" customWidth="1"/>
    <col min="11762" max="11762" width="16" style="723" bestFit="1" customWidth="1"/>
    <col min="11763" max="11763" width="14.6640625" style="723" bestFit="1" customWidth="1"/>
    <col min="11764" max="12005" width="9.33203125" style="723"/>
    <col min="12006" max="12006" width="22.5" style="723" customWidth="1"/>
    <col min="12007" max="12007" width="15.33203125" style="723" customWidth="1"/>
    <col min="12008" max="12008" width="16.5" style="723" customWidth="1"/>
    <col min="12009" max="12009" width="16.6640625" style="723" customWidth="1"/>
    <col min="12010" max="12010" width="38" style="723" customWidth="1"/>
    <col min="12011" max="12011" width="19.83203125" style="723" bestFit="1" customWidth="1"/>
    <col min="12012" max="12012" width="20" style="723" bestFit="1" customWidth="1"/>
    <col min="12013" max="12013" width="21.33203125" style="723" customWidth="1"/>
    <col min="12014" max="12014" width="17" style="723" bestFit="1" customWidth="1"/>
    <col min="12015" max="12015" width="13.1640625" style="723" bestFit="1" customWidth="1"/>
    <col min="12016" max="12016" width="17.83203125" style="723" customWidth="1"/>
    <col min="12017" max="12017" width="18.1640625" style="723" bestFit="1" customWidth="1"/>
    <col min="12018" max="12018" width="16" style="723" bestFit="1" customWidth="1"/>
    <col min="12019" max="12019" width="14.6640625" style="723" bestFit="1" customWidth="1"/>
    <col min="12020" max="12261" width="9.33203125" style="723"/>
    <col min="12262" max="12262" width="22.5" style="723" customWidth="1"/>
    <col min="12263" max="12263" width="15.33203125" style="723" customWidth="1"/>
    <col min="12264" max="12264" width="16.5" style="723" customWidth="1"/>
    <col min="12265" max="12265" width="16.6640625" style="723" customWidth="1"/>
    <col min="12266" max="12266" width="38" style="723" customWidth="1"/>
    <col min="12267" max="12267" width="19.83203125" style="723" bestFit="1" customWidth="1"/>
    <col min="12268" max="12268" width="20" style="723" bestFit="1" customWidth="1"/>
    <col min="12269" max="12269" width="21.33203125" style="723" customWidth="1"/>
    <col min="12270" max="12270" width="17" style="723" bestFit="1" customWidth="1"/>
    <col min="12271" max="12271" width="13.1640625" style="723" bestFit="1" customWidth="1"/>
    <col min="12272" max="12272" width="17.83203125" style="723" customWidth="1"/>
    <col min="12273" max="12273" width="18.1640625" style="723" bestFit="1" customWidth="1"/>
    <col min="12274" max="12274" width="16" style="723" bestFit="1" customWidth="1"/>
    <col min="12275" max="12275" width="14.6640625" style="723" bestFit="1" customWidth="1"/>
    <col min="12276" max="12517" width="9.33203125" style="723"/>
    <col min="12518" max="12518" width="22.5" style="723" customWidth="1"/>
    <col min="12519" max="12519" width="15.33203125" style="723" customWidth="1"/>
    <col min="12520" max="12520" width="16.5" style="723" customWidth="1"/>
    <col min="12521" max="12521" width="16.6640625" style="723" customWidth="1"/>
    <col min="12522" max="12522" width="38" style="723" customWidth="1"/>
    <col min="12523" max="12523" width="19.83203125" style="723" bestFit="1" customWidth="1"/>
    <col min="12524" max="12524" width="20" style="723" bestFit="1" customWidth="1"/>
    <col min="12525" max="12525" width="21.33203125" style="723" customWidth="1"/>
    <col min="12526" max="12526" width="17" style="723" bestFit="1" customWidth="1"/>
    <col min="12527" max="12527" width="13.1640625" style="723" bestFit="1" customWidth="1"/>
    <col min="12528" max="12528" width="17.83203125" style="723" customWidth="1"/>
    <col min="12529" max="12529" width="18.1640625" style="723" bestFit="1" customWidth="1"/>
    <col min="12530" max="12530" width="16" style="723" bestFit="1" customWidth="1"/>
    <col min="12531" max="12531" width="14.6640625" style="723" bestFit="1" customWidth="1"/>
    <col min="12532" max="12773" width="9.33203125" style="723"/>
    <col min="12774" max="12774" width="22.5" style="723" customWidth="1"/>
    <col min="12775" max="12775" width="15.33203125" style="723" customWidth="1"/>
    <col min="12776" max="12776" width="16.5" style="723" customWidth="1"/>
    <col min="12777" max="12777" width="16.6640625" style="723" customWidth="1"/>
    <col min="12778" max="12778" width="38" style="723" customWidth="1"/>
    <col min="12779" max="12779" width="19.83203125" style="723" bestFit="1" customWidth="1"/>
    <col min="12780" max="12780" width="20" style="723" bestFit="1" customWidth="1"/>
    <col min="12781" max="12781" width="21.33203125" style="723" customWidth="1"/>
    <col min="12782" max="12782" width="17" style="723" bestFit="1" customWidth="1"/>
    <col min="12783" max="12783" width="13.1640625" style="723" bestFit="1" customWidth="1"/>
    <col min="12784" max="12784" width="17.83203125" style="723" customWidth="1"/>
    <col min="12785" max="12785" width="18.1640625" style="723" bestFit="1" customWidth="1"/>
    <col min="12786" max="12786" width="16" style="723" bestFit="1" customWidth="1"/>
    <col min="12787" max="12787" width="14.6640625" style="723" bestFit="1" customWidth="1"/>
    <col min="12788" max="13029" width="9.33203125" style="723"/>
    <col min="13030" max="13030" width="22.5" style="723" customWidth="1"/>
    <col min="13031" max="13031" width="15.33203125" style="723" customWidth="1"/>
    <col min="13032" max="13032" width="16.5" style="723" customWidth="1"/>
    <col min="13033" max="13033" width="16.6640625" style="723" customWidth="1"/>
    <col min="13034" max="13034" width="38" style="723" customWidth="1"/>
    <col min="13035" max="13035" width="19.83203125" style="723" bestFit="1" customWidth="1"/>
    <col min="13036" max="13036" width="20" style="723" bestFit="1" customWidth="1"/>
    <col min="13037" max="13037" width="21.33203125" style="723" customWidth="1"/>
    <col min="13038" max="13038" width="17" style="723" bestFit="1" customWidth="1"/>
    <col min="13039" max="13039" width="13.1640625" style="723" bestFit="1" customWidth="1"/>
    <col min="13040" max="13040" width="17.83203125" style="723" customWidth="1"/>
    <col min="13041" max="13041" width="18.1640625" style="723" bestFit="1" customWidth="1"/>
    <col min="13042" max="13042" width="16" style="723" bestFit="1" customWidth="1"/>
    <col min="13043" max="13043" width="14.6640625" style="723" bestFit="1" customWidth="1"/>
    <col min="13044" max="13285" width="9.33203125" style="723"/>
    <col min="13286" max="13286" width="22.5" style="723" customWidth="1"/>
    <col min="13287" max="13287" width="15.33203125" style="723" customWidth="1"/>
    <col min="13288" max="13288" width="16.5" style="723" customWidth="1"/>
    <col min="13289" max="13289" width="16.6640625" style="723" customWidth="1"/>
    <col min="13290" max="13290" width="38" style="723" customWidth="1"/>
    <col min="13291" max="13291" width="19.83203125" style="723" bestFit="1" customWidth="1"/>
    <col min="13292" max="13292" width="20" style="723" bestFit="1" customWidth="1"/>
    <col min="13293" max="13293" width="21.33203125" style="723" customWidth="1"/>
    <col min="13294" max="13294" width="17" style="723" bestFit="1" customWidth="1"/>
    <col min="13295" max="13295" width="13.1640625" style="723" bestFit="1" customWidth="1"/>
    <col min="13296" max="13296" width="17.83203125" style="723" customWidth="1"/>
    <col min="13297" max="13297" width="18.1640625" style="723" bestFit="1" customWidth="1"/>
    <col min="13298" max="13298" width="16" style="723" bestFit="1" customWidth="1"/>
    <col min="13299" max="13299" width="14.6640625" style="723" bestFit="1" customWidth="1"/>
    <col min="13300" max="13541" width="9.33203125" style="723"/>
    <col min="13542" max="13542" width="22.5" style="723" customWidth="1"/>
    <col min="13543" max="13543" width="15.33203125" style="723" customWidth="1"/>
    <col min="13544" max="13544" width="16.5" style="723" customWidth="1"/>
    <col min="13545" max="13545" width="16.6640625" style="723" customWidth="1"/>
    <col min="13546" max="13546" width="38" style="723" customWidth="1"/>
    <col min="13547" max="13547" width="19.83203125" style="723" bestFit="1" customWidth="1"/>
    <col min="13548" max="13548" width="20" style="723" bestFit="1" customWidth="1"/>
    <col min="13549" max="13549" width="21.33203125" style="723" customWidth="1"/>
    <col min="13550" max="13550" width="17" style="723" bestFit="1" customWidth="1"/>
    <col min="13551" max="13551" width="13.1640625" style="723" bestFit="1" customWidth="1"/>
    <col min="13552" max="13552" width="17.83203125" style="723" customWidth="1"/>
    <col min="13553" max="13553" width="18.1640625" style="723" bestFit="1" customWidth="1"/>
    <col min="13554" max="13554" width="16" style="723" bestFit="1" customWidth="1"/>
    <col min="13555" max="13555" width="14.6640625" style="723" bestFit="1" customWidth="1"/>
    <col min="13556" max="13797" width="9.33203125" style="723"/>
    <col min="13798" max="13798" width="22.5" style="723" customWidth="1"/>
    <col min="13799" max="13799" width="15.33203125" style="723" customWidth="1"/>
    <col min="13800" max="13800" width="16.5" style="723" customWidth="1"/>
    <col min="13801" max="13801" width="16.6640625" style="723" customWidth="1"/>
    <col min="13802" max="13802" width="38" style="723" customWidth="1"/>
    <col min="13803" max="13803" width="19.83203125" style="723" bestFit="1" customWidth="1"/>
    <col min="13804" max="13804" width="20" style="723" bestFit="1" customWidth="1"/>
    <col min="13805" max="13805" width="21.33203125" style="723" customWidth="1"/>
    <col min="13806" max="13806" width="17" style="723" bestFit="1" customWidth="1"/>
    <col min="13807" max="13807" width="13.1640625" style="723" bestFit="1" customWidth="1"/>
    <col min="13808" max="13808" width="17.83203125" style="723" customWidth="1"/>
    <col min="13809" max="13809" width="18.1640625" style="723" bestFit="1" customWidth="1"/>
    <col min="13810" max="13810" width="16" style="723" bestFit="1" customWidth="1"/>
    <col min="13811" max="13811" width="14.6640625" style="723" bestFit="1" customWidth="1"/>
    <col min="13812" max="14053" width="9.33203125" style="723"/>
    <col min="14054" max="14054" width="22.5" style="723" customWidth="1"/>
    <col min="14055" max="14055" width="15.33203125" style="723" customWidth="1"/>
    <col min="14056" max="14056" width="16.5" style="723" customWidth="1"/>
    <col min="14057" max="14057" width="16.6640625" style="723" customWidth="1"/>
    <col min="14058" max="14058" width="38" style="723" customWidth="1"/>
    <col min="14059" max="14059" width="19.83203125" style="723" bestFit="1" customWidth="1"/>
    <col min="14060" max="14060" width="20" style="723" bestFit="1" customWidth="1"/>
    <col min="14061" max="14061" width="21.33203125" style="723" customWidth="1"/>
    <col min="14062" max="14062" width="17" style="723" bestFit="1" customWidth="1"/>
    <col min="14063" max="14063" width="13.1640625" style="723" bestFit="1" customWidth="1"/>
    <col min="14064" max="14064" width="17.83203125" style="723" customWidth="1"/>
    <col min="14065" max="14065" width="18.1640625" style="723" bestFit="1" customWidth="1"/>
    <col min="14066" max="14066" width="16" style="723" bestFit="1" customWidth="1"/>
    <col min="14067" max="14067" width="14.6640625" style="723" bestFit="1" customWidth="1"/>
    <col min="14068" max="14309" width="9.33203125" style="723"/>
    <col min="14310" max="14310" width="22.5" style="723" customWidth="1"/>
    <col min="14311" max="14311" width="15.33203125" style="723" customWidth="1"/>
    <col min="14312" max="14312" width="16.5" style="723" customWidth="1"/>
    <col min="14313" max="14313" width="16.6640625" style="723" customWidth="1"/>
    <col min="14314" max="14314" width="38" style="723" customWidth="1"/>
    <col min="14315" max="14315" width="19.83203125" style="723" bestFit="1" customWidth="1"/>
    <col min="14316" max="14316" width="20" style="723" bestFit="1" customWidth="1"/>
    <col min="14317" max="14317" width="21.33203125" style="723" customWidth="1"/>
    <col min="14318" max="14318" width="17" style="723" bestFit="1" customWidth="1"/>
    <col min="14319" max="14319" width="13.1640625" style="723" bestFit="1" customWidth="1"/>
    <col min="14320" max="14320" width="17.83203125" style="723" customWidth="1"/>
    <col min="14321" max="14321" width="18.1640625" style="723" bestFit="1" customWidth="1"/>
    <col min="14322" max="14322" width="16" style="723" bestFit="1" customWidth="1"/>
    <col min="14323" max="14323" width="14.6640625" style="723" bestFit="1" customWidth="1"/>
    <col min="14324" max="14565" width="9.33203125" style="723"/>
    <col min="14566" max="14566" width="22.5" style="723" customWidth="1"/>
    <col min="14567" max="14567" width="15.33203125" style="723" customWidth="1"/>
    <col min="14568" max="14568" width="16.5" style="723" customWidth="1"/>
    <col min="14569" max="14569" width="16.6640625" style="723" customWidth="1"/>
    <col min="14570" max="14570" width="38" style="723" customWidth="1"/>
    <col min="14571" max="14571" width="19.83203125" style="723" bestFit="1" customWidth="1"/>
    <col min="14572" max="14572" width="20" style="723" bestFit="1" customWidth="1"/>
    <col min="14573" max="14573" width="21.33203125" style="723" customWidth="1"/>
    <col min="14574" max="14574" width="17" style="723" bestFit="1" customWidth="1"/>
    <col min="14575" max="14575" width="13.1640625" style="723" bestFit="1" customWidth="1"/>
    <col min="14576" max="14576" width="17.83203125" style="723" customWidth="1"/>
    <col min="14577" max="14577" width="18.1640625" style="723" bestFit="1" customWidth="1"/>
    <col min="14578" max="14578" width="16" style="723" bestFit="1" customWidth="1"/>
    <col min="14579" max="14579" width="14.6640625" style="723" bestFit="1" customWidth="1"/>
    <col min="14580" max="14821" width="9.33203125" style="723"/>
    <col min="14822" max="14822" width="22.5" style="723" customWidth="1"/>
    <col min="14823" max="14823" width="15.33203125" style="723" customWidth="1"/>
    <col min="14824" max="14824" width="16.5" style="723" customWidth="1"/>
    <col min="14825" max="14825" width="16.6640625" style="723" customWidth="1"/>
    <col min="14826" max="14826" width="38" style="723" customWidth="1"/>
    <col min="14827" max="14827" width="19.83203125" style="723" bestFit="1" customWidth="1"/>
    <col min="14828" max="14828" width="20" style="723" bestFit="1" customWidth="1"/>
    <col min="14829" max="14829" width="21.33203125" style="723" customWidth="1"/>
    <col min="14830" max="14830" width="17" style="723" bestFit="1" customWidth="1"/>
    <col min="14831" max="14831" width="13.1640625" style="723" bestFit="1" customWidth="1"/>
    <col min="14832" max="14832" width="17.83203125" style="723" customWidth="1"/>
    <col min="14833" max="14833" width="18.1640625" style="723" bestFit="1" customWidth="1"/>
    <col min="14834" max="14834" width="16" style="723" bestFit="1" customWidth="1"/>
    <col min="14835" max="14835" width="14.6640625" style="723" bestFit="1" customWidth="1"/>
    <col min="14836" max="15077" width="9.33203125" style="723"/>
    <col min="15078" max="15078" width="22.5" style="723" customWidth="1"/>
    <col min="15079" max="15079" width="15.33203125" style="723" customWidth="1"/>
    <col min="15080" max="15080" width="16.5" style="723" customWidth="1"/>
    <col min="15081" max="15081" width="16.6640625" style="723" customWidth="1"/>
    <col min="15082" max="15082" width="38" style="723" customWidth="1"/>
    <col min="15083" max="15083" width="19.83203125" style="723" bestFit="1" customWidth="1"/>
    <col min="15084" max="15084" width="20" style="723" bestFit="1" customWidth="1"/>
    <col min="15085" max="15085" width="21.33203125" style="723" customWidth="1"/>
    <col min="15086" max="15086" width="17" style="723" bestFit="1" customWidth="1"/>
    <col min="15087" max="15087" width="13.1640625" style="723" bestFit="1" customWidth="1"/>
    <col min="15088" max="15088" width="17.83203125" style="723" customWidth="1"/>
    <col min="15089" max="15089" width="18.1640625" style="723" bestFit="1" customWidth="1"/>
    <col min="15090" max="15090" width="16" style="723" bestFit="1" customWidth="1"/>
    <col min="15091" max="15091" width="14.6640625" style="723" bestFit="1" customWidth="1"/>
    <col min="15092" max="15333" width="9.33203125" style="723"/>
    <col min="15334" max="15334" width="22.5" style="723" customWidth="1"/>
    <col min="15335" max="15335" width="15.33203125" style="723" customWidth="1"/>
    <col min="15336" max="15336" width="16.5" style="723" customWidth="1"/>
    <col min="15337" max="15337" width="16.6640625" style="723" customWidth="1"/>
    <col min="15338" max="15338" width="38" style="723" customWidth="1"/>
    <col min="15339" max="15339" width="19.83203125" style="723" bestFit="1" customWidth="1"/>
    <col min="15340" max="15340" width="20" style="723" bestFit="1" customWidth="1"/>
    <col min="15341" max="15341" width="21.33203125" style="723" customWidth="1"/>
    <col min="15342" max="15342" width="17" style="723" bestFit="1" customWidth="1"/>
    <col min="15343" max="15343" width="13.1640625" style="723" bestFit="1" customWidth="1"/>
    <col min="15344" max="15344" width="17.83203125" style="723" customWidth="1"/>
    <col min="15345" max="15345" width="18.1640625" style="723" bestFit="1" customWidth="1"/>
    <col min="15346" max="15346" width="16" style="723" bestFit="1" customWidth="1"/>
    <col min="15347" max="15347" width="14.6640625" style="723" bestFit="1" customWidth="1"/>
    <col min="15348" max="15589" width="9.33203125" style="723"/>
    <col min="15590" max="15590" width="22.5" style="723" customWidth="1"/>
    <col min="15591" max="15591" width="15.33203125" style="723" customWidth="1"/>
    <col min="15592" max="15592" width="16.5" style="723" customWidth="1"/>
    <col min="15593" max="15593" width="16.6640625" style="723" customWidth="1"/>
    <col min="15594" max="15594" width="38" style="723" customWidth="1"/>
    <col min="15595" max="15595" width="19.83203125" style="723" bestFit="1" customWidth="1"/>
    <col min="15596" max="15596" width="20" style="723" bestFit="1" customWidth="1"/>
    <col min="15597" max="15597" width="21.33203125" style="723" customWidth="1"/>
    <col min="15598" max="15598" width="17" style="723" bestFit="1" customWidth="1"/>
    <col min="15599" max="15599" width="13.1640625" style="723" bestFit="1" customWidth="1"/>
    <col min="15600" max="15600" width="17.83203125" style="723" customWidth="1"/>
    <col min="15601" max="15601" width="18.1640625" style="723" bestFit="1" customWidth="1"/>
    <col min="15602" max="15602" width="16" style="723" bestFit="1" customWidth="1"/>
    <col min="15603" max="15603" width="14.6640625" style="723" bestFit="1" customWidth="1"/>
    <col min="15604" max="15845" width="9.33203125" style="723"/>
    <col min="15846" max="15846" width="22.5" style="723" customWidth="1"/>
    <col min="15847" max="15847" width="15.33203125" style="723" customWidth="1"/>
    <col min="15848" max="15848" width="16.5" style="723" customWidth="1"/>
    <col min="15849" max="15849" width="16.6640625" style="723" customWidth="1"/>
    <col min="15850" max="15850" width="38" style="723" customWidth="1"/>
    <col min="15851" max="15851" width="19.83203125" style="723" bestFit="1" customWidth="1"/>
    <col min="15852" max="15852" width="20" style="723" bestFit="1" customWidth="1"/>
    <col min="15853" max="15853" width="21.33203125" style="723" customWidth="1"/>
    <col min="15854" max="15854" width="17" style="723" bestFit="1" customWidth="1"/>
    <col min="15855" max="15855" width="13.1640625" style="723" bestFit="1" customWidth="1"/>
    <col min="15856" max="15856" width="17.83203125" style="723" customWidth="1"/>
    <col min="15857" max="15857" width="18.1640625" style="723" bestFit="1" customWidth="1"/>
    <col min="15858" max="15858" width="16" style="723" bestFit="1" customWidth="1"/>
    <col min="15859" max="15859" width="14.6640625" style="723" bestFit="1" customWidth="1"/>
    <col min="15860" max="16101" width="9.33203125" style="723"/>
    <col min="16102" max="16102" width="22.5" style="723" customWidth="1"/>
    <col min="16103" max="16103" width="15.33203125" style="723" customWidth="1"/>
    <col min="16104" max="16104" width="16.5" style="723" customWidth="1"/>
    <col min="16105" max="16105" width="16.6640625" style="723" customWidth="1"/>
    <col min="16106" max="16106" width="38" style="723" customWidth="1"/>
    <col min="16107" max="16107" width="19.83203125" style="723" bestFit="1" customWidth="1"/>
    <col min="16108" max="16108" width="20" style="723" bestFit="1" customWidth="1"/>
    <col min="16109" max="16109" width="21.33203125" style="723" customWidth="1"/>
    <col min="16110" max="16110" width="17" style="723" bestFit="1" customWidth="1"/>
    <col min="16111" max="16111" width="13.1640625" style="723" bestFit="1" customWidth="1"/>
    <col min="16112" max="16112" width="17.83203125" style="723" customWidth="1"/>
    <col min="16113" max="16113" width="18.1640625" style="723" bestFit="1" customWidth="1"/>
    <col min="16114" max="16114" width="16" style="723" bestFit="1" customWidth="1"/>
    <col min="16115" max="16115" width="14.6640625" style="723" bestFit="1" customWidth="1"/>
    <col min="16116" max="16384" width="9.33203125" style="723"/>
  </cols>
  <sheetData>
    <row r="1" spans="2:11" ht="15.75" x14ac:dyDescent="0.25">
      <c r="B1" s="2075" t="s">
        <v>658</v>
      </c>
      <c r="C1" s="2075"/>
      <c r="D1" s="2075"/>
      <c r="E1" s="2075"/>
      <c r="F1" s="2075"/>
      <c r="G1" s="2075"/>
      <c r="H1" s="2075"/>
      <c r="I1" s="2075"/>
      <c r="J1" s="2075"/>
      <c r="K1" s="2075"/>
    </row>
    <row r="2" spans="2:11" ht="15.75" x14ac:dyDescent="0.25">
      <c r="B2" s="2094" t="s">
        <v>1190</v>
      </c>
      <c r="C2" s="2095"/>
      <c r="D2" s="2095"/>
      <c r="E2" s="2095"/>
      <c r="F2" s="2095"/>
      <c r="G2" s="2095"/>
      <c r="H2" s="2095"/>
      <c r="I2" s="2095"/>
      <c r="J2" s="2095"/>
      <c r="K2" s="2095"/>
    </row>
    <row r="3" spans="2:11" ht="15" x14ac:dyDescent="0.25">
      <c r="B3" s="737"/>
      <c r="C3" s="738"/>
      <c r="D3" s="738"/>
      <c r="E3" s="738"/>
      <c r="F3" s="738"/>
      <c r="G3" s="738"/>
      <c r="H3" s="738"/>
      <c r="I3" s="738"/>
      <c r="J3" s="738"/>
      <c r="K3" s="738"/>
    </row>
    <row r="4" spans="2:11" ht="15" x14ac:dyDescent="0.25">
      <c r="B4" s="737"/>
      <c r="C4" s="738"/>
      <c r="D4" s="738"/>
      <c r="E4" s="738"/>
      <c r="F4" s="738"/>
      <c r="G4" s="738"/>
      <c r="H4" s="738"/>
      <c r="I4" s="738"/>
      <c r="J4" s="738"/>
      <c r="K4" s="738"/>
    </row>
    <row r="5" spans="2:11" ht="16.5" thickBot="1" x14ac:dyDescent="0.3">
      <c r="K5" s="1727" t="s">
        <v>1000</v>
      </c>
    </row>
    <row r="6" spans="2:11" ht="22.5" customHeight="1" x14ac:dyDescent="0.2">
      <c r="B6" s="2076" t="s">
        <v>29</v>
      </c>
      <c r="C6" s="2077"/>
      <c r="D6" s="2077"/>
      <c r="E6" s="2078"/>
      <c r="F6" s="2085" t="s">
        <v>1136</v>
      </c>
      <c r="G6" s="2088" t="s">
        <v>1137</v>
      </c>
      <c r="H6" s="2089"/>
      <c r="I6" s="1719" t="s">
        <v>1138</v>
      </c>
      <c r="J6" s="1720" t="s">
        <v>1139</v>
      </c>
      <c r="K6" s="2092" t="s">
        <v>1140</v>
      </c>
    </row>
    <row r="7" spans="2:11" ht="22.5" customHeight="1" x14ac:dyDescent="0.2">
      <c r="B7" s="2079"/>
      <c r="C7" s="2080"/>
      <c r="D7" s="2080"/>
      <c r="E7" s="2081"/>
      <c r="F7" s="2086"/>
      <c r="G7" s="2090"/>
      <c r="H7" s="2091"/>
      <c r="I7" s="1721" t="s">
        <v>1141</v>
      </c>
      <c r="J7" s="1722" t="s">
        <v>1142</v>
      </c>
      <c r="K7" s="2093"/>
    </row>
    <row r="8" spans="2:11" ht="29.25" customHeight="1" thickBot="1" x14ac:dyDescent="0.25">
      <c r="B8" s="2082"/>
      <c r="C8" s="2083"/>
      <c r="D8" s="2083"/>
      <c r="E8" s="2084"/>
      <c r="F8" s="2087"/>
      <c r="G8" s="1723" t="s">
        <v>1143</v>
      </c>
      <c r="H8" s="1724" t="s">
        <v>1189</v>
      </c>
      <c r="I8" s="1725" t="s">
        <v>1144</v>
      </c>
      <c r="J8" s="1726" t="s">
        <v>990</v>
      </c>
      <c r="K8" s="2093"/>
    </row>
    <row r="9" spans="2:11" ht="18" customHeight="1" x14ac:dyDescent="0.25">
      <c r="B9" s="1668" t="s">
        <v>1145</v>
      </c>
      <c r="C9" s="1669"/>
      <c r="D9" s="1669"/>
      <c r="E9" s="1670"/>
      <c r="F9" s="1671">
        <f>(500+2500)</f>
        <v>3000</v>
      </c>
      <c r="G9" s="1672">
        <v>100</v>
      </c>
      <c r="H9" s="1673">
        <v>3000</v>
      </c>
      <c r="I9" s="1674">
        <f>500+2500</f>
        <v>3000</v>
      </c>
      <c r="J9" s="1675"/>
      <c r="K9" s="1675">
        <f>H9-I9-J9</f>
        <v>0</v>
      </c>
    </row>
    <row r="10" spans="2:11" ht="18" customHeight="1" x14ac:dyDescent="0.25">
      <c r="B10" s="1668" t="s">
        <v>1146</v>
      </c>
      <c r="C10" s="1669"/>
      <c r="D10" s="1669"/>
      <c r="E10" s="1670"/>
      <c r="F10" s="1671">
        <f>(7537500-5992312.5-370845)</f>
        <v>1174342.5</v>
      </c>
      <c r="G10" s="1672">
        <v>52.85</v>
      </c>
      <c r="H10" s="1673">
        <v>620645</v>
      </c>
      <c r="I10" s="1674"/>
      <c r="J10" s="1676"/>
      <c r="K10" s="1676">
        <f t="shared" ref="K10:K26" si="0">H10-I10-J10</f>
        <v>620645</v>
      </c>
    </row>
    <row r="11" spans="2:11" ht="18" customHeight="1" x14ac:dyDescent="0.25">
      <c r="B11" s="1677" t="s">
        <v>1147</v>
      </c>
      <c r="C11" s="1669"/>
      <c r="D11" s="1669"/>
      <c r="E11" s="1670"/>
      <c r="F11" s="1671">
        <v>40931</v>
      </c>
      <c r="G11" s="1672">
        <v>10.3</v>
      </c>
      <c r="H11" s="1673">
        <v>6244</v>
      </c>
      <c r="I11" s="1674"/>
      <c r="J11" s="1676"/>
      <c r="K11" s="1676">
        <f t="shared" si="0"/>
        <v>6244</v>
      </c>
    </row>
    <row r="12" spans="2:11" ht="18" customHeight="1" x14ac:dyDescent="0.25">
      <c r="B12" s="1678" t="s">
        <v>1148</v>
      </c>
      <c r="C12" s="1679"/>
      <c r="D12" s="1679"/>
      <c r="E12" s="1680"/>
      <c r="F12" s="1681">
        <v>150000</v>
      </c>
      <c r="G12" s="1682">
        <v>35</v>
      </c>
      <c r="H12" s="1683">
        <v>69490</v>
      </c>
      <c r="I12" s="1684"/>
      <c r="J12" s="1685"/>
      <c r="K12" s="1676">
        <f t="shared" si="0"/>
        <v>69490</v>
      </c>
    </row>
    <row r="13" spans="2:11" ht="18" customHeight="1" x14ac:dyDescent="0.25">
      <c r="B13" s="1678" t="s">
        <v>1149</v>
      </c>
      <c r="C13" s="1679"/>
      <c r="D13" s="1679"/>
      <c r="E13" s="1679"/>
      <c r="F13" s="1671">
        <f>(10000-9500+25000)</f>
        <v>25500</v>
      </c>
      <c r="G13" s="1682">
        <v>100</v>
      </c>
      <c r="H13" s="1683">
        <f>(500+25000)</f>
        <v>25500</v>
      </c>
      <c r="I13" s="1674">
        <v>0</v>
      </c>
      <c r="J13" s="1685"/>
      <c r="K13" s="1676">
        <f t="shared" si="0"/>
        <v>25500</v>
      </c>
    </row>
    <row r="14" spans="2:11" ht="18" customHeight="1" x14ac:dyDescent="0.25">
      <c r="B14" s="1678" t="s">
        <v>1150</v>
      </c>
      <c r="C14" s="1679"/>
      <c r="D14" s="1679"/>
      <c r="E14" s="1679"/>
      <c r="F14" s="1671">
        <v>3000</v>
      </c>
      <c r="G14" s="1682">
        <v>100</v>
      </c>
      <c r="H14" s="1683">
        <v>102627</v>
      </c>
      <c r="I14" s="1686"/>
      <c r="J14" s="1685"/>
      <c r="K14" s="1676">
        <f t="shared" si="0"/>
        <v>102627</v>
      </c>
    </row>
    <row r="15" spans="2:11" ht="18" customHeight="1" x14ac:dyDescent="0.25">
      <c r="B15" s="1687" t="s">
        <v>1151</v>
      </c>
      <c r="C15" s="1669"/>
      <c r="D15" s="1669"/>
      <c r="E15" s="1669"/>
      <c r="F15" s="1671"/>
      <c r="G15" s="1672"/>
      <c r="H15" s="1688">
        <f>SUM(H9:H14)</f>
        <v>827506</v>
      </c>
      <c r="I15" s="1689">
        <f>SUM(I9:I14)</f>
        <v>3000</v>
      </c>
      <c r="J15" s="1690">
        <f>SUM(J9:J14)</f>
        <v>0</v>
      </c>
      <c r="K15" s="1691">
        <f>SUM(K9:K14)</f>
        <v>824506</v>
      </c>
    </row>
    <row r="16" spans="2:11" ht="18" customHeight="1" x14ac:dyDescent="0.25">
      <c r="B16" s="1692" t="s">
        <v>1152</v>
      </c>
      <c r="C16" s="1693"/>
      <c r="D16" s="1693"/>
      <c r="E16" s="1694"/>
      <c r="F16" s="1695">
        <f>(1794000+335200+258800+275390+1815700+98800+202918+232000+90000)</f>
        <v>5102808</v>
      </c>
      <c r="G16" s="1696">
        <v>100</v>
      </c>
      <c r="H16" s="1697">
        <f>(2133575+389433+258800+275390+1815700+98800+202918+232000+90000)</f>
        <v>5496616</v>
      </c>
      <c r="I16" s="1698">
        <v>0</v>
      </c>
      <c r="J16" s="1699"/>
      <c r="K16" s="1676">
        <f t="shared" si="0"/>
        <v>5496616</v>
      </c>
    </row>
    <row r="17" spans="2:11" ht="18" customHeight="1" x14ac:dyDescent="0.25">
      <c r="B17" s="1677" t="s">
        <v>1153</v>
      </c>
      <c r="C17" s="1669"/>
      <c r="D17" s="1669"/>
      <c r="E17" s="1670"/>
      <c r="F17" s="1671">
        <f>(3000+17000)</f>
        <v>20000</v>
      </c>
      <c r="G17" s="1672">
        <v>100</v>
      </c>
      <c r="H17" s="1673">
        <f>(3000+17000)</f>
        <v>20000</v>
      </c>
      <c r="I17" s="1674"/>
      <c r="J17" s="1676"/>
      <c r="K17" s="1676">
        <f t="shared" si="0"/>
        <v>20000</v>
      </c>
    </row>
    <row r="18" spans="2:11" ht="18" customHeight="1" x14ac:dyDescent="0.25">
      <c r="B18" s="1668" t="s">
        <v>1188</v>
      </c>
      <c r="C18" s="1669"/>
      <c r="D18" s="1669"/>
      <c r="E18" s="1670"/>
      <c r="F18" s="1671">
        <v>4700</v>
      </c>
      <c r="G18" s="1672">
        <v>100</v>
      </c>
      <c r="H18" s="1673">
        <f>4700+45017</f>
        <v>49717</v>
      </c>
      <c r="I18" s="1674">
        <v>0</v>
      </c>
      <c r="J18" s="1676"/>
      <c r="K18" s="1676">
        <f t="shared" si="0"/>
        <v>49717</v>
      </c>
    </row>
    <row r="19" spans="2:11" ht="18" customHeight="1" x14ac:dyDescent="0.25">
      <c r="B19" s="1668" t="s">
        <v>1154</v>
      </c>
      <c r="C19" s="1669"/>
      <c r="D19" s="1669"/>
      <c r="E19" s="1670"/>
      <c r="F19" s="1671">
        <v>3000</v>
      </c>
      <c r="G19" s="1672">
        <v>100</v>
      </c>
      <c r="H19" s="1673">
        <v>3000</v>
      </c>
      <c r="I19" s="1674"/>
      <c r="J19" s="1676"/>
      <c r="K19" s="1676">
        <f t="shared" si="0"/>
        <v>3000</v>
      </c>
    </row>
    <row r="20" spans="2:11" ht="18" customHeight="1" x14ac:dyDescent="0.25">
      <c r="B20" s="1668" t="s">
        <v>1155</v>
      </c>
      <c r="C20" s="1669"/>
      <c r="D20" s="1669"/>
      <c r="E20" s="1670"/>
      <c r="F20" s="1671">
        <v>15000</v>
      </c>
      <c r="G20" s="1672">
        <v>100</v>
      </c>
      <c r="H20" s="1673">
        <v>15000</v>
      </c>
      <c r="I20" s="1674"/>
      <c r="J20" s="1676"/>
      <c r="K20" s="1676">
        <f t="shared" si="0"/>
        <v>15000</v>
      </c>
    </row>
    <row r="21" spans="2:11" ht="18" customHeight="1" x14ac:dyDescent="0.25">
      <c r="B21" s="1678" t="s">
        <v>1156</v>
      </c>
      <c r="C21" s="1679"/>
      <c r="D21" s="1679"/>
      <c r="E21" s="1679"/>
      <c r="F21" s="1671">
        <f>(500+2500)</f>
        <v>3000</v>
      </c>
      <c r="G21" s="1682">
        <v>100</v>
      </c>
      <c r="H21" s="1683">
        <f>(2500+500)</f>
        <v>3000</v>
      </c>
      <c r="I21" s="1674"/>
      <c r="J21" s="1685"/>
      <c r="K21" s="1676">
        <f t="shared" si="0"/>
        <v>3000</v>
      </c>
    </row>
    <row r="22" spans="2:11" ht="18" customHeight="1" x14ac:dyDescent="0.25">
      <c r="B22" s="1678" t="s">
        <v>1157</v>
      </c>
      <c r="C22" s="1679"/>
      <c r="D22" s="1679"/>
      <c r="E22" s="1679"/>
      <c r="F22" s="1671">
        <v>3000</v>
      </c>
      <c r="G22" s="1682">
        <v>85</v>
      </c>
      <c r="H22" s="1683">
        <f>(1700+850)</f>
        <v>2550</v>
      </c>
      <c r="I22" s="1686"/>
      <c r="J22" s="1685"/>
      <c r="K22" s="1676">
        <f t="shared" si="0"/>
        <v>2550</v>
      </c>
    </row>
    <row r="23" spans="2:11" ht="18" customHeight="1" x14ac:dyDescent="0.25">
      <c r="B23" s="1700" t="s">
        <v>1158</v>
      </c>
      <c r="C23" s="1669"/>
      <c r="D23" s="1669"/>
      <c r="E23" s="1669"/>
      <c r="F23" s="1671"/>
      <c r="G23" s="1701"/>
      <c r="H23" s="1688">
        <f>SUM(H16:H22)</f>
        <v>5589883</v>
      </c>
      <c r="I23" s="1689">
        <f>SUM(I16:I22)</f>
        <v>0</v>
      </c>
      <c r="J23" s="1690">
        <f>SUM(J16:J22)</f>
        <v>0</v>
      </c>
      <c r="K23" s="1691">
        <f>SUM(K16:K22)</f>
        <v>5589883</v>
      </c>
    </row>
    <row r="24" spans="2:11" ht="18" customHeight="1" x14ac:dyDescent="0.25">
      <c r="B24" s="1678" t="s">
        <v>1159</v>
      </c>
      <c r="C24" s="1679"/>
      <c r="D24" s="1679"/>
      <c r="E24" s="1679"/>
      <c r="F24" s="1681">
        <v>728840</v>
      </c>
      <c r="G24" s="1682">
        <v>3.51</v>
      </c>
      <c r="H24" s="1683">
        <v>25570</v>
      </c>
      <c r="I24" s="1684"/>
      <c r="J24" s="1685"/>
      <c r="K24" s="1676">
        <f t="shared" si="0"/>
        <v>25570</v>
      </c>
    </row>
    <row r="25" spans="2:11" ht="18" customHeight="1" x14ac:dyDescent="0.25">
      <c r="B25" s="1678" t="s">
        <v>1160</v>
      </c>
      <c r="C25" s="1679"/>
      <c r="D25" s="1679"/>
      <c r="E25" s="1680"/>
      <c r="F25" s="1681">
        <v>13473446</v>
      </c>
      <c r="G25" s="1682">
        <v>0.11</v>
      </c>
      <c r="H25" s="1683">
        <v>14590</v>
      </c>
      <c r="I25" s="1684"/>
      <c r="J25" s="1685"/>
      <c r="K25" s="1676">
        <f t="shared" si="0"/>
        <v>14590</v>
      </c>
    </row>
    <row r="26" spans="2:11" ht="18" customHeight="1" x14ac:dyDescent="0.25">
      <c r="B26" s="1678" t="s">
        <v>1161</v>
      </c>
      <c r="C26" s="1679"/>
      <c r="D26" s="1679"/>
      <c r="E26" s="1680"/>
      <c r="F26" s="1681">
        <v>9000001</v>
      </c>
      <c r="G26" s="1702">
        <v>3.7999999999999999E-2</v>
      </c>
      <c r="H26" s="1683">
        <v>3462</v>
      </c>
      <c r="I26" s="1684"/>
      <c r="J26" s="1685"/>
      <c r="K26" s="1676">
        <f t="shared" si="0"/>
        <v>3462</v>
      </c>
    </row>
    <row r="27" spans="2:11" ht="18" customHeight="1" thickBot="1" x14ac:dyDescent="0.3">
      <c r="B27" s="1703" t="s">
        <v>1162</v>
      </c>
      <c r="C27" s="1704"/>
      <c r="D27" s="1704"/>
      <c r="E27" s="1704"/>
      <c r="F27" s="1705"/>
      <c r="G27" s="1706"/>
      <c r="H27" s="1707">
        <f>SUM(H24:H26)</f>
        <v>43622</v>
      </c>
      <c r="I27" s="1708">
        <f>SUM(I24:I26)</f>
        <v>0</v>
      </c>
      <c r="J27" s="1709">
        <f>SUM(J24:J26)</f>
        <v>0</v>
      </c>
      <c r="K27" s="1710">
        <f>SUM(K24:K26)</f>
        <v>43622</v>
      </c>
    </row>
    <row r="28" spans="2:11" ht="21" customHeight="1" thickBot="1" x14ac:dyDescent="0.3">
      <c r="B28" s="1711" t="s">
        <v>721</v>
      </c>
      <c r="C28" s="1712"/>
      <c r="D28" s="1712"/>
      <c r="E28" s="1712"/>
      <c r="F28" s="1713"/>
      <c r="G28" s="1714"/>
      <c r="H28" s="1715">
        <f>H15+H23+H27</f>
        <v>6461011</v>
      </c>
      <c r="I28" s="1716">
        <f>I15+I23+I27</f>
        <v>3000</v>
      </c>
      <c r="J28" s="1717">
        <f>J15+J23+J27</f>
        <v>0</v>
      </c>
      <c r="K28" s="1718">
        <f>K15+K23+K27</f>
        <v>6458011</v>
      </c>
    </row>
    <row r="29" spans="2:11" x14ac:dyDescent="0.2">
      <c r="E29" s="724"/>
      <c r="F29" s="724"/>
      <c r="G29" s="724"/>
    </row>
    <row r="30" spans="2:11" x14ac:dyDescent="0.2">
      <c r="E30" s="724"/>
      <c r="F30" s="724"/>
      <c r="G30" s="724"/>
    </row>
    <row r="31" spans="2:11" x14ac:dyDescent="0.2">
      <c r="E31" s="724"/>
      <c r="F31" s="724"/>
      <c r="G31" s="724"/>
    </row>
    <row r="32" spans="2:11" x14ac:dyDescent="0.2">
      <c r="E32" s="724"/>
      <c r="F32" s="724"/>
      <c r="G32" s="724"/>
    </row>
    <row r="33" spans="5:7" x14ac:dyDescent="0.2">
      <c r="E33" s="724"/>
      <c r="F33" s="724"/>
      <c r="G33" s="724"/>
    </row>
  </sheetData>
  <mergeCells count="6">
    <mergeCell ref="B1:K1"/>
    <mergeCell ref="B6:E8"/>
    <mergeCell ref="F6:F8"/>
    <mergeCell ref="G6:H7"/>
    <mergeCell ref="K6:K8"/>
    <mergeCell ref="B2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 xml:space="preserve">&amp;R&amp;"-,Félkövér"&amp;12 29. melléklet a 10/2024.(V.31.) önkormányzati rendelethez &amp;"Times New Roman CE,Normál"&amp;8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5"/>
  <sheetViews>
    <sheetView zoomScaleNormal="100" zoomScaleSheetLayoutView="75" workbookViewId="0">
      <selection activeCell="B99" sqref="B99:E99"/>
    </sheetView>
  </sheetViews>
  <sheetFormatPr defaultColWidth="9.33203125" defaultRowHeight="21" customHeight="1" x14ac:dyDescent="0.3"/>
  <cols>
    <col min="1" max="1" width="5" style="36" customWidth="1"/>
    <col min="2" max="2" width="5.6640625" style="36" customWidth="1"/>
    <col min="3" max="4" width="2.33203125" style="36" customWidth="1"/>
    <col min="5" max="5" width="116.83203125" style="36" customWidth="1"/>
    <col min="6" max="6" width="21.1640625" style="36" customWidth="1"/>
    <col min="7" max="7" width="20.6640625" style="36" customWidth="1"/>
    <col min="8" max="8" width="20.83203125" style="36" customWidth="1"/>
    <col min="9" max="9" width="21.33203125" style="36" bestFit="1" customWidth="1"/>
    <col min="10" max="10" width="16.6640625" style="3" bestFit="1" customWidth="1"/>
    <col min="11" max="11" width="24.6640625" style="51" customWidth="1"/>
    <col min="12" max="12" width="25.5" style="38" bestFit="1" customWidth="1"/>
    <col min="13" max="13" width="37.83203125" style="35" customWidth="1"/>
    <col min="14" max="14" width="24.1640625" style="35" customWidth="1"/>
    <col min="15" max="15" width="10.1640625" style="35" bestFit="1" customWidth="1"/>
    <col min="16" max="16" width="9.33203125" style="1"/>
    <col min="17" max="17" width="16.83203125" style="1" bestFit="1" customWidth="1"/>
    <col min="18" max="16384" width="9.33203125" style="1"/>
  </cols>
  <sheetData>
    <row r="1" spans="1:15" ht="21" customHeight="1" x14ac:dyDescent="0.3">
      <c r="A1" s="1880"/>
      <c r="B1" s="1880"/>
      <c r="C1" s="1880"/>
      <c r="D1" s="1880"/>
      <c r="E1" s="1880"/>
    </row>
    <row r="2" spans="1:15" ht="24.75" customHeight="1" x14ac:dyDescent="0.3">
      <c r="A2" s="1884" t="s">
        <v>228</v>
      </c>
      <c r="B2" s="1884"/>
      <c r="C2" s="1884"/>
      <c r="D2" s="1884"/>
      <c r="E2" s="1884"/>
      <c r="F2" s="1884"/>
      <c r="G2" s="1884"/>
      <c r="H2" s="1884"/>
      <c r="I2" s="1884"/>
    </row>
    <row r="3" spans="1:15" ht="24.75" customHeight="1" x14ac:dyDescent="0.3">
      <c r="A3" s="59"/>
      <c r="B3" s="59"/>
      <c r="C3" s="59"/>
      <c r="D3" s="59"/>
      <c r="E3" s="59"/>
      <c r="F3" s="60"/>
      <c r="G3" s="60"/>
      <c r="H3" s="60"/>
      <c r="I3" s="60"/>
    </row>
    <row r="4" spans="1:15" ht="24.75" customHeight="1" thickBot="1" x14ac:dyDescent="0.35">
      <c r="A4" s="60"/>
      <c r="B4" s="62"/>
      <c r="C4" s="62"/>
      <c r="D4" s="62"/>
      <c r="E4" s="63"/>
      <c r="F4" s="60"/>
      <c r="G4" s="60"/>
      <c r="H4" s="60"/>
      <c r="I4" s="65" t="s">
        <v>15</v>
      </c>
    </row>
    <row r="5" spans="1:15" ht="19.5" customHeight="1" thickBot="1" x14ac:dyDescent="0.35">
      <c r="A5" s="66"/>
      <c r="B5" s="67"/>
      <c r="C5" s="67"/>
      <c r="D5" s="67"/>
      <c r="E5" s="1409" t="s">
        <v>29</v>
      </c>
      <c r="F5" s="1883" t="s">
        <v>514</v>
      </c>
      <c r="G5" s="1883"/>
      <c r="H5" s="147" t="s">
        <v>305</v>
      </c>
      <c r="I5" s="194" t="s">
        <v>90</v>
      </c>
    </row>
    <row r="6" spans="1:15" ht="19.5" customHeight="1" thickBot="1" x14ac:dyDescent="0.35">
      <c r="A6" s="68"/>
      <c r="B6" s="69"/>
      <c r="C6" s="69"/>
      <c r="D6" s="69"/>
      <c r="E6" s="70"/>
      <c r="F6" s="467" t="s">
        <v>184</v>
      </c>
      <c r="G6" s="467" t="s">
        <v>88</v>
      </c>
      <c r="H6" s="291" t="s">
        <v>89</v>
      </c>
      <c r="I6" s="195" t="s">
        <v>91</v>
      </c>
    </row>
    <row r="7" spans="1:15" ht="19.5" customHeight="1" x14ac:dyDescent="0.3">
      <c r="A7" s="1410" t="s">
        <v>231</v>
      </c>
      <c r="B7" s="1411"/>
      <c r="C7" s="1411"/>
      <c r="D7" s="1411"/>
      <c r="E7" s="1412"/>
      <c r="F7" s="196"/>
      <c r="G7" s="197"/>
      <c r="H7" s="197"/>
      <c r="I7" s="197"/>
    </row>
    <row r="8" spans="1:15" s="16" customFormat="1" ht="19.5" customHeight="1" x14ac:dyDescent="0.3">
      <c r="A8" s="1014"/>
      <c r="B8" s="1413" t="s">
        <v>279</v>
      </c>
      <c r="C8" s="1413"/>
      <c r="D8" s="1413"/>
      <c r="E8" s="1414"/>
      <c r="F8" s="198">
        <v>1534218</v>
      </c>
      <c r="G8" s="199">
        <v>1588441</v>
      </c>
      <c r="H8" s="200">
        <v>1588441</v>
      </c>
      <c r="I8" s="201">
        <f>+H8/G8*100</f>
        <v>100</v>
      </c>
      <c r="J8" s="26"/>
      <c r="K8" s="52"/>
      <c r="L8" s="45"/>
      <c r="M8" s="46"/>
      <c r="N8" s="45"/>
      <c r="O8" s="39"/>
    </row>
    <row r="9" spans="1:15" s="16" customFormat="1" ht="19.5" customHeight="1" x14ac:dyDescent="0.3">
      <c r="A9" s="1014"/>
      <c r="B9" s="1415" t="s">
        <v>280</v>
      </c>
      <c r="C9" s="1415"/>
      <c r="D9" s="1415"/>
      <c r="E9" s="1416"/>
      <c r="F9" s="202">
        <v>2027417</v>
      </c>
      <c r="G9" s="203">
        <v>2320801</v>
      </c>
      <c r="H9" s="204">
        <v>2320801</v>
      </c>
      <c r="I9" s="201">
        <f>+H9/G9*100</f>
        <v>100</v>
      </c>
      <c r="J9" s="26"/>
      <c r="K9" s="52"/>
      <c r="L9" s="45"/>
      <c r="M9" s="46"/>
      <c r="N9" s="45"/>
      <c r="O9" s="39"/>
    </row>
    <row r="10" spans="1:15" s="16" customFormat="1" ht="19.5" customHeight="1" x14ac:dyDescent="0.3">
      <c r="A10" s="1014"/>
      <c r="B10" s="1881" t="s">
        <v>387</v>
      </c>
      <c r="C10" s="1881"/>
      <c r="D10" s="1881"/>
      <c r="E10" s="1882"/>
      <c r="F10" s="198">
        <v>1267054</v>
      </c>
      <c r="G10" s="199">
        <v>1505939</v>
      </c>
      <c r="H10" s="200">
        <v>1505939</v>
      </c>
      <c r="I10" s="201">
        <f t="shared" ref="I10:I11" si="0">+H10/G10*100</f>
        <v>100</v>
      </c>
      <c r="J10" s="26"/>
      <c r="K10" s="52"/>
      <c r="L10" s="45"/>
      <c r="M10" s="46"/>
      <c r="N10" s="46"/>
      <c r="O10" s="39"/>
    </row>
    <row r="11" spans="1:15" s="16" customFormat="1" ht="19.5" customHeight="1" x14ac:dyDescent="0.3">
      <c r="A11" s="1014"/>
      <c r="B11" s="1415" t="s">
        <v>388</v>
      </c>
      <c r="C11" s="1415"/>
      <c r="D11" s="1415"/>
      <c r="E11" s="1416"/>
      <c r="F11" s="202">
        <v>750886</v>
      </c>
      <c r="G11" s="203">
        <v>808739</v>
      </c>
      <c r="H11" s="204">
        <v>808739</v>
      </c>
      <c r="I11" s="201">
        <f t="shared" si="0"/>
        <v>100</v>
      </c>
      <c r="J11" s="26"/>
      <c r="K11" s="52"/>
      <c r="L11" s="45"/>
      <c r="M11" s="46"/>
      <c r="N11" s="45"/>
      <c r="O11" s="39"/>
    </row>
    <row r="12" spans="1:15" s="16" customFormat="1" ht="19.5" customHeight="1" x14ac:dyDescent="0.3">
      <c r="A12" s="1014"/>
      <c r="B12" s="973" t="s">
        <v>389</v>
      </c>
      <c r="C12" s="1417"/>
      <c r="D12" s="1417"/>
      <c r="E12" s="1417"/>
      <c r="F12" s="206">
        <f>SUM(F13:F14)</f>
        <v>215020</v>
      </c>
      <c r="G12" s="516">
        <f t="shared" ref="G12:H12" si="1">SUM(G13:G14)</f>
        <v>215020</v>
      </c>
      <c r="H12" s="206">
        <f t="shared" si="1"/>
        <v>215020</v>
      </c>
      <c r="I12" s="739">
        <f>+H12/G12*100</f>
        <v>100</v>
      </c>
      <c r="J12" s="26"/>
      <c r="K12" s="52"/>
      <c r="L12" s="45"/>
      <c r="M12" s="41"/>
      <c r="N12" s="41"/>
      <c r="O12" s="39"/>
    </row>
    <row r="13" spans="1:15" ht="19.5" customHeight="1" x14ac:dyDescent="0.3">
      <c r="A13" s="1039"/>
      <c r="B13" s="1001"/>
      <c r="C13" s="1077" t="s">
        <v>206</v>
      </c>
      <c r="D13" s="1073"/>
      <c r="E13" s="1418"/>
      <c r="F13" s="207">
        <v>72306</v>
      </c>
      <c r="G13" s="208">
        <v>72306</v>
      </c>
      <c r="H13" s="208">
        <v>72306</v>
      </c>
      <c r="I13" s="209">
        <f>+H13/G13*100</f>
        <v>100</v>
      </c>
      <c r="J13" s="26"/>
      <c r="K13" s="52"/>
      <c r="L13" s="45"/>
      <c r="M13" s="41"/>
      <c r="N13" s="40"/>
    </row>
    <row r="14" spans="1:15" ht="19.5" customHeight="1" x14ac:dyDescent="0.3">
      <c r="A14" s="1039"/>
      <c r="B14" s="1001"/>
      <c r="C14" s="1077" t="s">
        <v>205</v>
      </c>
      <c r="D14" s="1073"/>
      <c r="E14" s="1418"/>
      <c r="F14" s="207">
        <v>142714</v>
      </c>
      <c r="G14" s="208">
        <v>142714</v>
      </c>
      <c r="H14" s="208">
        <v>142714</v>
      </c>
      <c r="I14" s="209">
        <f t="shared" ref="I14" si="2">+H14/G14*100</f>
        <v>100</v>
      </c>
      <c r="J14" s="26"/>
      <c r="K14" s="52"/>
      <c r="L14" s="45"/>
      <c r="M14" s="41"/>
      <c r="N14" s="40"/>
    </row>
    <row r="15" spans="1:15" s="16" customFormat="1" ht="19.5" customHeight="1" x14ac:dyDescent="0.3">
      <c r="A15" s="1014"/>
      <c r="B15" s="1415" t="s">
        <v>411</v>
      </c>
      <c r="C15" s="1419"/>
      <c r="D15" s="1420"/>
      <c r="E15" s="1421"/>
      <c r="F15" s="202">
        <f>+F8+F9+F10+F11+F12</f>
        <v>5794595</v>
      </c>
      <c r="G15" s="203">
        <f>+G8+G9+G10+G11+G12</f>
        <v>6438940</v>
      </c>
      <c r="H15" s="203">
        <f>+H8+H9+H10+H11+H12</f>
        <v>6438940</v>
      </c>
      <c r="I15" s="205">
        <f>+H15/G15*100</f>
        <v>100</v>
      </c>
      <c r="J15" s="26"/>
      <c r="K15" s="52"/>
      <c r="L15" s="45"/>
      <c r="M15" s="41"/>
      <c r="N15" s="41"/>
      <c r="O15" s="39"/>
    </row>
    <row r="16" spans="1:15" s="16" customFormat="1" ht="19.5" customHeight="1" x14ac:dyDescent="0.3">
      <c r="A16" s="1014"/>
      <c r="B16" s="973" t="s">
        <v>412</v>
      </c>
      <c r="C16" s="1413"/>
      <c r="D16" s="1413"/>
      <c r="E16" s="1422"/>
      <c r="F16" s="198"/>
      <c r="G16" s="199"/>
      <c r="H16" s="199"/>
      <c r="I16" s="201"/>
      <c r="J16" s="26"/>
      <c r="K16" s="52"/>
      <c r="L16" s="45"/>
      <c r="M16" s="41"/>
      <c r="N16" s="41"/>
      <c r="O16" s="39"/>
    </row>
    <row r="17" spans="1:15" ht="19.5" customHeight="1" x14ac:dyDescent="0.3">
      <c r="A17" s="1039"/>
      <c r="B17" s="1001"/>
      <c r="C17" s="1077" t="s">
        <v>391</v>
      </c>
      <c r="D17" s="1073"/>
      <c r="E17" s="1418"/>
      <c r="F17" s="207">
        <v>71357</v>
      </c>
      <c r="G17" s="208">
        <v>80308</v>
      </c>
      <c r="H17" s="208">
        <v>80308</v>
      </c>
      <c r="I17" s="209">
        <f t="shared" ref="I17:I65" si="3">+H17/G17*100</f>
        <v>100</v>
      </c>
      <c r="J17" s="26"/>
      <c r="K17" s="52"/>
      <c r="L17" s="45"/>
      <c r="M17" s="41"/>
      <c r="N17" s="40"/>
    </row>
    <row r="18" spans="1:15" ht="19.5" customHeight="1" x14ac:dyDescent="0.3">
      <c r="A18" s="1039"/>
      <c r="B18" s="1001"/>
      <c r="C18" s="1126" t="s">
        <v>433</v>
      </c>
      <c r="D18" s="1073"/>
      <c r="E18" s="1418"/>
      <c r="F18" s="207"/>
      <c r="G18" s="208">
        <v>6766</v>
      </c>
      <c r="H18" s="208">
        <v>6766</v>
      </c>
      <c r="I18" s="209">
        <f t="shared" si="3"/>
        <v>100</v>
      </c>
      <c r="J18" s="26"/>
      <c r="K18" s="52"/>
      <c r="L18" s="45"/>
      <c r="M18" s="41"/>
      <c r="N18" s="41"/>
    </row>
    <row r="19" spans="1:15" ht="19.5" customHeight="1" x14ac:dyDescent="0.3">
      <c r="A19" s="1039"/>
      <c r="B19" s="1001"/>
      <c r="C19" s="1107" t="s">
        <v>281</v>
      </c>
      <c r="D19" s="1108"/>
      <c r="E19" s="1423"/>
      <c r="F19" s="207"/>
      <c r="G19" s="208">
        <v>238627</v>
      </c>
      <c r="H19" s="208">
        <v>238627</v>
      </c>
      <c r="I19" s="209">
        <f t="shared" si="3"/>
        <v>100</v>
      </c>
      <c r="J19" s="26"/>
      <c r="K19" s="52"/>
      <c r="L19" s="45"/>
      <c r="M19" s="41"/>
      <c r="N19" s="41"/>
    </row>
    <row r="20" spans="1:15" s="4" customFormat="1" ht="19.5" customHeight="1" x14ac:dyDescent="0.3">
      <c r="A20" s="1007"/>
      <c r="B20" s="1415" t="s">
        <v>414</v>
      </c>
      <c r="C20" s="1424"/>
      <c r="D20" s="1425"/>
      <c r="E20" s="1426"/>
      <c r="F20" s="214">
        <f>SUM(F17:F19)</f>
        <v>71357</v>
      </c>
      <c r="G20" s="204">
        <f>SUM(G17:G19)</f>
        <v>325701</v>
      </c>
      <c r="H20" s="204">
        <f>SUM(H17:H19)</f>
        <v>325701</v>
      </c>
      <c r="I20" s="205">
        <f t="shared" si="3"/>
        <v>100</v>
      </c>
      <c r="J20" s="26"/>
      <c r="K20" s="52"/>
      <c r="L20" s="45"/>
      <c r="M20" s="46"/>
      <c r="N20" s="46"/>
      <c r="O20" s="43"/>
    </row>
    <row r="21" spans="1:15" s="4" customFormat="1" ht="19.5" customHeight="1" x14ac:dyDescent="0.3">
      <c r="A21" s="1007"/>
      <c r="B21" s="973" t="s">
        <v>442</v>
      </c>
      <c r="C21" s="1396"/>
      <c r="D21" s="976"/>
      <c r="E21" s="1427"/>
      <c r="F21" s="215"/>
      <c r="G21" s="238"/>
      <c r="H21" s="215"/>
      <c r="I21" s="216"/>
      <c r="J21" s="26"/>
      <c r="K21" s="52"/>
      <c r="L21" s="45"/>
      <c r="M21" s="46"/>
      <c r="N21" s="46"/>
      <c r="O21" s="43"/>
    </row>
    <row r="22" spans="1:15" ht="19.5" customHeight="1" x14ac:dyDescent="0.3">
      <c r="A22" s="1039"/>
      <c r="B22" s="1001"/>
      <c r="C22" s="1073" t="s">
        <v>390</v>
      </c>
      <c r="D22" s="1073"/>
      <c r="E22" s="1418"/>
      <c r="F22" s="210">
        <v>318240</v>
      </c>
      <c r="G22" s="211">
        <v>318240</v>
      </c>
      <c r="H22" s="211">
        <v>318240</v>
      </c>
      <c r="I22" s="212">
        <f t="shared" si="3"/>
        <v>100</v>
      </c>
      <c r="J22" s="26"/>
      <c r="K22" s="52"/>
      <c r="L22" s="45"/>
      <c r="M22" s="41"/>
      <c r="N22" s="40"/>
    </row>
    <row r="23" spans="1:15" ht="37.5" customHeight="1" x14ac:dyDescent="0.3">
      <c r="A23" s="1039"/>
      <c r="B23" s="1001"/>
      <c r="C23" s="1885" t="s">
        <v>204</v>
      </c>
      <c r="D23" s="1885"/>
      <c r="E23" s="1886"/>
      <c r="F23" s="217">
        <v>230670</v>
      </c>
      <c r="G23" s="208">
        <v>230670</v>
      </c>
      <c r="H23" s="208">
        <v>230670</v>
      </c>
      <c r="I23" s="212">
        <f t="shared" si="3"/>
        <v>100</v>
      </c>
      <c r="J23" s="26"/>
      <c r="K23" s="52"/>
      <c r="L23" s="45"/>
      <c r="M23" s="41"/>
      <c r="N23" s="40"/>
    </row>
    <row r="24" spans="1:15" ht="38.25" customHeight="1" x14ac:dyDescent="0.3">
      <c r="A24" s="1039"/>
      <c r="B24" s="1001"/>
      <c r="C24" s="1885" t="s">
        <v>413</v>
      </c>
      <c r="D24" s="1885"/>
      <c r="E24" s="1886"/>
      <c r="F24" s="217">
        <v>188000</v>
      </c>
      <c r="G24" s="208">
        <v>188000</v>
      </c>
      <c r="H24" s="208">
        <v>188000</v>
      </c>
      <c r="I24" s="212">
        <f t="shared" si="3"/>
        <v>100</v>
      </c>
      <c r="J24" s="26"/>
      <c r="K24" s="52"/>
      <c r="L24" s="45"/>
      <c r="M24" s="41"/>
      <c r="N24" s="40"/>
    </row>
    <row r="25" spans="1:15" ht="20.25" x14ac:dyDescent="0.3">
      <c r="A25" s="1039"/>
      <c r="B25" s="1001"/>
      <c r="C25" s="1885" t="s">
        <v>515</v>
      </c>
      <c r="D25" s="1885"/>
      <c r="E25" s="1886"/>
      <c r="F25" s="210">
        <v>116318</v>
      </c>
      <c r="G25" s="211">
        <v>116318</v>
      </c>
      <c r="H25" s="210">
        <v>116318</v>
      </c>
      <c r="I25" s="212">
        <f t="shared" si="3"/>
        <v>100</v>
      </c>
      <c r="J25" s="26"/>
      <c r="K25" s="52"/>
      <c r="L25" s="45"/>
      <c r="M25" s="41"/>
      <c r="N25" s="40"/>
    </row>
    <row r="26" spans="1:15" ht="20.25" x14ac:dyDescent="0.3">
      <c r="A26" s="1039"/>
      <c r="B26" s="1001"/>
      <c r="C26" s="1885" t="s">
        <v>550</v>
      </c>
      <c r="D26" s="1885"/>
      <c r="E26" s="1886"/>
      <c r="F26" s="210"/>
      <c r="G26" s="211">
        <v>37389</v>
      </c>
      <c r="H26" s="210">
        <v>37389</v>
      </c>
      <c r="I26" s="212">
        <f t="shared" si="3"/>
        <v>100</v>
      </c>
      <c r="J26" s="26"/>
      <c r="K26" s="52"/>
      <c r="L26" s="45"/>
      <c r="M26" s="41"/>
      <c r="N26" s="40"/>
    </row>
    <row r="27" spans="1:15" s="4" customFormat="1" ht="19.5" customHeight="1" x14ac:dyDescent="0.3">
      <c r="A27" s="1007"/>
      <c r="B27" s="973" t="s">
        <v>443</v>
      </c>
      <c r="C27" s="1396"/>
      <c r="D27" s="976"/>
      <c r="E27" s="1427"/>
      <c r="F27" s="215">
        <f>SUM(F22:F25)</f>
        <v>853228</v>
      </c>
      <c r="G27" s="238">
        <f>SUM(G22:G26)</f>
        <v>890617</v>
      </c>
      <c r="H27" s="238">
        <f>SUM(H22:H26)</f>
        <v>890617</v>
      </c>
      <c r="I27" s="216">
        <f t="shared" si="3"/>
        <v>100</v>
      </c>
      <c r="J27" s="26"/>
      <c r="K27" s="52"/>
      <c r="L27" s="45"/>
      <c r="M27" s="46"/>
      <c r="N27" s="46"/>
      <c r="O27" s="43"/>
    </row>
    <row r="28" spans="1:15" s="16" customFormat="1" ht="19.5" customHeight="1" x14ac:dyDescent="0.3">
      <c r="A28" s="1014"/>
      <c r="B28" s="1415" t="s">
        <v>123</v>
      </c>
      <c r="C28" s="1415"/>
      <c r="D28" s="1415"/>
      <c r="E28" s="1416"/>
      <c r="F28" s="202"/>
      <c r="G28" s="203"/>
      <c r="H28" s="203"/>
      <c r="I28" s="205"/>
      <c r="J28" s="26"/>
      <c r="K28" s="52"/>
      <c r="L28" s="45"/>
      <c r="M28" s="41"/>
      <c r="N28" s="41"/>
      <c r="O28" s="39"/>
    </row>
    <row r="29" spans="1:15" ht="37.5" customHeight="1" x14ac:dyDescent="0.3">
      <c r="A29" s="1039"/>
      <c r="B29" s="1001"/>
      <c r="C29" s="1885" t="s">
        <v>472</v>
      </c>
      <c r="D29" s="1885"/>
      <c r="E29" s="1886"/>
      <c r="F29" s="217"/>
      <c r="G29" s="208">
        <v>39668</v>
      </c>
      <c r="H29" s="208">
        <v>39668</v>
      </c>
      <c r="I29" s="209">
        <f t="shared" si="3"/>
        <v>100</v>
      </c>
      <c r="J29" s="26"/>
      <c r="K29" s="52"/>
      <c r="L29" s="45"/>
      <c r="M29" s="41"/>
      <c r="N29" s="40"/>
    </row>
    <row r="30" spans="1:15" ht="19.5" customHeight="1" x14ac:dyDescent="0.3">
      <c r="A30" s="1039"/>
      <c r="B30" s="1001"/>
      <c r="C30" s="1106" t="s">
        <v>309</v>
      </c>
      <c r="D30" s="1106"/>
      <c r="E30" s="1429"/>
      <c r="F30" s="218"/>
      <c r="G30" s="219">
        <v>117571</v>
      </c>
      <c r="H30" s="218">
        <v>117571</v>
      </c>
      <c r="I30" s="209">
        <f t="shared" si="3"/>
        <v>100</v>
      </c>
      <c r="J30" s="26"/>
      <c r="K30" s="52"/>
      <c r="L30" s="45"/>
      <c r="M30" s="41"/>
      <c r="N30" s="41"/>
    </row>
    <row r="31" spans="1:15" ht="19.5" customHeight="1" x14ac:dyDescent="0.3">
      <c r="A31" s="1039"/>
      <c r="B31" s="1001"/>
      <c r="C31" s="1430" t="s">
        <v>516</v>
      </c>
      <c r="D31" s="1430"/>
      <c r="E31" s="1431"/>
      <c r="F31" s="475">
        <v>632038</v>
      </c>
      <c r="G31" s="476">
        <v>632038</v>
      </c>
      <c r="H31" s="476">
        <v>632038</v>
      </c>
      <c r="I31" s="209">
        <f t="shared" si="3"/>
        <v>100</v>
      </c>
      <c r="J31" s="26"/>
      <c r="K31" s="52"/>
      <c r="L31" s="45"/>
      <c r="M31" s="41"/>
      <c r="N31" s="41"/>
    </row>
    <row r="32" spans="1:15" s="16" customFormat="1" ht="19.5" customHeight="1" x14ac:dyDescent="0.3">
      <c r="A32" s="1014"/>
      <c r="B32" s="1432" t="s">
        <v>256</v>
      </c>
      <c r="C32" s="1432"/>
      <c r="D32" s="1432"/>
      <c r="E32" s="1433"/>
      <c r="F32" s="523">
        <f>SUM(F29:F31)</f>
        <v>632038</v>
      </c>
      <c r="G32" s="524">
        <f t="shared" ref="G32:H32" si="4">SUM(G29:G31)</f>
        <v>789277</v>
      </c>
      <c r="H32" s="524">
        <f t="shared" si="4"/>
        <v>789277</v>
      </c>
      <c r="I32" s="310">
        <f t="shared" si="3"/>
        <v>100</v>
      </c>
      <c r="J32" s="26"/>
      <c r="K32" s="52"/>
      <c r="L32" s="45"/>
      <c r="M32" s="41"/>
      <c r="N32" s="41"/>
      <c r="O32" s="39"/>
    </row>
    <row r="33" spans="1:15" s="16" customFormat="1" ht="19.5" customHeight="1" x14ac:dyDescent="0.3">
      <c r="A33" s="1014"/>
      <c r="B33" s="1415" t="s">
        <v>589</v>
      </c>
      <c r="C33" s="1415"/>
      <c r="D33" s="1415"/>
      <c r="E33" s="1415"/>
      <c r="F33" s="525">
        <f>+F15+F20+F27+F32</f>
        <v>7351218</v>
      </c>
      <c r="G33" s="525">
        <f>+G15+G20+G27+G32</f>
        <v>8444535</v>
      </c>
      <c r="H33" s="525">
        <f>+H15+H20+H27+H32</f>
        <v>8444535</v>
      </c>
      <c r="I33" s="205">
        <f t="shared" si="3"/>
        <v>100</v>
      </c>
      <c r="J33" s="26"/>
      <c r="K33" s="52"/>
      <c r="L33" s="45"/>
      <c r="M33" s="41"/>
      <c r="N33" s="41"/>
      <c r="O33" s="39"/>
    </row>
    <row r="34" spans="1:15" s="11" customFormat="1" ht="19.5" customHeight="1" x14ac:dyDescent="0.3">
      <c r="A34" s="1007"/>
      <c r="B34" s="1413" t="s">
        <v>124</v>
      </c>
      <c r="C34" s="1434"/>
      <c r="D34" s="1435"/>
      <c r="E34" s="1436"/>
      <c r="F34" s="220"/>
      <c r="G34" s="200"/>
      <c r="H34" s="200"/>
      <c r="I34" s="201"/>
      <c r="J34" s="26"/>
      <c r="K34" s="52"/>
      <c r="L34" s="45"/>
      <c r="M34" s="41"/>
      <c r="N34" s="41"/>
      <c r="O34" s="42"/>
    </row>
    <row r="35" spans="1:15" ht="19.5" customHeight="1" x14ac:dyDescent="0.3">
      <c r="A35" s="1039"/>
      <c r="B35" s="1437" t="s">
        <v>276</v>
      </c>
      <c r="C35" s="1437"/>
      <c r="D35" s="1437"/>
      <c r="E35" s="1438"/>
      <c r="F35" s="221"/>
      <c r="G35" s="222">
        <v>48440</v>
      </c>
      <c r="H35" s="222">
        <v>48440</v>
      </c>
      <c r="I35" s="209">
        <f t="shared" si="3"/>
        <v>100</v>
      </c>
      <c r="K35" s="52"/>
      <c r="L35" s="45"/>
      <c r="M35" s="41"/>
      <c r="N35" s="40"/>
    </row>
    <row r="36" spans="1:15" s="4" customFormat="1" ht="19.5" customHeight="1" thickBot="1" x14ac:dyDescent="0.35">
      <c r="A36" s="1007"/>
      <c r="B36" s="1439" t="s">
        <v>257</v>
      </c>
      <c r="C36" s="1440"/>
      <c r="D36" s="1440"/>
      <c r="E36" s="1441"/>
      <c r="F36" s="224">
        <f>SUM(F35)</f>
        <v>0</v>
      </c>
      <c r="G36" s="225">
        <f t="shared" ref="G36:H36" si="5">SUM(G35)</f>
        <v>48440</v>
      </c>
      <c r="H36" s="224">
        <f t="shared" si="5"/>
        <v>48440</v>
      </c>
      <c r="I36" s="205">
        <f t="shared" si="3"/>
        <v>100</v>
      </c>
      <c r="J36" s="2"/>
      <c r="K36" s="52"/>
      <c r="L36" s="45"/>
      <c r="M36" s="46"/>
      <c r="N36" s="45"/>
      <c r="O36" s="43"/>
    </row>
    <row r="37" spans="1:15" s="4" customFormat="1" ht="19.5" customHeight="1" thickBot="1" x14ac:dyDescent="0.35">
      <c r="A37" s="1007" t="s">
        <v>258</v>
      </c>
      <c r="B37" s="1075" t="s">
        <v>100</v>
      </c>
      <c r="C37" s="1075"/>
      <c r="D37" s="1075"/>
      <c r="E37" s="1442"/>
      <c r="F37" s="234">
        <f>+F33+F36</f>
        <v>7351218</v>
      </c>
      <c r="G37" s="234">
        <f>+G33+G36</f>
        <v>8492975</v>
      </c>
      <c r="H37" s="234">
        <f>+H33+H36</f>
        <v>8492975</v>
      </c>
      <c r="I37" s="228">
        <f t="shared" si="3"/>
        <v>100</v>
      </c>
      <c r="J37" s="2"/>
      <c r="K37" s="52"/>
      <c r="L37" s="45"/>
      <c r="M37" s="46"/>
      <c r="N37" s="45"/>
      <c r="O37" s="43"/>
    </row>
    <row r="38" spans="1:15" ht="19.5" customHeight="1" thickBot="1" x14ac:dyDescent="0.35">
      <c r="A38" s="1039"/>
      <c r="B38" s="1443" t="s">
        <v>260</v>
      </c>
      <c r="C38" s="1444"/>
      <c r="D38" s="1444"/>
      <c r="E38" s="1445"/>
      <c r="F38" s="229"/>
      <c r="G38" s="230"/>
      <c r="H38" s="231"/>
      <c r="I38" s="232"/>
      <c r="K38" s="52"/>
      <c r="L38" s="45"/>
      <c r="M38" s="41"/>
      <c r="N38" s="40"/>
    </row>
    <row r="39" spans="1:15" s="4" customFormat="1" ht="19.5" customHeight="1" thickBot="1" x14ac:dyDescent="0.35">
      <c r="A39" s="1007" t="s">
        <v>259</v>
      </c>
      <c r="B39" s="1446" t="s">
        <v>112</v>
      </c>
      <c r="C39" s="1075"/>
      <c r="D39" s="1075"/>
      <c r="E39" s="1442"/>
      <c r="F39" s="233">
        <f>SUM(F38)</f>
        <v>0</v>
      </c>
      <c r="G39" s="234">
        <f t="shared" ref="G39:H39" si="6">SUM(G38)</f>
        <v>0</v>
      </c>
      <c r="H39" s="233">
        <f t="shared" si="6"/>
        <v>0</v>
      </c>
      <c r="I39" s="228"/>
      <c r="J39" s="2"/>
      <c r="K39" s="52"/>
      <c r="L39" s="45"/>
      <c r="M39" s="46"/>
      <c r="N39" s="45"/>
      <c r="O39" s="43"/>
    </row>
    <row r="40" spans="1:15" ht="19.5" customHeight="1" x14ac:dyDescent="0.3">
      <c r="A40" s="1039"/>
      <c r="B40" s="973"/>
      <c r="C40" s="1447" t="s">
        <v>371</v>
      </c>
      <c r="D40" s="1448"/>
      <c r="E40" s="1449"/>
      <c r="F40" s="210"/>
      <c r="G40" s="211">
        <v>7021</v>
      </c>
      <c r="H40" s="208">
        <v>7021</v>
      </c>
      <c r="I40" s="209">
        <f t="shared" si="3"/>
        <v>100</v>
      </c>
      <c r="K40" s="52"/>
      <c r="L40" s="45"/>
      <c r="M40" s="41"/>
      <c r="N40" s="41"/>
    </row>
    <row r="41" spans="1:15" ht="19.5" customHeight="1" x14ac:dyDescent="0.3">
      <c r="A41" s="1039"/>
      <c r="B41" s="973"/>
      <c r="C41" s="1077" t="s">
        <v>368</v>
      </c>
      <c r="D41" s="1450"/>
      <c r="E41" s="1449"/>
      <c r="F41" s="210">
        <v>302075</v>
      </c>
      <c r="G41" s="211">
        <v>302075</v>
      </c>
      <c r="H41" s="208">
        <v>302075</v>
      </c>
      <c r="I41" s="209">
        <f t="shared" si="3"/>
        <v>100</v>
      </c>
      <c r="K41" s="52"/>
      <c r="L41" s="45"/>
      <c r="M41" s="41"/>
      <c r="N41" s="41"/>
    </row>
    <row r="42" spans="1:15" ht="19.5" customHeight="1" x14ac:dyDescent="0.3">
      <c r="A42" s="1039"/>
      <c r="B42" s="973"/>
      <c r="C42" s="1077" t="s">
        <v>369</v>
      </c>
      <c r="D42" s="1450"/>
      <c r="E42" s="1449"/>
      <c r="F42" s="210">
        <v>53000</v>
      </c>
      <c r="G42" s="211">
        <v>53000</v>
      </c>
      <c r="H42" s="208">
        <v>53000</v>
      </c>
      <c r="I42" s="209">
        <f t="shared" si="3"/>
        <v>100</v>
      </c>
      <c r="K42" s="52"/>
      <c r="L42" s="45"/>
      <c r="M42" s="41"/>
      <c r="N42" s="41"/>
    </row>
    <row r="43" spans="1:15" ht="19.5" customHeight="1" x14ac:dyDescent="0.3">
      <c r="A43" s="1039"/>
      <c r="B43" s="973"/>
      <c r="C43" s="1451" t="s">
        <v>605</v>
      </c>
      <c r="D43" s="1450"/>
      <c r="E43" s="1449"/>
      <c r="F43" s="210"/>
      <c r="G43" s="211">
        <v>7692</v>
      </c>
      <c r="H43" s="211">
        <v>7692</v>
      </c>
      <c r="I43" s="209">
        <f t="shared" si="3"/>
        <v>100</v>
      </c>
      <c r="K43" s="52"/>
      <c r="L43" s="45"/>
      <c r="M43" s="41"/>
      <c r="N43" s="41"/>
    </row>
    <row r="44" spans="1:15" ht="19.5" customHeight="1" x14ac:dyDescent="0.3">
      <c r="A44" s="1039"/>
      <c r="B44" s="1001"/>
      <c r="C44" s="1452" t="s">
        <v>606</v>
      </c>
      <c r="D44" s="1452"/>
      <c r="E44" s="1449"/>
      <c r="F44" s="221"/>
      <c r="G44" s="222">
        <v>34029</v>
      </c>
      <c r="H44" s="222">
        <v>34029</v>
      </c>
      <c r="I44" s="209">
        <f t="shared" si="3"/>
        <v>100</v>
      </c>
      <c r="K44" s="52"/>
      <c r="L44" s="45"/>
      <c r="M44" s="41"/>
      <c r="N44" s="41"/>
    </row>
    <row r="45" spans="1:15" ht="20.25" x14ac:dyDescent="0.3">
      <c r="A45" s="1039"/>
      <c r="B45" s="1001"/>
      <c r="C45" s="1887" t="s">
        <v>586</v>
      </c>
      <c r="D45" s="1887"/>
      <c r="E45" s="1888"/>
      <c r="F45" s="221">
        <v>34595</v>
      </c>
      <c r="G45" s="222">
        <v>92079</v>
      </c>
      <c r="H45" s="221">
        <v>92079</v>
      </c>
      <c r="I45" s="212">
        <f t="shared" si="3"/>
        <v>100</v>
      </c>
      <c r="K45" s="52"/>
      <c r="L45" s="45"/>
      <c r="M45" s="41"/>
      <c r="N45" s="41"/>
    </row>
    <row r="46" spans="1:15" ht="20.25" x14ac:dyDescent="0.3">
      <c r="A46" s="1039"/>
      <c r="B46" s="1001"/>
      <c r="C46" s="1887" t="s">
        <v>517</v>
      </c>
      <c r="D46" s="1887"/>
      <c r="E46" s="1888"/>
      <c r="F46" s="477"/>
      <c r="G46" s="211"/>
      <c r="H46" s="477"/>
      <c r="I46" s="212"/>
      <c r="K46" s="52"/>
      <c r="L46" s="45"/>
      <c r="M46" s="41"/>
      <c r="N46" s="41"/>
    </row>
    <row r="47" spans="1:15" ht="20.25" x14ac:dyDescent="0.3">
      <c r="A47" s="1039"/>
      <c r="B47" s="1001"/>
      <c r="C47" s="1453"/>
      <c r="D47" s="1453"/>
      <c r="E47" s="1428" t="s">
        <v>518</v>
      </c>
      <c r="F47" s="477">
        <v>300000</v>
      </c>
      <c r="G47" s="211">
        <v>0</v>
      </c>
      <c r="H47" s="477"/>
      <c r="I47" s="212"/>
      <c r="K47" s="52"/>
      <c r="L47" s="45"/>
      <c r="M47" s="41"/>
      <c r="N47" s="41"/>
    </row>
    <row r="48" spans="1:15" ht="20.25" x14ac:dyDescent="0.3">
      <c r="A48" s="1039"/>
      <c r="B48" s="1001"/>
      <c r="C48" s="1454"/>
      <c r="D48" s="1454"/>
      <c r="E48" s="1428" t="s">
        <v>607</v>
      </c>
      <c r="F48" s="477">
        <v>300000</v>
      </c>
      <c r="G48" s="211">
        <v>0</v>
      </c>
      <c r="H48" s="477"/>
      <c r="I48" s="212"/>
      <c r="K48" s="52"/>
      <c r="L48" s="45"/>
      <c r="M48" s="41"/>
      <c r="N48" s="41"/>
    </row>
    <row r="49" spans="1:14" ht="20.25" x14ac:dyDescent="0.3">
      <c r="A49" s="1039"/>
      <c r="B49" s="1001"/>
      <c r="C49" s="1454"/>
      <c r="D49" s="1454"/>
      <c r="E49" s="1455" t="s">
        <v>519</v>
      </c>
      <c r="F49" s="478">
        <v>500000</v>
      </c>
      <c r="G49" s="476">
        <v>0</v>
      </c>
      <c r="H49" s="478"/>
      <c r="I49" s="223"/>
      <c r="K49" s="52"/>
      <c r="L49" s="45"/>
      <c r="M49" s="41"/>
      <c r="N49" s="41"/>
    </row>
    <row r="50" spans="1:14" ht="19.5" customHeight="1" thickBot="1" x14ac:dyDescent="0.35">
      <c r="A50" s="1007" t="s">
        <v>261</v>
      </c>
      <c r="B50" s="1878" t="s">
        <v>111</v>
      </c>
      <c r="C50" s="1878"/>
      <c r="D50" s="1878"/>
      <c r="E50" s="1879"/>
      <c r="F50" s="237">
        <f>SUM(F40:F49)</f>
        <v>1489670</v>
      </c>
      <c r="G50" s="225">
        <f>SUM(G40:G49)</f>
        <v>495896</v>
      </c>
      <c r="H50" s="225">
        <f>SUM(H40:H49)</f>
        <v>495896</v>
      </c>
      <c r="I50" s="226">
        <f t="shared" si="3"/>
        <v>100</v>
      </c>
      <c r="K50" s="52"/>
      <c r="L50" s="45"/>
      <c r="M50" s="41"/>
      <c r="N50" s="41"/>
    </row>
    <row r="51" spans="1:14" ht="19.5" customHeight="1" thickBot="1" x14ac:dyDescent="0.35">
      <c r="A51" s="977" t="s">
        <v>310</v>
      </c>
      <c r="B51" s="1395"/>
      <c r="C51" s="1075"/>
      <c r="D51" s="1075"/>
      <c r="E51" s="1442"/>
      <c r="F51" s="239">
        <f>+F37+F39+F50</f>
        <v>8840888</v>
      </c>
      <c r="G51" s="239">
        <f>+G37+G39+G50</f>
        <v>8988871</v>
      </c>
      <c r="H51" s="239">
        <f>+H37+H39+H50</f>
        <v>8988871</v>
      </c>
      <c r="I51" s="295">
        <f t="shared" si="3"/>
        <v>100</v>
      </c>
      <c r="K51" s="52"/>
      <c r="L51" s="45"/>
      <c r="M51" s="41"/>
      <c r="N51" s="40"/>
    </row>
    <row r="52" spans="1:14" ht="19.5" customHeight="1" x14ac:dyDescent="0.3">
      <c r="A52" s="1410" t="s">
        <v>237</v>
      </c>
      <c r="B52" s="1411"/>
      <c r="C52" s="1062"/>
      <c r="D52" s="1062"/>
      <c r="E52" s="1412"/>
      <c r="F52" s="240"/>
      <c r="G52" s="241"/>
      <c r="H52" s="240"/>
      <c r="I52" s="251"/>
      <c r="K52" s="52"/>
      <c r="L52" s="45"/>
      <c r="M52" s="41"/>
      <c r="N52" s="40"/>
    </row>
    <row r="53" spans="1:14" ht="19.5" customHeight="1" x14ac:dyDescent="0.3">
      <c r="A53" s="1037"/>
      <c r="B53" s="973" t="s">
        <v>101</v>
      </c>
      <c r="C53" s="967"/>
      <c r="D53" s="967"/>
      <c r="E53" s="1456"/>
      <c r="F53" s="242"/>
      <c r="G53" s="243"/>
      <c r="H53" s="242"/>
      <c r="I53" s="216"/>
      <c r="K53" s="52"/>
      <c r="L53" s="45"/>
      <c r="M53" s="41"/>
      <c r="N53" s="40"/>
    </row>
    <row r="54" spans="1:14" ht="19.5" customHeight="1" x14ac:dyDescent="0.3">
      <c r="A54" s="1039"/>
      <c r="B54" s="1001"/>
      <c r="C54" s="1073" t="s">
        <v>434</v>
      </c>
      <c r="D54" s="1073"/>
      <c r="E54" s="1418"/>
      <c r="F54" s="244"/>
      <c r="G54" s="244">
        <v>859</v>
      </c>
      <c r="H54" s="244">
        <v>859</v>
      </c>
      <c r="I54" s="212">
        <f t="shared" si="3"/>
        <v>100</v>
      </c>
      <c r="K54" s="52"/>
      <c r="L54" s="45"/>
      <c r="M54" s="41"/>
      <c r="N54" s="41"/>
    </row>
    <row r="55" spans="1:14" ht="19.5" customHeight="1" x14ac:dyDescent="0.3">
      <c r="A55" s="1037"/>
      <c r="B55" s="973" t="s">
        <v>102</v>
      </c>
      <c r="C55" s="967"/>
      <c r="D55" s="967"/>
      <c r="E55" s="1456"/>
      <c r="F55" s="242"/>
      <c r="G55" s="242"/>
      <c r="H55" s="242"/>
      <c r="I55" s="216"/>
      <c r="K55" s="52"/>
      <c r="L55" s="45"/>
      <c r="M55" s="41"/>
      <c r="N55" s="41"/>
    </row>
    <row r="56" spans="1:14" ht="19.5" customHeight="1" x14ac:dyDescent="0.3">
      <c r="A56" s="1039"/>
      <c r="B56" s="1001"/>
      <c r="C56" s="1073" t="s">
        <v>30</v>
      </c>
      <c r="D56" s="1073"/>
      <c r="E56" s="1418"/>
      <c r="F56" s="244">
        <v>1874000</v>
      </c>
      <c r="G56" s="244">
        <v>1828790</v>
      </c>
      <c r="H56" s="244">
        <v>1828790</v>
      </c>
      <c r="I56" s="212">
        <f t="shared" si="3"/>
        <v>100</v>
      </c>
      <c r="K56" s="52"/>
      <c r="L56" s="58"/>
      <c r="M56" s="41"/>
      <c r="N56" s="40"/>
    </row>
    <row r="57" spans="1:14" ht="19.5" customHeight="1" x14ac:dyDescent="0.3">
      <c r="A57" s="1037"/>
      <c r="B57" s="973" t="s">
        <v>103</v>
      </c>
      <c r="C57" s="967"/>
      <c r="D57" s="967"/>
      <c r="E57" s="1456"/>
      <c r="F57" s="242"/>
      <c r="G57" s="242"/>
      <c r="H57" s="242"/>
      <c r="I57" s="245"/>
      <c r="K57" s="52"/>
      <c r="L57" s="58"/>
      <c r="M57" s="41"/>
      <c r="N57" s="40"/>
    </row>
    <row r="58" spans="1:14" ht="19.5" customHeight="1" x14ac:dyDescent="0.3">
      <c r="A58" s="1039"/>
      <c r="B58" s="973"/>
      <c r="C58" s="1098" t="s">
        <v>12</v>
      </c>
      <c r="D58" s="1112"/>
      <c r="E58" s="1457"/>
      <c r="F58" s="211">
        <v>9600000</v>
      </c>
      <c r="G58" s="211">
        <v>11867181</v>
      </c>
      <c r="H58" s="211">
        <v>11860244</v>
      </c>
      <c r="I58" s="212">
        <f t="shared" si="3"/>
        <v>99.941544668443157</v>
      </c>
      <c r="K58" s="52"/>
      <c r="L58" s="58"/>
      <c r="M58" s="41"/>
      <c r="N58" s="40"/>
    </row>
    <row r="59" spans="1:14" ht="19.5" customHeight="1" x14ac:dyDescent="0.3">
      <c r="A59" s="1039"/>
      <c r="B59" s="973"/>
      <c r="C59" s="1098" t="s">
        <v>40</v>
      </c>
      <c r="D59" s="1098"/>
      <c r="E59" s="1457"/>
      <c r="F59" s="211">
        <v>30000</v>
      </c>
      <c r="G59" s="211">
        <v>33959</v>
      </c>
      <c r="H59" s="211">
        <v>33959</v>
      </c>
      <c r="I59" s="212">
        <f t="shared" si="3"/>
        <v>100</v>
      </c>
      <c r="K59" s="52"/>
      <c r="L59" s="58"/>
      <c r="M59" s="41"/>
      <c r="N59" s="41"/>
    </row>
    <row r="60" spans="1:14" ht="19.5" customHeight="1" x14ac:dyDescent="0.3">
      <c r="A60" s="1037"/>
      <c r="B60" s="973" t="s">
        <v>104</v>
      </c>
      <c r="C60" s="967"/>
      <c r="D60" s="967"/>
      <c r="E60" s="1456"/>
      <c r="F60" s="242"/>
      <c r="G60" s="242"/>
      <c r="H60" s="242"/>
      <c r="I60" s="212"/>
      <c r="K60" s="52"/>
      <c r="L60" s="58"/>
      <c r="M60" s="41"/>
      <c r="N60" s="41"/>
    </row>
    <row r="61" spans="1:14" ht="19.5" customHeight="1" x14ac:dyDescent="0.3">
      <c r="A61" s="1039"/>
      <c r="B61" s="973"/>
      <c r="C61" s="1098" t="s">
        <v>199</v>
      </c>
      <c r="D61" s="1098"/>
      <c r="E61" s="1457"/>
      <c r="F61" s="211">
        <v>10000</v>
      </c>
      <c r="G61" s="211">
        <v>24101</v>
      </c>
      <c r="H61" s="211">
        <v>24095</v>
      </c>
      <c r="I61" s="212">
        <f t="shared" si="3"/>
        <v>99.975104767437045</v>
      </c>
      <c r="K61" s="52"/>
      <c r="L61" s="58"/>
      <c r="M61" s="41"/>
      <c r="N61" s="41"/>
    </row>
    <row r="62" spans="1:14" ht="19.5" customHeight="1" x14ac:dyDescent="0.3">
      <c r="A62" s="1039"/>
      <c r="B62" s="973"/>
      <c r="C62" s="1098" t="s">
        <v>50</v>
      </c>
      <c r="D62" s="1112"/>
      <c r="E62" s="1457"/>
      <c r="F62" s="211">
        <v>1000</v>
      </c>
      <c r="G62" s="211">
        <v>1072</v>
      </c>
      <c r="H62" s="211">
        <v>1072</v>
      </c>
      <c r="I62" s="212">
        <f t="shared" si="3"/>
        <v>100</v>
      </c>
      <c r="K62" s="52"/>
      <c r="L62" s="58"/>
      <c r="M62" s="41"/>
      <c r="N62" s="41"/>
    </row>
    <row r="63" spans="1:14" ht="19.5" customHeight="1" x14ac:dyDescent="0.3">
      <c r="A63" s="1039"/>
      <c r="B63" s="1001"/>
      <c r="C63" s="1073" t="s">
        <v>23</v>
      </c>
      <c r="D63" s="1073"/>
      <c r="E63" s="1457"/>
      <c r="F63" s="211"/>
      <c r="G63" s="211">
        <v>7558</v>
      </c>
      <c r="H63" s="211">
        <v>7558</v>
      </c>
      <c r="I63" s="212">
        <f t="shared" si="3"/>
        <v>100</v>
      </c>
      <c r="K63" s="52"/>
      <c r="L63" s="58"/>
      <c r="M63" s="41"/>
      <c r="N63" s="41"/>
    </row>
    <row r="64" spans="1:14" ht="19.5" customHeight="1" x14ac:dyDescent="0.3">
      <c r="A64" s="1039"/>
      <c r="B64" s="1001"/>
      <c r="C64" s="1073" t="s">
        <v>565</v>
      </c>
      <c r="D64" s="1073"/>
      <c r="E64" s="1457"/>
      <c r="F64" s="211"/>
      <c r="G64" s="211">
        <v>1135</v>
      </c>
      <c r="H64" s="211">
        <v>1135</v>
      </c>
      <c r="I64" s="212">
        <f t="shared" si="3"/>
        <v>100</v>
      </c>
      <c r="K64" s="52"/>
      <c r="L64" s="58"/>
      <c r="M64" s="41"/>
      <c r="N64" s="41"/>
    </row>
    <row r="65" spans="1:14" ht="19.5" customHeight="1" thickBot="1" x14ac:dyDescent="0.35">
      <c r="A65" s="972" t="s">
        <v>238</v>
      </c>
      <c r="B65" s="1446"/>
      <c r="C65" s="1458"/>
      <c r="D65" s="1458"/>
      <c r="E65" s="1459"/>
      <c r="F65" s="246">
        <f>SUM(F54:F64)</f>
        <v>11515000</v>
      </c>
      <c r="G65" s="246">
        <f>SUM(G54:G64)</f>
        <v>13764655</v>
      </c>
      <c r="H65" s="246">
        <f>SUM(H54:H64)</f>
        <v>13757712</v>
      </c>
      <c r="I65" s="740">
        <f t="shared" si="3"/>
        <v>99.949559215250943</v>
      </c>
      <c r="K65" s="52"/>
      <c r="L65" s="45"/>
      <c r="M65" s="41"/>
      <c r="N65" s="41"/>
    </row>
    <row r="66" spans="1:14" ht="19.5" customHeight="1" x14ac:dyDescent="0.3">
      <c r="A66" s="1007" t="s">
        <v>246</v>
      </c>
      <c r="B66" s="1460"/>
      <c r="C66" s="1460"/>
      <c r="D66" s="1460"/>
      <c r="E66" s="1460"/>
      <c r="F66" s="194"/>
      <c r="G66" s="194"/>
      <c r="H66" s="247"/>
      <c r="I66" s="248"/>
      <c r="K66" s="52"/>
      <c r="L66" s="45"/>
      <c r="M66" s="41"/>
      <c r="N66" s="41"/>
    </row>
    <row r="67" spans="1:14" ht="19.5" customHeight="1" x14ac:dyDescent="0.3">
      <c r="A67" s="1039"/>
      <c r="B67" s="973"/>
      <c r="C67" s="1098" t="s">
        <v>217</v>
      </c>
      <c r="D67" s="1098"/>
      <c r="E67" s="1457"/>
      <c r="F67" s="211"/>
      <c r="G67" s="211">
        <v>905</v>
      </c>
      <c r="H67" s="211">
        <v>905</v>
      </c>
      <c r="I67" s="212">
        <f t="shared" ref="I67:I120" si="7">+H67/G67*100</f>
        <v>100</v>
      </c>
      <c r="K67" s="52"/>
      <c r="L67" s="45"/>
      <c r="M67" s="41"/>
      <c r="N67" s="40"/>
    </row>
    <row r="68" spans="1:14" ht="19.5" customHeight="1" x14ac:dyDescent="0.3">
      <c r="A68" s="1039"/>
      <c r="B68" s="973"/>
      <c r="C68" s="1461" t="s">
        <v>56</v>
      </c>
      <c r="D68" s="1462"/>
      <c r="E68" s="1463"/>
      <c r="F68" s="222"/>
      <c r="G68" s="222">
        <v>14690</v>
      </c>
      <c r="H68" s="461">
        <v>14690</v>
      </c>
      <c r="I68" s="212">
        <f t="shared" si="7"/>
        <v>100</v>
      </c>
      <c r="K68" s="52"/>
      <c r="L68" s="45"/>
      <c r="M68" s="41"/>
      <c r="N68" s="40"/>
    </row>
    <row r="69" spans="1:14" ht="19.5" customHeight="1" x14ac:dyDescent="0.3">
      <c r="A69" s="1039"/>
      <c r="B69" s="973"/>
      <c r="C69" s="1098" t="s">
        <v>229</v>
      </c>
      <c r="D69" s="1098"/>
      <c r="E69" s="1457"/>
      <c r="F69" s="211">
        <v>10215</v>
      </c>
      <c r="G69" s="211">
        <v>20858</v>
      </c>
      <c r="H69" s="211">
        <v>20858</v>
      </c>
      <c r="I69" s="209">
        <f t="shared" si="7"/>
        <v>100</v>
      </c>
      <c r="K69" s="52"/>
      <c r="L69" s="45"/>
      <c r="M69" s="41"/>
      <c r="N69" s="40"/>
    </row>
    <row r="70" spans="1:14" ht="19.5" customHeight="1" x14ac:dyDescent="0.3">
      <c r="A70" s="1039"/>
      <c r="B70" s="973"/>
      <c r="C70" s="1461" t="s">
        <v>468</v>
      </c>
      <c r="D70" s="1461"/>
      <c r="E70" s="1463"/>
      <c r="F70" s="222"/>
      <c r="G70" s="222">
        <v>93</v>
      </c>
      <c r="H70" s="222">
        <v>93</v>
      </c>
      <c r="I70" s="209">
        <f t="shared" si="7"/>
        <v>100</v>
      </c>
      <c r="K70" s="52"/>
      <c r="L70" s="45"/>
      <c r="M70" s="41"/>
      <c r="N70" s="40"/>
    </row>
    <row r="71" spans="1:14" ht="37.5" customHeight="1" x14ac:dyDescent="0.3">
      <c r="A71" s="1039"/>
      <c r="B71" s="973"/>
      <c r="C71" s="1896" t="s">
        <v>473</v>
      </c>
      <c r="D71" s="1896"/>
      <c r="E71" s="1897"/>
      <c r="F71" s="222"/>
      <c r="G71" s="222">
        <v>403</v>
      </c>
      <c r="H71" s="222">
        <v>403</v>
      </c>
      <c r="I71" s="209">
        <f t="shared" si="7"/>
        <v>100</v>
      </c>
      <c r="K71" s="52"/>
      <c r="L71" s="45"/>
      <c r="M71" s="41"/>
      <c r="N71" s="40"/>
    </row>
    <row r="72" spans="1:14" ht="19.5" customHeight="1" x14ac:dyDescent="0.3">
      <c r="A72" s="1039"/>
      <c r="B72" s="973"/>
      <c r="C72" s="1461" t="s">
        <v>212</v>
      </c>
      <c r="D72" s="1462"/>
      <c r="E72" s="1463"/>
      <c r="F72" s="222"/>
      <c r="G72" s="222">
        <v>14652</v>
      </c>
      <c r="H72" s="222">
        <v>14652</v>
      </c>
      <c r="I72" s="209">
        <f t="shared" si="7"/>
        <v>100</v>
      </c>
      <c r="K72" s="52"/>
      <c r="L72" s="45"/>
      <c r="M72" s="41"/>
      <c r="N72" s="40"/>
    </row>
    <row r="73" spans="1:14" ht="19.5" customHeight="1" x14ac:dyDescent="0.3">
      <c r="A73" s="1039"/>
      <c r="B73" s="973"/>
      <c r="C73" s="1098" t="s">
        <v>444</v>
      </c>
      <c r="D73" s="1098"/>
      <c r="E73" s="1457"/>
      <c r="F73" s="211">
        <v>37404</v>
      </c>
      <c r="G73" s="211">
        <v>37404</v>
      </c>
      <c r="H73" s="211">
        <v>37404</v>
      </c>
      <c r="I73" s="209">
        <f t="shared" si="7"/>
        <v>100</v>
      </c>
      <c r="K73" s="52"/>
      <c r="L73" s="45"/>
      <c r="M73" s="41"/>
      <c r="N73" s="40"/>
    </row>
    <row r="74" spans="1:14" ht="19.5" customHeight="1" x14ac:dyDescent="0.3">
      <c r="A74" s="1039"/>
      <c r="B74" s="973"/>
      <c r="C74" s="1098" t="s">
        <v>374</v>
      </c>
      <c r="D74" s="1098"/>
      <c r="E74" s="1457"/>
      <c r="F74" s="211"/>
      <c r="G74" s="211">
        <v>24765</v>
      </c>
      <c r="H74" s="211">
        <v>24765</v>
      </c>
      <c r="I74" s="209">
        <f t="shared" si="7"/>
        <v>100</v>
      </c>
      <c r="K74" s="52"/>
      <c r="L74" s="45"/>
      <c r="M74" s="41"/>
      <c r="N74" s="40"/>
    </row>
    <row r="75" spans="1:14" ht="19.5" customHeight="1" x14ac:dyDescent="0.3">
      <c r="A75" s="1039"/>
      <c r="B75" s="973"/>
      <c r="C75" s="1098" t="s">
        <v>422</v>
      </c>
      <c r="D75" s="1098"/>
      <c r="E75" s="1457"/>
      <c r="F75" s="211"/>
      <c r="G75" s="211">
        <v>83</v>
      </c>
      <c r="H75" s="211">
        <v>83</v>
      </c>
      <c r="I75" s="209">
        <f t="shared" si="7"/>
        <v>100</v>
      </c>
      <c r="K75" s="52"/>
      <c r="L75" s="45"/>
      <c r="M75" s="41"/>
      <c r="N75" s="40"/>
    </row>
    <row r="76" spans="1:14" ht="19.5" customHeight="1" x14ac:dyDescent="0.3">
      <c r="A76" s="1039"/>
      <c r="B76" s="973"/>
      <c r="C76" s="1098" t="s">
        <v>218</v>
      </c>
      <c r="D76" s="1098"/>
      <c r="E76" s="1457"/>
      <c r="F76" s="211">
        <v>515000</v>
      </c>
      <c r="G76" s="211">
        <v>665959</v>
      </c>
      <c r="H76" s="211">
        <v>665959</v>
      </c>
      <c r="I76" s="209">
        <f t="shared" si="7"/>
        <v>100</v>
      </c>
      <c r="K76" s="52"/>
      <c r="L76" s="45"/>
      <c r="M76" s="41"/>
      <c r="N76" s="40"/>
    </row>
    <row r="77" spans="1:14" ht="19.5" customHeight="1" x14ac:dyDescent="0.3">
      <c r="A77" s="1039"/>
      <c r="B77" s="973"/>
      <c r="C77" s="1098" t="s">
        <v>254</v>
      </c>
      <c r="D77" s="1098"/>
      <c r="E77" s="1457"/>
      <c r="F77" s="211">
        <v>9000</v>
      </c>
      <c r="G77" s="211">
        <v>14727</v>
      </c>
      <c r="H77" s="211">
        <v>14727</v>
      </c>
      <c r="I77" s="209">
        <f t="shared" si="7"/>
        <v>100</v>
      </c>
      <c r="K77" s="52"/>
      <c r="L77" s="45"/>
      <c r="M77" s="41"/>
      <c r="N77" s="40"/>
    </row>
    <row r="78" spans="1:14" ht="19.5" customHeight="1" x14ac:dyDescent="0.3">
      <c r="A78" s="1039"/>
      <c r="B78" s="973"/>
      <c r="C78" s="1461" t="s">
        <v>65</v>
      </c>
      <c r="D78" s="1462"/>
      <c r="E78" s="1463"/>
      <c r="F78" s="222">
        <v>2700</v>
      </c>
      <c r="G78" s="222">
        <v>2709</v>
      </c>
      <c r="H78" s="222">
        <v>2709</v>
      </c>
      <c r="I78" s="209">
        <f t="shared" si="7"/>
        <v>100</v>
      </c>
      <c r="K78" s="52"/>
      <c r="L78" s="45"/>
      <c r="M78" s="41"/>
      <c r="N78" s="40"/>
    </row>
    <row r="79" spans="1:14" ht="19.5" customHeight="1" x14ac:dyDescent="0.3">
      <c r="A79" s="1039"/>
      <c r="B79" s="973"/>
      <c r="C79" s="1098" t="s">
        <v>64</v>
      </c>
      <c r="D79" s="1098"/>
      <c r="E79" s="1457"/>
      <c r="F79" s="211">
        <v>700000</v>
      </c>
      <c r="G79" s="211">
        <v>700000</v>
      </c>
      <c r="H79" s="211">
        <v>782342</v>
      </c>
      <c r="I79" s="209">
        <f t="shared" si="7"/>
        <v>111.76314285714287</v>
      </c>
      <c r="K79" s="52"/>
      <c r="L79" s="45"/>
      <c r="M79" s="41"/>
      <c r="N79" s="40"/>
    </row>
    <row r="80" spans="1:14" ht="20.25" x14ac:dyDescent="0.3">
      <c r="A80" s="1039"/>
      <c r="B80" s="973"/>
      <c r="C80" s="1098" t="s">
        <v>35</v>
      </c>
      <c r="D80" s="1098"/>
      <c r="E80" s="1457"/>
      <c r="F80" s="211">
        <v>3000</v>
      </c>
      <c r="G80" s="211">
        <v>11324</v>
      </c>
      <c r="H80" s="211">
        <v>11324</v>
      </c>
      <c r="I80" s="209">
        <f t="shared" si="7"/>
        <v>100</v>
      </c>
      <c r="K80" s="52"/>
      <c r="L80" s="45"/>
      <c r="M80" s="41"/>
      <c r="N80" s="40"/>
    </row>
    <row r="81" spans="1:14" ht="19.5" customHeight="1" x14ac:dyDescent="0.3">
      <c r="A81" s="1039"/>
      <c r="B81" s="973"/>
      <c r="C81" s="1098" t="s">
        <v>57</v>
      </c>
      <c r="D81" s="1098"/>
      <c r="E81" s="1457"/>
      <c r="F81" s="211">
        <v>17000</v>
      </c>
      <c r="G81" s="211">
        <v>27206</v>
      </c>
      <c r="H81" s="211">
        <v>27206</v>
      </c>
      <c r="I81" s="209">
        <f t="shared" si="7"/>
        <v>100</v>
      </c>
      <c r="K81" s="52"/>
      <c r="L81" s="45"/>
      <c r="M81" s="41"/>
      <c r="N81" s="40"/>
    </row>
    <row r="82" spans="1:14" ht="19.5" customHeight="1" x14ac:dyDescent="0.3">
      <c r="A82" s="1039"/>
      <c r="B82" s="973"/>
      <c r="C82" s="1461" t="s">
        <v>201</v>
      </c>
      <c r="D82" s="1461"/>
      <c r="E82" s="1463"/>
      <c r="F82" s="222"/>
      <c r="G82" s="222">
        <v>425175</v>
      </c>
      <c r="H82" s="222">
        <v>450075</v>
      </c>
      <c r="I82" s="209">
        <f t="shared" si="7"/>
        <v>105.85641206562005</v>
      </c>
      <c r="K82" s="52"/>
      <c r="L82" s="45"/>
      <c r="M82" s="41"/>
      <c r="N82" s="41"/>
    </row>
    <row r="83" spans="1:14" ht="19.5" customHeight="1" x14ac:dyDescent="0.3">
      <c r="A83" s="1039"/>
      <c r="B83" s="973"/>
      <c r="C83" s="1457" t="s">
        <v>143</v>
      </c>
      <c r="D83" s="1463"/>
      <c r="E83" s="1463"/>
      <c r="F83" s="222"/>
      <c r="G83" s="222">
        <v>26</v>
      </c>
      <c r="H83" s="222">
        <v>26</v>
      </c>
      <c r="I83" s="209"/>
      <c r="K83" s="52"/>
      <c r="L83" s="45"/>
      <c r="M83" s="41"/>
      <c r="N83" s="41"/>
    </row>
    <row r="84" spans="1:14" ht="19.5" customHeight="1" x14ac:dyDescent="0.3">
      <c r="A84" s="1039"/>
      <c r="B84" s="973"/>
      <c r="C84" s="1098" t="s">
        <v>211</v>
      </c>
      <c r="D84" s="1461"/>
      <c r="E84" s="1463"/>
      <c r="F84" s="222">
        <v>1700</v>
      </c>
      <c r="G84" s="222">
        <v>1213</v>
      </c>
      <c r="H84" s="222">
        <v>1213</v>
      </c>
      <c r="I84" s="209">
        <f t="shared" si="7"/>
        <v>100</v>
      </c>
      <c r="K84" s="52"/>
      <c r="L84" s="45"/>
      <c r="M84" s="41"/>
      <c r="N84" s="40"/>
    </row>
    <row r="85" spans="1:14" ht="19.5" customHeight="1" x14ac:dyDescent="0.3">
      <c r="A85" s="1039"/>
      <c r="B85" s="973"/>
      <c r="C85" s="1103" t="s">
        <v>474</v>
      </c>
      <c r="D85" s="1461"/>
      <c r="E85" s="1463"/>
      <c r="F85" s="222"/>
      <c r="G85" s="222">
        <v>8648</v>
      </c>
      <c r="H85" s="461">
        <v>8648</v>
      </c>
      <c r="I85" s="209">
        <f t="shared" si="7"/>
        <v>100</v>
      </c>
      <c r="K85" s="52"/>
      <c r="L85" s="45"/>
      <c r="M85" s="41"/>
      <c r="N85" s="40"/>
    </row>
    <row r="86" spans="1:14" ht="19.5" customHeight="1" x14ac:dyDescent="0.3">
      <c r="A86" s="1037"/>
      <c r="B86" s="973" t="s">
        <v>113</v>
      </c>
      <c r="C86" s="967"/>
      <c r="D86" s="967"/>
      <c r="E86" s="1457"/>
      <c r="F86" s="211"/>
      <c r="G86" s="211"/>
      <c r="H86" s="211"/>
      <c r="I86" s="209"/>
      <c r="K86" s="52"/>
      <c r="L86" s="45"/>
      <c r="M86" s="41"/>
      <c r="N86" s="40"/>
    </row>
    <row r="87" spans="1:14" ht="19.5" customHeight="1" x14ac:dyDescent="0.3">
      <c r="A87" s="1039"/>
      <c r="B87" s="973"/>
      <c r="C87" s="1457" t="s">
        <v>219</v>
      </c>
      <c r="D87" s="1098"/>
      <c r="E87" s="1457"/>
      <c r="F87" s="211">
        <v>89712</v>
      </c>
      <c r="G87" s="211">
        <v>89712</v>
      </c>
      <c r="H87" s="219"/>
      <c r="I87" s="209">
        <f t="shared" si="7"/>
        <v>0</v>
      </c>
      <c r="K87" s="52"/>
      <c r="L87" s="45"/>
      <c r="M87" s="41"/>
      <c r="N87" s="40"/>
    </row>
    <row r="88" spans="1:14" ht="19.5" customHeight="1" x14ac:dyDescent="0.3">
      <c r="A88" s="1039"/>
      <c r="B88" s="973"/>
      <c r="C88" s="1457" t="s">
        <v>24</v>
      </c>
      <c r="D88" s="1098"/>
      <c r="E88" s="1457"/>
      <c r="F88" s="211">
        <v>250000</v>
      </c>
      <c r="G88" s="211">
        <v>250000</v>
      </c>
      <c r="H88" s="211">
        <f>336605-4</f>
        <v>336601</v>
      </c>
      <c r="I88" s="209">
        <f t="shared" si="7"/>
        <v>134.6404</v>
      </c>
      <c r="K88" s="52"/>
      <c r="L88" s="45"/>
      <c r="M88" s="41"/>
      <c r="N88" s="41"/>
    </row>
    <row r="89" spans="1:14" ht="19.5" customHeight="1" x14ac:dyDescent="0.3">
      <c r="A89" s="1039"/>
      <c r="B89" s="973"/>
      <c r="C89" s="1098" t="s">
        <v>138</v>
      </c>
      <c r="D89" s="1098"/>
      <c r="E89" s="1457"/>
      <c r="F89" s="211">
        <v>20000</v>
      </c>
      <c r="G89" s="211">
        <v>20000</v>
      </c>
      <c r="H89" s="211"/>
      <c r="I89" s="209">
        <f t="shared" si="7"/>
        <v>0</v>
      </c>
      <c r="K89" s="52"/>
      <c r="L89" s="45"/>
      <c r="M89" s="41"/>
      <c r="N89" s="40"/>
    </row>
    <row r="90" spans="1:14" ht="19.5" customHeight="1" x14ac:dyDescent="0.3">
      <c r="A90" s="1039"/>
      <c r="B90" s="973"/>
      <c r="C90" s="1098" t="s">
        <v>495</v>
      </c>
      <c r="D90" s="1098"/>
      <c r="E90" s="1457"/>
      <c r="F90" s="211"/>
      <c r="G90" s="211">
        <v>16963</v>
      </c>
      <c r="H90" s="211"/>
      <c r="I90" s="209">
        <f t="shared" si="7"/>
        <v>0</v>
      </c>
      <c r="K90" s="52"/>
      <c r="L90" s="45"/>
      <c r="M90" s="41"/>
      <c r="N90" s="40"/>
    </row>
    <row r="91" spans="1:14" ht="19.5" customHeight="1" x14ac:dyDescent="0.3">
      <c r="A91" s="1039"/>
      <c r="B91" s="973"/>
      <c r="C91" s="1098" t="s">
        <v>575</v>
      </c>
      <c r="D91" s="1098"/>
      <c r="E91" s="1457"/>
      <c r="F91" s="211"/>
      <c r="G91" s="211">
        <v>1350</v>
      </c>
      <c r="H91" s="211"/>
      <c r="I91" s="209">
        <f t="shared" si="7"/>
        <v>0</v>
      </c>
      <c r="K91" s="52"/>
      <c r="L91" s="45"/>
      <c r="M91" s="41"/>
      <c r="N91" s="40"/>
    </row>
    <row r="92" spans="1:14" ht="19.5" customHeight="1" x14ac:dyDescent="0.3">
      <c r="A92" s="1039"/>
      <c r="B92" s="973"/>
      <c r="C92" s="1073" t="s">
        <v>46</v>
      </c>
      <c r="D92" s="1098"/>
      <c r="E92" s="1457"/>
      <c r="F92" s="211"/>
      <c r="G92" s="211">
        <v>547978</v>
      </c>
      <c r="H92" s="211"/>
      <c r="I92" s="209">
        <f t="shared" si="7"/>
        <v>0</v>
      </c>
      <c r="K92" s="52"/>
      <c r="L92" s="45"/>
      <c r="M92" s="41"/>
      <c r="N92" s="41"/>
    </row>
    <row r="93" spans="1:14" ht="19.5" customHeight="1" x14ac:dyDescent="0.3">
      <c r="A93" s="1037"/>
      <c r="B93" s="973" t="s">
        <v>114</v>
      </c>
      <c r="C93" s="1464"/>
      <c r="D93" s="1464"/>
      <c r="E93" s="1465"/>
      <c r="F93" s="249"/>
      <c r="G93" s="249"/>
      <c r="H93" s="249"/>
      <c r="I93" s="209"/>
      <c r="K93" s="52"/>
      <c r="L93" s="45"/>
      <c r="M93" s="41"/>
      <c r="N93" s="41"/>
    </row>
    <row r="94" spans="1:14" ht="19.5" customHeight="1" x14ac:dyDescent="0.3">
      <c r="A94" s="1039"/>
      <c r="B94" s="1001"/>
      <c r="C94" s="1891" t="s">
        <v>230</v>
      </c>
      <c r="D94" s="1891"/>
      <c r="E94" s="1892"/>
      <c r="F94" s="208">
        <v>295000</v>
      </c>
      <c r="G94" s="208">
        <v>1026260</v>
      </c>
      <c r="H94" s="208">
        <f>1026260+1</f>
        <v>1026261</v>
      </c>
      <c r="I94" s="209">
        <f t="shared" si="7"/>
        <v>100.00009744119424</v>
      </c>
      <c r="K94" s="52"/>
      <c r="L94" s="45"/>
      <c r="M94" s="41"/>
      <c r="N94" s="40"/>
    </row>
    <row r="95" spans="1:14" ht="19.5" customHeight="1" x14ac:dyDescent="0.3">
      <c r="A95" s="1039"/>
      <c r="B95" s="1001"/>
      <c r="C95" s="1073" t="s">
        <v>566</v>
      </c>
      <c r="D95" s="1073"/>
      <c r="E95" s="1457"/>
      <c r="F95" s="208"/>
      <c r="G95" s="217">
        <v>4096</v>
      </c>
      <c r="H95" s="208">
        <v>4096</v>
      </c>
      <c r="I95" s="209">
        <f t="shared" si="7"/>
        <v>100</v>
      </c>
      <c r="K95" s="52"/>
      <c r="L95" s="45"/>
      <c r="M95" s="41"/>
      <c r="N95" s="40"/>
    </row>
    <row r="96" spans="1:14" ht="19.5" customHeight="1" x14ac:dyDescent="0.3">
      <c r="A96" s="1037"/>
      <c r="B96" s="973" t="s">
        <v>340</v>
      </c>
      <c r="C96" s="1464"/>
      <c r="D96" s="1464"/>
      <c r="E96" s="1465"/>
      <c r="F96" s="249"/>
      <c r="G96" s="250"/>
      <c r="H96" s="249"/>
      <c r="I96" s="209"/>
      <c r="K96" s="52"/>
      <c r="L96" s="45"/>
    </row>
    <row r="97" spans="1:16" ht="19.5" customHeight="1" thickBot="1" x14ac:dyDescent="0.35">
      <c r="A97" s="971" t="s">
        <v>243</v>
      </c>
      <c r="B97" s="1440"/>
      <c r="C97" s="1440"/>
      <c r="D97" s="1440"/>
      <c r="E97" s="1440"/>
      <c r="F97" s="225">
        <f>SUM(F67:F96)</f>
        <v>1950731</v>
      </c>
      <c r="G97" s="225">
        <f>SUM(G67:G96)</f>
        <v>3927199</v>
      </c>
      <c r="H97" s="225">
        <f>SUM(H67:H96)</f>
        <v>3445040</v>
      </c>
      <c r="I97" s="226">
        <f t="shared" si="7"/>
        <v>87.722572754780188</v>
      </c>
      <c r="K97" s="52"/>
      <c r="L97" s="45"/>
    </row>
    <row r="98" spans="1:16" ht="19.5" customHeight="1" x14ac:dyDescent="0.3">
      <c r="A98" s="1007" t="s">
        <v>236</v>
      </c>
      <c r="B98" s="1466"/>
      <c r="C98" s="1466"/>
      <c r="D98" s="1466"/>
      <c r="E98" s="1466"/>
      <c r="F98" s="238"/>
      <c r="G98" s="219"/>
      <c r="H98" s="238"/>
      <c r="I98" s="251"/>
      <c r="K98" s="52"/>
      <c r="L98" s="45"/>
      <c r="M98" s="38"/>
    </row>
    <row r="99" spans="1:16" ht="33.75" customHeight="1" x14ac:dyDescent="0.3">
      <c r="A99" s="1007"/>
      <c r="B99" s="1894" t="s">
        <v>109</v>
      </c>
      <c r="C99" s="1894"/>
      <c r="D99" s="1894"/>
      <c r="E99" s="1895"/>
      <c r="F99" s="200"/>
      <c r="G99" s="200"/>
      <c r="H99" s="200"/>
      <c r="I99" s="201"/>
      <c r="K99" s="52"/>
      <c r="L99" s="45"/>
    </row>
    <row r="100" spans="1:16" ht="19.5" customHeight="1" x14ac:dyDescent="0.3">
      <c r="A100" s="1037"/>
      <c r="B100" s="1106"/>
      <c r="C100" s="1893" t="s">
        <v>392</v>
      </c>
      <c r="D100" s="1891"/>
      <c r="E100" s="1892"/>
      <c r="F100" s="252"/>
      <c r="G100" s="252">
        <v>20000</v>
      </c>
      <c r="H100" s="252"/>
      <c r="I100" s="212">
        <f t="shared" si="7"/>
        <v>0</v>
      </c>
      <c r="K100" s="52"/>
      <c r="L100" s="45"/>
    </row>
    <row r="101" spans="1:16" ht="19.5" customHeight="1" x14ac:dyDescent="0.3">
      <c r="A101" s="1037"/>
      <c r="B101" s="1106"/>
      <c r="C101" s="1098" t="s">
        <v>496</v>
      </c>
      <c r="D101" s="1073"/>
      <c r="E101" s="1073"/>
      <c r="F101" s="244"/>
      <c r="G101" s="244">
        <v>50000</v>
      </c>
      <c r="H101" s="244">
        <v>50000</v>
      </c>
      <c r="I101" s="212">
        <f t="shared" si="7"/>
        <v>100</v>
      </c>
      <c r="K101" s="52"/>
      <c r="L101" s="45"/>
    </row>
    <row r="102" spans="1:16" ht="19.5" customHeight="1" x14ac:dyDescent="0.3">
      <c r="A102" s="1037"/>
      <c r="B102" s="1106"/>
      <c r="C102" s="1098" t="s">
        <v>497</v>
      </c>
      <c r="D102" s="1098"/>
      <c r="E102" s="1073"/>
      <c r="F102" s="244"/>
      <c r="G102" s="244">
        <v>45000</v>
      </c>
      <c r="H102" s="244">
        <v>45000</v>
      </c>
      <c r="I102" s="212">
        <f t="shared" si="7"/>
        <v>100</v>
      </c>
      <c r="K102" s="52"/>
      <c r="L102" s="45"/>
    </row>
    <row r="103" spans="1:16" ht="19.5" customHeight="1" x14ac:dyDescent="0.3">
      <c r="A103" s="1037"/>
      <c r="B103" s="1106"/>
      <c r="C103" s="1103" t="s">
        <v>520</v>
      </c>
      <c r="D103" s="1098"/>
      <c r="E103" s="1073"/>
      <c r="F103" s="244">
        <v>700000</v>
      </c>
      <c r="G103" s="244">
        <v>0</v>
      </c>
      <c r="H103" s="244"/>
      <c r="I103" s="212"/>
      <c r="K103" s="52"/>
      <c r="L103" s="45"/>
    </row>
    <row r="104" spans="1:16" ht="19.5" customHeight="1" x14ac:dyDescent="0.3">
      <c r="A104" s="1007"/>
      <c r="B104" s="1466" t="s">
        <v>110</v>
      </c>
      <c r="C104" s="1466"/>
      <c r="D104" s="1466"/>
      <c r="E104" s="1466"/>
      <c r="F104" s="238"/>
      <c r="G104" s="238"/>
      <c r="H104" s="238"/>
      <c r="I104" s="212"/>
      <c r="K104" s="52"/>
      <c r="L104" s="45"/>
    </row>
    <row r="105" spans="1:16" ht="19.5" customHeight="1" x14ac:dyDescent="0.3">
      <c r="A105" s="1037"/>
      <c r="B105" s="1106"/>
      <c r="C105" s="1467" t="s">
        <v>608</v>
      </c>
      <c r="D105" s="1107"/>
      <c r="E105" s="1073"/>
      <c r="F105" s="253"/>
      <c r="G105" s="244">
        <v>8</v>
      </c>
      <c r="H105" s="244">
        <v>8</v>
      </c>
      <c r="I105" s="212">
        <f t="shared" si="7"/>
        <v>100</v>
      </c>
      <c r="K105" s="52"/>
      <c r="L105" s="45"/>
    </row>
    <row r="106" spans="1:16" ht="19.5" customHeight="1" x14ac:dyDescent="0.3">
      <c r="A106" s="1037"/>
      <c r="B106" s="1106"/>
      <c r="C106" s="1107" t="s">
        <v>1194</v>
      </c>
      <c r="D106" s="1073"/>
      <c r="E106" s="1073"/>
      <c r="F106" s="253"/>
      <c r="G106" s="244">
        <v>150</v>
      </c>
      <c r="H106" s="460">
        <v>150</v>
      </c>
      <c r="I106" s="212">
        <f t="shared" si="7"/>
        <v>100</v>
      </c>
      <c r="K106" s="52"/>
      <c r="L106" s="45"/>
    </row>
    <row r="107" spans="1:16" ht="19.5" customHeight="1" x14ac:dyDescent="0.3">
      <c r="A107" s="1037"/>
      <c r="B107" s="1106"/>
      <c r="C107" s="1106" t="s">
        <v>475</v>
      </c>
      <c r="D107" s="1001"/>
      <c r="E107" s="1073"/>
      <c r="F107" s="253"/>
      <c r="G107" s="244">
        <v>3544</v>
      </c>
      <c r="H107" s="244">
        <v>3544</v>
      </c>
      <c r="I107" s="212">
        <f t="shared" si="7"/>
        <v>100</v>
      </c>
      <c r="K107" s="52"/>
      <c r="L107" s="45"/>
    </row>
    <row r="108" spans="1:16" ht="19.5" customHeight="1" x14ac:dyDescent="0.3">
      <c r="A108" s="1037"/>
      <c r="B108" s="1106"/>
      <c r="C108" s="1467" t="s">
        <v>435</v>
      </c>
      <c r="D108" s="1107"/>
      <c r="E108" s="1073"/>
      <c r="F108" s="253"/>
      <c r="G108" s="244">
        <v>685</v>
      </c>
      <c r="H108" s="244">
        <v>685</v>
      </c>
      <c r="I108" s="212">
        <f t="shared" si="7"/>
        <v>100</v>
      </c>
      <c r="K108" s="52"/>
      <c r="L108" s="45"/>
    </row>
    <row r="109" spans="1:16" ht="19.5" customHeight="1" x14ac:dyDescent="0.3">
      <c r="A109" s="1037"/>
      <c r="B109" s="1106"/>
      <c r="C109" s="1098" t="s">
        <v>492</v>
      </c>
      <c r="D109" s="1107"/>
      <c r="E109" s="1073"/>
      <c r="F109" s="253"/>
      <c r="G109" s="244">
        <v>6767</v>
      </c>
      <c r="H109" s="244">
        <v>6767</v>
      </c>
      <c r="I109" s="212">
        <f t="shared" si="7"/>
        <v>100</v>
      </c>
      <c r="K109" s="52"/>
      <c r="L109" s="45"/>
    </row>
    <row r="110" spans="1:16" ht="19.5" customHeight="1" x14ac:dyDescent="0.3">
      <c r="A110" s="1037"/>
      <c r="B110" s="1106"/>
      <c r="C110" s="1107" t="s">
        <v>609</v>
      </c>
      <c r="D110" s="1098"/>
      <c r="E110" s="1107"/>
      <c r="F110" s="254"/>
      <c r="G110" s="253">
        <v>2100</v>
      </c>
      <c r="H110" s="244">
        <v>2100</v>
      </c>
      <c r="I110" s="212">
        <f t="shared" si="7"/>
        <v>100</v>
      </c>
      <c r="J110" s="61"/>
      <c r="K110" s="3"/>
      <c r="L110" s="52"/>
      <c r="M110" s="45"/>
      <c r="P110" s="35"/>
    </row>
    <row r="111" spans="1:16" ht="19.5" customHeight="1" x14ac:dyDescent="0.3">
      <c r="A111" s="1037"/>
      <c r="B111" s="1106"/>
      <c r="C111" s="1108" t="s">
        <v>573</v>
      </c>
      <c r="D111" s="1098"/>
      <c r="E111" s="1107"/>
      <c r="F111" s="518"/>
      <c r="G111" s="253">
        <v>9125</v>
      </c>
      <c r="H111" s="244">
        <v>237</v>
      </c>
      <c r="I111" s="212">
        <f t="shared" si="7"/>
        <v>2.5972602739726027</v>
      </c>
      <c r="J111" s="61"/>
      <c r="K111" s="3"/>
      <c r="L111" s="52"/>
      <c r="M111" s="45"/>
      <c r="P111" s="35"/>
    </row>
    <row r="112" spans="1:16" ht="19.5" customHeight="1" x14ac:dyDescent="0.3">
      <c r="A112" s="1037"/>
      <c r="B112" s="1106"/>
      <c r="C112" s="1108" t="s">
        <v>576</v>
      </c>
      <c r="D112" s="1098"/>
      <c r="E112" s="1107"/>
      <c r="F112" s="518"/>
      <c r="G112" s="253">
        <v>39937</v>
      </c>
      <c r="H112" s="244"/>
      <c r="I112" s="212">
        <f t="shared" si="7"/>
        <v>0</v>
      </c>
      <c r="J112" s="61"/>
      <c r="K112" s="3"/>
      <c r="L112" s="52"/>
      <c r="M112" s="45"/>
      <c r="P112" s="35"/>
    </row>
    <row r="113" spans="1:16" ht="19.5" customHeight="1" x14ac:dyDescent="0.3">
      <c r="A113" s="1037"/>
      <c r="B113" s="1106"/>
      <c r="C113" s="1108" t="s">
        <v>590</v>
      </c>
      <c r="D113" s="1098"/>
      <c r="E113" s="1107"/>
      <c r="F113" s="518"/>
      <c r="G113" s="253">
        <v>200</v>
      </c>
      <c r="H113" s="244">
        <v>200</v>
      </c>
      <c r="I113" s="212">
        <f t="shared" si="7"/>
        <v>100</v>
      </c>
      <c r="J113" s="61"/>
      <c r="K113" s="3"/>
      <c r="L113" s="52"/>
      <c r="M113" s="45"/>
      <c r="P113" s="35"/>
    </row>
    <row r="114" spans="1:16" ht="19.5" customHeight="1" x14ac:dyDescent="0.3">
      <c r="A114" s="1037"/>
      <c r="B114" s="1106"/>
      <c r="C114" s="1108" t="s">
        <v>1195</v>
      </c>
      <c r="D114" s="1001"/>
      <c r="E114" s="1073"/>
      <c r="F114" s="253"/>
      <c r="G114" s="244">
        <v>1540</v>
      </c>
      <c r="H114" s="244">
        <v>1540</v>
      </c>
      <c r="I114" s="212">
        <f t="shared" si="7"/>
        <v>100</v>
      </c>
      <c r="K114" s="52"/>
      <c r="L114" s="45"/>
    </row>
    <row r="115" spans="1:16" ht="19.5" customHeight="1" thickBot="1" x14ac:dyDescent="0.35">
      <c r="A115" s="1007" t="s">
        <v>262</v>
      </c>
      <c r="B115" s="1440"/>
      <c r="C115" s="1468"/>
      <c r="D115" s="1468"/>
      <c r="E115" s="1440"/>
      <c r="F115" s="255">
        <f>SUM(F100:F106)</f>
        <v>700000</v>
      </c>
      <c r="G115" s="255">
        <f>SUM(G100:G114)</f>
        <v>179056</v>
      </c>
      <c r="H115" s="255">
        <f>SUM(H100:H114)</f>
        <v>110231</v>
      </c>
      <c r="I115" s="226">
        <f t="shared" si="7"/>
        <v>61.562304530426239</v>
      </c>
      <c r="K115" s="52"/>
      <c r="L115" s="45"/>
    </row>
    <row r="116" spans="1:16" ht="19.5" customHeight="1" x14ac:dyDescent="0.3">
      <c r="A116" s="1410" t="s">
        <v>105</v>
      </c>
      <c r="B116" s="1469"/>
      <c r="C116" s="1469"/>
      <c r="D116" s="1469"/>
      <c r="E116" s="1470"/>
      <c r="F116" s="256"/>
      <c r="G116" s="256"/>
      <c r="H116" s="256"/>
      <c r="I116" s="257"/>
      <c r="K116" s="52"/>
      <c r="L116" s="45"/>
    </row>
    <row r="117" spans="1:16" s="4" customFormat="1" ht="19.5" customHeight="1" x14ac:dyDescent="0.3">
      <c r="A117" s="1471"/>
      <c r="B117" s="1106" t="s">
        <v>75</v>
      </c>
      <c r="C117" s="1460"/>
      <c r="D117" s="1460"/>
      <c r="E117" s="1396"/>
      <c r="F117" s="252">
        <v>23920</v>
      </c>
      <c r="G117" s="252">
        <v>32691</v>
      </c>
      <c r="H117" s="252">
        <v>32677</v>
      </c>
      <c r="I117" s="209">
        <f t="shared" si="7"/>
        <v>99.957174757578542</v>
      </c>
      <c r="J117" s="2"/>
      <c r="K117" s="52"/>
      <c r="L117" s="45"/>
      <c r="M117" s="35"/>
      <c r="N117" s="35"/>
      <c r="O117" s="43"/>
    </row>
    <row r="118" spans="1:16" s="4" customFormat="1" ht="19.5" customHeight="1" x14ac:dyDescent="0.3">
      <c r="A118" s="1471"/>
      <c r="B118" s="1107" t="s">
        <v>311</v>
      </c>
      <c r="C118" s="1107"/>
      <c r="D118" s="1472"/>
      <c r="E118" s="1375"/>
      <c r="F118" s="252">
        <v>545990</v>
      </c>
      <c r="G118" s="252">
        <v>572055</v>
      </c>
      <c r="H118" s="252">
        <v>572055</v>
      </c>
      <c r="I118" s="209">
        <f t="shared" si="7"/>
        <v>100</v>
      </c>
      <c r="J118" s="2"/>
      <c r="K118" s="52"/>
      <c r="L118" s="45"/>
      <c r="M118" s="35"/>
      <c r="N118" s="35"/>
      <c r="O118" s="43"/>
    </row>
    <row r="119" spans="1:16" s="4" customFormat="1" ht="19.5" customHeight="1" x14ac:dyDescent="0.3">
      <c r="A119" s="1471"/>
      <c r="B119" s="1107" t="s">
        <v>214</v>
      </c>
      <c r="C119" s="1473"/>
      <c r="D119" s="1472"/>
      <c r="E119" s="1375"/>
      <c r="F119" s="252">
        <v>28471</v>
      </c>
      <c r="G119" s="252">
        <v>198812</v>
      </c>
      <c r="H119" s="252">
        <v>198812</v>
      </c>
      <c r="I119" s="209">
        <f t="shared" si="7"/>
        <v>100</v>
      </c>
      <c r="J119" s="2"/>
      <c r="K119" s="52"/>
      <c r="L119" s="45"/>
      <c r="M119" s="35"/>
      <c r="N119" s="35"/>
      <c r="O119" s="43"/>
    </row>
    <row r="120" spans="1:16" s="4" customFormat="1" ht="19.5" customHeight="1" x14ac:dyDescent="0.3">
      <c r="A120" s="1471"/>
      <c r="B120" s="1107" t="s">
        <v>215</v>
      </c>
      <c r="C120" s="1434"/>
      <c r="D120" s="1472"/>
      <c r="E120" s="1375"/>
      <c r="F120" s="252">
        <v>94166</v>
      </c>
      <c r="G120" s="252">
        <v>234585</v>
      </c>
      <c r="H120" s="252">
        <v>234584</v>
      </c>
      <c r="I120" s="209">
        <f t="shared" si="7"/>
        <v>99.999573715284441</v>
      </c>
      <c r="J120" s="2"/>
      <c r="K120" s="52"/>
      <c r="L120" s="45"/>
      <c r="M120" s="35"/>
      <c r="N120" s="35"/>
      <c r="O120" s="43"/>
    </row>
    <row r="121" spans="1:16" s="4" customFormat="1" ht="19.5" customHeight="1" x14ac:dyDescent="0.3">
      <c r="A121" s="1471"/>
      <c r="B121" s="1107" t="s">
        <v>241</v>
      </c>
      <c r="C121" s="1473"/>
      <c r="D121" s="1472"/>
      <c r="E121" s="1375"/>
      <c r="F121" s="252">
        <v>26100</v>
      </c>
      <c r="G121" s="252">
        <v>56154</v>
      </c>
      <c r="H121" s="252">
        <v>56154</v>
      </c>
      <c r="I121" s="209">
        <f t="shared" ref="I121:I128" si="8">+H121/G121*100</f>
        <v>100</v>
      </c>
      <c r="J121" s="2"/>
      <c r="K121" s="52"/>
      <c r="L121" s="45"/>
      <c r="M121" s="35"/>
      <c r="N121" s="35"/>
      <c r="O121" s="43"/>
    </row>
    <row r="122" spans="1:16" s="4" customFormat="1" ht="19.5" customHeight="1" x14ac:dyDescent="0.3">
      <c r="A122" s="1471"/>
      <c r="B122" s="1107" t="s">
        <v>240</v>
      </c>
      <c r="C122" s="976"/>
      <c r="D122" s="1472"/>
      <c r="E122" s="1375"/>
      <c r="F122" s="252">
        <v>189833</v>
      </c>
      <c r="G122" s="252">
        <v>232260</v>
      </c>
      <c r="H122" s="252">
        <v>175415</v>
      </c>
      <c r="I122" s="209">
        <f t="shared" si="8"/>
        <v>75.525273400499444</v>
      </c>
      <c r="J122" s="2"/>
      <c r="K122" s="52"/>
      <c r="L122" s="45"/>
      <c r="M122" s="35"/>
      <c r="N122" s="35"/>
      <c r="O122" s="43"/>
    </row>
    <row r="123" spans="1:16" s="4" customFormat="1" ht="19.5" customHeight="1" x14ac:dyDescent="0.3">
      <c r="A123" s="1471"/>
      <c r="B123" s="1885" t="s">
        <v>42</v>
      </c>
      <c r="C123" s="1889"/>
      <c r="D123" s="1889"/>
      <c r="E123" s="1890"/>
      <c r="F123" s="252">
        <v>112207</v>
      </c>
      <c r="G123" s="252">
        <v>203522</v>
      </c>
      <c r="H123" s="252">
        <v>203522</v>
      </c>
      <c r="I123" s="209">
        <f t="shared" si="8"/>
        <v>100</v>
      </c>
      <c r="J123" s="2"/>
      <c r="K123" s="52"/>
      <c r="L123" s="45"/>
      <c r="M123" s="35"/>
      <c r="N123" s="35"/>
      <c r="O123" s="43"/>
    </row>
    <row r="124" spans="1:16" s="4" customFormat="1" ht="19.5" customHeight="1" x14ac:dyDescent="0.3">
      <c r="A124" s="1471"/>
      <c r="B124" s="1107" t="s">
        <v>255</v>
      </c>
      <c r="C124" s="1472"/>
      <c r="D124" s="1472"/>
      <c r="E124" s="1375"/>
      <c r="F124" s="252">
        <v>702568</v>
      </c>
      <c r="G124" s="252">
        <v>670789</v>
      </c>
      <c r="H124" s="252">
        <v>669859</v>
      </c>
      <c r="I124" s="209">
        <f t="shared" si="8"/>
        <v>99.861357297153049</v>
      </c>
      <c r="J124" s="2"/>
      <c r="K124" s="52"/>
      <c r="L124" s="45"/>
      <c r="M124" s="35"/>
      <c r="N124" s="35"/>
      <c r="O124" s="43"/>
    </row>
    <row r="125" spans="1:16" s="4" customFormat="1" ht="19.5" customHeight="1" x14ac:dyDescent="0.3">
      <c r="A125" s="1471"/>
      <c r="B125" s="1107" t="s">
        <v>61</v>
      </c>
      <c r="C125" s="1472"/>
      <c r="D125" s="1472"/>
      <c r="E125" s="1375"/>
      <c r="F125" s="252">
        <v>71465</v>
      </c>
      <c r="G125" s="252">
        <v>110791</v>
      </c>
      <c r="H125" s="252">
        <v>110856</v>
      </c>
      <c r="I125" s="209">
        <f t="shared" si="8"/>
        <v>100.05866902546236</v>
      </c>
      <c r="J125" s="2"/>
      <c r="K125" s="52"/>
      <c r="L125" s="45"/>
      <c r="M125" s="35"/>
      <c r="N125" s="35"/>
      <c r="O125" s="43"/>
    </row>
    <row r="126" spans="1:16" s="4" customFormat="1" ht="19.5" customHeight="1" x14ac:dyDescent="0.3">
      <c r="A126" s="1471"/>
      <c r="B126" s="1107" t="s">
        <v>62</v>
      </c>
      <c r="C126" s="1472"/>
      <c r="D126" s="1472"/>
      <c r="E126" s="1375"/>
      <c r="F126" s="252">
        <v>233971</v>
      </c>
      <c r="G126" s="252">
        <v>227877</v>
      </c>
      <c r="H126" s="252">
        <v>224265</v>
      </c>
      <c r="I126" s="209">
        <f t="shared" si="8"/>
        <v>98.414934372490421</v>
      </c>
      <c r="J126" s="2"/>
      <c r="K126" s="52"/>
      <c r="L126" s="45"/>
      <c r="M126" s="35"/>
      <c r="N126" s="35"/>
      <c r="O126" s="43"/>
    </row>
    <row r="127" spans="1:16" s="4" customFormat="1" ht="19.5" customHeight="1" x14ac:dyDescent="0.3">
      <c r="A127" s="1471"/>
      <c r="B127" s="1106" t="s">
        <v>41</v>
      </c>
      <c r="C127" s="1460"/>
      <c r="D127" s="1460"/>
      <c r="E127" s="1396"/>
      <c r="F127" s="258">
        <v>16000</v>
      </c>
      <c r="G127" s="258">
        <v>34421</v>
      </c>
      <c r="H127" s="258">
        <v>34123</v>
      </c>
      <c r="I127" s="209">
        <f t="shared" si="8"/>
        <v>99.134249440748377</v>
      </c>
      <c r="J127" s="2"/>
      <c r="K127" s="52"/>
      <c r="L127" s="45"/>
      <c r="M127" s="43"/>
      <c r="N127" s="43"/>
      <c r="O127" s="43"/>
    </row>
    <row r="128" spans="1:16" ht="19.5" customHeight="1" thickBot="1" x14ac:dyDescent="0.35">
      <c r="A128" s="971" t="s">
        <v>263</v>
      </c>
      <c r="B128" s="1474"/>
      <c r="C128" s="1440"/>
      <c r="D128" s="1440"/>
      <c r="E128" s="1440"/>
      <c r="F128" s="255">
        <f>SUM(F117:F127)</f>
        <v>2044691</v>
      </c>
      <c r="G128" s="255">
        <f>SUM(G117:G127)</f>
        <v>2573957</v>
      </c>
      <c r="H128" s="255">
        <f>SUM(H117:H127)</f>
        <v>2512322</v>
      </c>
      <c r="I128" s="226">
        <f t="shared" si="8"/>
        <v>97.605437853079906</v>
      </c>
      <c r="K128" s="52"/>
      <c r="L128" s="45"/>
      <c r="M128" s="43"/>
      <c r="N128" s="43"/>
    </row>
    <row r="129" spans="1:14" ht="26.45" customHeight="1" thickBot="1" x14ac:dyDescent="0.35">
      <c r="A129" s="971" t="s">
        <v>436</v>
      </c>
      <c r="B129" s="1474"/>
      <c r="C129" s="1440"/>
      <c r="D129" s="1440"/>
      <c r="E129" s="1440"/>
      <c r="F129" s="255">
        <f>+F51+F115+F97+F65+F128</f>
        <v>25051310</v>
      </c>
      <c r="G129" s="255">
        <f>+G51+G115+G97+G65+G128</f>
        <v>29433738</v>
      </c>
      <c r="H129" s="255">
        <f>+H51+H115+H97+H65+H128</f>
        <v>28814176</v>
      </c>
      <c r="I129" s="226">
        <f>+H129/G129*100</f>
        <v>97.895061782502793</v>
      </c>
      <c r="K129" s="52"/>
      <c r="L129" s="45"/>
      <c r="M129" s="43"/>
      <c r="N129" s="43"/>
    </row>
    <row r="130" spans="1:14" ht="21" customHeight="1" x14ac:dyDescent="0.3">
      <c r="L130" s="25"/>
      <c r="M130" s="43"/>
      <c r="N130" s="43"/>
    </row>
    <row r="131" spans="1:14" ht="21" customHeight="1" x14ac:dyDescent="0.3">
      <c r="H131" s="21"/>
      <c r="L131" s="25"/>
      <c r="M131" s="43"/>
      <c r="N131" s="43"/>
    </row>
    <row r="132" spans="1:14" ht="21" customHeight="1" x14ac:dyDescent="0.3">
      <c r="H132" s="21"/>
      <c r="L132" s="25"/>
      <c r="M132" s="43"/>
      <c r="N132" s="43"/>
    </row>
    <row r="133" spans="1:14" ht="21" customHeight="1" x14ac:dyDescent="0.3">
      <c r="H133" s="21"/>
      <c r="L133" s="25"/>
      <c r="M133" s="43"/>
      <c r="N133" s="43"/>
    </row>
    <row r="134" spans="1:14" ht="21" customHeight="1" x14ac:dyDescent="0.3">
      <c r="H134" s="21"/>
      <c r="L134" s="25"/>
      <c r="M134" s="43"/>
      <c r="N134" s="43"/>
    </row>
    <row r="135" spans="1:14" ht="21" customHeight="1" x14ac:dyDescent="0.3">
      <c r="H135" s="21"/>
      <c r="L135" s="25"/>
      <c r="M135" s="43"/>
      <c r="N135" s="43"/>
    </row>
    <row r="136" spans="1:14" ht="21" customHeight="1" x14ac:dyDescent="0.3">
      <c r="H136" s="21"/>
      <c r="L136" s="44"/>
      <c r="M136" s="42"/>
      <c r="N136" s="42"/>
    </row>
    <row r="137" spans="1:14" ht="21" customHeight="1" x14ac:dyDescent="0.3">
      <c r="H137" s="21"/>
      <c r="L137" s="25"/>
      <c r="M137" s="43"/>
      <c r="N137" s="43"/>
    </row>
    <row r="138" spans="1:14" ht="21" customHeight="1" x14ac:dyDescent="0.3">
      <c r="H138" s="21"/>
      <c r="L138" s="25"/>
      <c r="M138" s="43"/>
      <c r="N138" s="43"/>
    </row>
    <row r="141" spans="1:14" ht="21" customHeight="1" x14ac:dyDescent="0.3">
      <c r="H141" s="21"/>
    </row>
    <row r="142" spans="1:14" ht="21" customHeight="1" x14ac:dyDescent="0.3">
      <c r="H142" s="21"/>
    </row>
    <row r="143" spans="1:14" ht="21" customHeight="1" x14ac:dyDescent="0.3">
      <c r="H143" s="21"/>
    </row>
    <row r="144" spans="1:14" ht="21" customHeight="1" x14ac:dyDescent="0.3">
      <c r="H144" s="21"/>
    </row>
    <row r="145" spans="8:8" ht="21" customHeight="1" x14ac:dyDescent="0.3">
      <c r="H145" s="21"/>
    </row>
  </sheetData>
  <mergeCells count="17">
    <mergeCell ref="B123:E123"/>
    <mergeCell ref="C94:E94"/>
    <mergeCell ref="C100:E100"/>
    <mergeCell ref="B99:E99"/>
    <mergeCell ref="C71:E71"/>
    <mergeCell ref="B50:E50"/>
    <mergeCell ref="A1:E1"/>
    <mergeCell ref="B10:E10"/>
    <mergeCell ref="F5:G5"/>
    <mergeCell ref="A2:I2"/>
    <mergeCell ref="C23:E23"/>
    <mergeCell ref="C24:E24"/>
    <mergeCell ref="C29:E29"/>
    <mergeCell ref="C45:E45"/>
    <mergeCell ref="C25:E25"/>
    <mergeCell ref="C46:E46"/>
    <mergeCell ref="C26:E26"/>
  </mergeCells>
  <phoneticPr fontId="0" type="noConversion"/>
  <printOptions horizontalCentered="1" verticalCentered="1"/>
  <pageMargins left="0.39370078740157483" right="0" top="0" bottom="0" header="0.51181102362204722" footer="0"/>
  <pageSetup paperSize="9" scale="55" orientation="portrait" r:id="rId1"/>
  <headerFooter alignWithMargins="0">
    <oddHeader xml:space="preserve">&amp;R&amp;"Calibri,Félkövér"&amp;12 3. melléklet a 10/2024. (V.31.) önkormányzati rendelethez </oddHeader>
  </headerFooter>
  <rowBreaks count="1" manualBreakCount="1">
    <brk id="65" max="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8CF3-A109-4E33-B5A9-4D0BDB2F2E4F}">
  <dimension ref="B2:F24"/>
  <sheetViews>
    <sheetView view="pageLayout" zoomScaleNormal="100" workbookViewId="0">
      <selection activeCell="H12" sqref="H12"/>
    </sheetView>
  </sheetViews>
  <sheetFormatPr defaultRowHeight="15" x14ac:dyDescent="0.2"/>
  <cols>
    <col min="1" max="1" width="9.33203125" style="726"/>
    <col min="2" max="2" width="25.1640625" style="726" customWidth="1"/>
    <col min="3" max="5" width="26.83203125" style="726" customWidth="1"/>
    <col min="6" max="6" width="25.33203125" style="726" customWidth="1"/>
    <col min="7" max="7" width="9.33203125" style="726"/>
    <col min="8" max="8" width="11.5" style="726" bestFit="1" customWidth="1"/>
    <col min="9" max="253" width="9.33203125" style="726"/>
    <col min="254" max="254" width="14.83203125" style="726" customWidth="1"/>
    <col min="255" max="255" width="20.33203125" style="726" customWidth="1"/>
    <col min="256" max="256" width="18.6640625" style="726" bestFit="1" customWidth="1"/>
    <col min="257" max="257" width="16.33203125" style="726" customWidth="1"/>
    <col min="258" max="258" width="22.6640625" style="726" bestFit="1" customWidth="1"/>
    <col min="259" max="260" width="18" style="726" bestFit="1" customWidth="1"/>
    <col min="261" max="261" width="12.6640625" style="726" customWidth="1"/>
    <col min="262" max="262" width="18.1640625" style="726" bestFit="1" customWidth="1"/>
    <col min="263" max="263" width="9.33203125" style="726"/>
    <col min="264" max="264" width="11.5" style="726" bestFit="1" customWidth="1"/>
    <col min="265" max="509" width="9.33203125" style="726"/>
    <col min="510" max="510" width="14.83203125" style="726" customWidth="1"/>
    <col min="511" max="511" width="20.33203125" style="726" customWidth="1"/>
    <col min="512" max="512" width="18.6640625" style="726" bestFit="1" customWidth="1"/>
    <col min="513" max="513" width="16.33203125" style="726" customWidth="1"/>
    <col min="514" max="514" width="22.6640625" style="726" bestFit="1" customWidth="1"/>
    <col min="515" max="516" width="18" style="726" bestFit="1" customWidth="1"/>
    <col min="517" max="517" width="12.6640625" style="726" customWidth="1"/>
    <col min="518" max="518" width="18.1640625" style="726" bestFit="1" customWidth="1"/>
    <col min="519" max="519" width="9.33203125" style="726"/>
    <col min="520" max="520" width="11.5" style="726" bestFit="1" customWidth="1"/>
    <col min="521" max="765" width="9.33203125" style="726"/>
    <col min="766" max="766" width="14.83203125" style="726" customWidth="1"/>
    <col min="767" max="767" width="20.33203125" style="726" customWidth="1"/>
    <col min="768" max="768" width="18.6640625" style="726" bestFit="1" customWidth="1"/>
    <col min="769" max="769" width="16.33203125" style="726" customWidth="1"/>
    <col min="770" max="770" width="22.6640625" style="726" bestFit="1" customWidth="1"/>
    <col min="771" max="772" width="18" style="726" bestFit="1" customWidth="1"/>
    <col min="773" max="773" width="12.6640625" style="726" customWidth="1"/>
    <col min="774" max="774" width="18.1640625" style="726" bestFit="1" customWidth="1"/>
    <col min="775" max="775" width="9.33203125" style="726"/>
    <col min="776" max="776" width="11.5" style="726" bestFit="1" customWidth="1"/>
    <col min="777" max="1021" width="9.33203125" style="726"/>
    <col min="1022" max="1022" width="14.83203125" style="726" customWidth="1"/>
    <col min="1023" max="1023" width="20.33203125" style="726" customWidth="1"/>
    <col min="1024" max="1024" width="18.6640625" style="726" bestFit="1" customWidth="1"/>
    <col min="1025" max="1025" width="16.33203125" style="726" customWidth="1"/>
    <col min="1026" max="1026" width="22.6640625" style="726" bestFit="1" customWidth="1"/>
    <col min="1027" max="1028" width="18" style="726" bestFit="1" customWidth="1"/>
    <col min="1029" max="1029" width="12.6640625" style="726" customWidth="1"/>
    <col min="1030" max="1030" width="18.1640625" style="726" bestFit="1" customWidth="1"/>
    <col min="1031" max="1031" width="9.33203125" style="726"/>
    <col min="1032" max="1032" width="11.5" style="726" bestFit="1" customWidth="1"/>
    <col min="1033" max="1277" width="9.33203125" style="726"/>
    <col min="1278" max="1278" width="14.83203125" style="726" customWidth="1"/>
    <col min="1279" max="1279" width="20.33203125" style="726" customWidth="1"/>
    <col min="1280" max="1280" width="18.6640625" style="726" bestFit="1" customWidth="1"/>
    <col min="1281" max="1281" width="16.33203125" style="726" customWidth="1"/>
    <col min="1282" max="1282" width="22.6640625" style="726" bestFit="1" customWidth="1"/>
    <col min="1283" max="1284" width="18" style="726" bestFit="1" customWidth="1"/>
    <col min="1285" max="1285" width="12.6640625" style="726" customWidth="1"/>
    <col min="1286" max="1286" width="18.1640625" style="726" bestFit="1" customWidth="1"/>
    <col min="1287" max="1287" width="9.33203125" style="726"/>
    <col min="1288" max="1288" width="11.5" style="726" bestFit="1" customWidth="1"/>
    <col min="1289" max="1533" width="9.33203125" style="726"/>
    <col min="1534" max="1534" width="14.83203125" style="726" customWidth="1"/>
    <col min="1535" max="1535" width="20.33203125" style="726" customWidth="1"/>
    <col min="1536" max="1536" width="18.6640625" style="726" bestFit="1" customWidth="1"/>
    <col min="1537" max="1537" width="16.33203125" style="726" customWidth="1"/>
    <col min="1538" max="1538" width="22.6640625" style="726" bestFit="1" customWidth="1"/>
    <col min="1539" max="1540" width="18" style="726" bestFit="1" customWidth="1"/>
    <col min="1541" max="1541" width="12.6640625" style="726" customWidth="1"/>
    <col min="1542" max="1542" width="18.1640625" style="726" bestFit="1" customWidth="1"/>
    <col min="1543" max="1543" width="9.33203125" style="726"/>
    <col min="1544" max="1544" width="11.5" style="726" bestFit="1" customWidth="1"/>
    <col min="1545" max="1789" width="9.33203125" style="726"/>
    <col min="1790" max="1790" width="14.83203125" style="726" customWidth="1"/>
    <col min="1791" max="1791" width="20.33203125" style="726" customWidth="1"/>
    <col min="1792" max="1792" width="18.6640625" style="726" bestFit="1" customWidth="1"/>
    <col min="1793" max="1793" width="16.33203125" style="726" customWidth="1"/>
    <col min="1794" max="1794" width="22.6640625" style="726" bestFit="1" customWidth="1"/>
    <col min="1795" max="1796" width="18" style="726" bestFit="1" customWidth="1"/>
    <col min="1797" max="1797" width="12.6640625" style="726" customWidth="1"/>
    <col min="1798" max="1798" width="18.1640625" style="726" bestFit="1" customWidth="1"/>
    <col min="1799" max="1799" width="9.33203125" style="726"/>
    <col min="1800" max="1800" width="11.5" style="726" bestFit="1" customWidth="1"/>
    <col min="1801" max="2045" width="9.33203125" style="726"/>
    <col min="2046" max="2046" width="14.83203125" style="726" customWidth="1"/>
    <col min="2047" max="2047" width="20.33203125" style="726" customWidth="1"/>
    <col min="2048" max="2048" width="18.6640625" style="726" bestFit="1" customWidth="1"/>
    <col min="2049" max="2049" width="16.33203125" style="726" customWidth="1"/>
    <col min="2050" max="2050" width="22.6640625" style="726" bestFit="1" customWidth="1"/>
    <col min="2051" max="2052" width="18" style="726" bestFit="1" customWidth="1"/>
    <col min="2053" max="2053" width="12.6640625" style="726" customWidth="1"/>
    <col min="2054" max="2054" width="18.1640625" style="726" bestFit="1" customWidth="1"/>
    <col min="2055" max="2055" width="9.33203125" style="726"/>
    <col min="2056" max="2056" width="11.5" style="726" bestFit="1" customWidth="1"/>
    <col min="2057" max="2301" width="9.33203125" style="726"/>
    <col min="2302" max="2302" width="14.83203125" style="726" customWidth="1"/>
    <col min="2303" max="2303" width="20.33203125" style="726" customWidth="1"/>
    <col min="2304" max="2304" width="18.6640625" style="726" bestFit="1" customWidth="1"/>
    <col min="2305" max="2305" width="16.33203125" style="726" customWidth="1"/>
    <col min="2306" max="2306" width="22.6640625" style="726" bestFit="1" customWidth="1"/>
    <col min="2307" max="2308" width="18" style="726" bestFit="1" customWidth="1"/>
    <col min="2309" max="2309" width="12.6640625" style="726" customWidth="1"/>
    <col min="2310" max="2310" width="18.1640625" style="726" bestFit="1" customWidth="1"/>
    <col min="2311" max="2311" width="9.33203125" style="726"/>
    <col min="2312" max="2312" width="11.5" style="726" bestFit="1" customWidth="1"/>
    <col min="2313" max="2557" width="9.33203125" style="726"/>
    <col min="2558" max="2558" width="14.83203125" style="726" customWidth="1"/>
    <col min="2559" max="2559" width="20.33203125" style="726" customWidth="1"/>
    <col min="2560" max="2560" width="18.6640625" style="726" bestFit="1" customWidth="1"/>
    <col min="2561" max="2561" width="16.33203125" style="726" customWidth="1"/>
    <col min="2562" max="2562" width="22.6640625" style="726" bestFit="1" customWidth="1"/>
    <col min="2563" max="2564" width="18" style="726" bestFit="1" customWidth="1"/>
    <col min="2565" max="2565" width="12.6640625" style="726" customWidth="1"/>
    <col min="2566" max="2566" width="18.1640625" style="726" bestFit="1" customWidth="1"/>
    <col min="2567" max="2567" width="9.33203125" style="726"/>
    <col min="2568" max="2568" width="11.5" style="726" bestFit="1" customWidth="1"/>
    <col min="2569" max="2813" width="9.33203125" style="726"/>
    <col min="2814" max="2814" width="14.83203125" style="726" customWidth="1"/>
    <col min="2815" max="2815" width="20.33203125" style="726" customWidth="1"/>
    <col min="2816" max="2816" width="18.6640625" style="726" bestFit="1" customWidth="1"/>
    <col min="2817" max="2817" width="16.33203125" style="726" customWidth="1"/>
    <col min="2818" max="2818" width="22.6640625" style="726" bestFit="1" customWidth="1"/>
    <col min="2819" max="2820" width="18" style="726" bestFit="1" customWidth="1"/>
    <col min="2821" max="2821" width="12.6640625" style="726" customWidth="1"/>
    <col min="2822" max="2822" width="18.1640625" style="726" bestFit="1" customWidth="1"/>
    <col min="2823" max="2823" width="9.33203125" style="726"/>
    <col min="2824" max="2824" width="11.5" style="726" bestFit="1" customWidth="1"/>
    <col min="2825" max="3069" width="9.33203125" style="726"/>
    <col min="3070" max="3070" width="14.83203125" style="726" customWidth="1"/>
    <col min="3071" max="3071" width="20.33203125" style="726" customWidth="1"/>
    <col min="3072" max="3072" width="18.6640625" style="726" bestFit="1" customWidth="1"/>
    <col min="3073" max="3073" width="16.33203125" style="726" customWidth="1"/>
    <col min="3074" max="3074" width="22.6640625" style="726" bestFit="1" customWidth="1"/>
    <col min="3075" max="3076" width="18" style="726" bestFit="1" customWidth="1"/>
    <col min="3077" max="3077" width="12.6640625" style="726" customWidth="1"/>
    <col min="3078" max="3078" width="18.1640625" style="726" bestFit="1" customWidth="1"/>
    <col min="3079" max="3079" width="9.33203125" style="726"/>
    <col min="3080" max="3080" width="11.5" style="726" bestFit="1" customWidth="1"/>
    <col min="3081" max="3325" width="9.33203125" style="726"/>
    <col min="3326" max="3326" width="14.83203125" style="726" customWidth="1"/>
    <col min="3327" max="3327" width="20.33203125" style="726" customWidth="1"/>
    <col min="3328" max="3328" width="18.6640625" style="726" bestFit="1" customWidth="1"/>
    <col min="3329" max="3329" width="16.33203125" style="726" customWidth="1"/>
    <col min="3330" max="3330" width="22.6640625" style="726" bestFit="1" customWidth="1"/>
    <col min="3331" max="3332" width="18" style="726" bestFit="1" customWidth="1"/>
    <col min="3333" max="3333" width="12.6640625" style="726" customWidth="1"/>
    <col min="3334" max="3334" width="18.1640625" style="726" bestFit="1" customWidth="1"/>
    <col min="3335" max="3335" width="9.33203125" style="726"/>
    <col min="3336" max="3336" width="11.5" style="726" bestFit="1" customWidth="1"/>
    <col min="3337" max="3581" width="9.33203125" style="726"/>
    <col min="3582" max="3582" width="14.83203125" style="726" customWidth="1"/>
    <col min="3583" max="3583" width="20.33203125" style="726" customWidth="1"/>
    <col min="3584" max="3584" width="18.6640625" style="726" bestFit="1" customWidth="1"/>
    <col min="3585" max="3585" width="16.33203125" style="726" customWidth="1"/>
    <col min="3586" max="3586" width="22.6640625" style="726" bestFit="1" customWidth="1"/>
    <col min="3587" max="3588" width="18" style="726" bestFit="1" customWidth="1"/>
    <col min="3589" max="3589" width="12.6640625" style="726" customWidth="1"/>
    <col min="3590" max="3590" width="18.1640625" style="726" bestFit="1" customWidth="1"/>
    <col min="3591" max="3591" width="9.33203125" style="726"/>
    <col min="3592" max="3592" width="11.5" style="726" bestFit="1" customWidth="1"/>
    <col min="3593" max="3837" width="9.33203125" style="726"/>
    <col min="3838" max="3838" width="14.83203125" style="726" customWidth="1"/>
    <col min="3839" max="3839" width="20.33203125" style="726" customWidth="1"/>
    <col min="3840" max="3840" width="18.6640625" style="726" bestFit="1" customWidth="1"/>
    <col min="3841" max="3841" width="16.33203125" style="726" customWidth="1"/>
    <col min="3842" max="3842" width="22.6640625" style="726" bestFit="1" customWidth="1"/>
    <col min="3843" max="3844" width="18" style="726" bestFit="1" customWidth="1"/>
    <col min="3845" max="3845" width="12.6640625" style="726" customWidth="1"/>
    <col min="3846" max="3846" width="18.1640625" style="726" bestFit="1" customWidth="1"/>
    <col min="3847" max="3847" width="9.33203125" style="726"/>
    <col min="3848" max="3848" width="11.5" style="726" bestFit="1" customWidth="1"/>
    <col min="3849" max="4093" width="9.33203125" style="726"/>
    <col min="4094" max="4094" width="14.83203125" style="726" customWidth="1"/>
    <col min="4095" max="4095" width="20.33203125" style="726" customWidth="1"/>
    <col min="4096" max="4096" width="18.6640625" style="726" bestFit="1" customWidth="1"/>
    <col min="4097" max="4097" width="16.33203125" style="726" customWidth="1"/>
    <col min="4098" max="4098" width="22.6640625" style="726" bestFit="1" customWidth="1"/>
    <col min="4099" max="4100" width="18" style="726" bestFit="1" customWidth="1"/>
    <col min="4101" max="4101" width="12.6640625" style="726" customWidth="1"/>
    <col min="4102" max="4102" width="18.1640625" style="726" bestFit="1" customWidth="1"/>
    <col min="4103" max="4103" width="9.33203125" style="726"/>
    <col min="4104" max="4104" width="11.5" style="726" bestFit="1" customWidth="1"/>
    <col min="4105" max="4349" width="9.33203125" style="726"/>
    <col min="4350" max="4350" width="14.83203125" style="726" customWidth="1"/>
    <col min="4351" max="4351" width="20.33203125" style="726" customWidth="1"/>
    <col min="4352" max="4352" width="18.6640625" style="726" bestFit="1" customWidth="1"/>
    <col min="4353" max="4353" width="16.33203125" style="726" customWidth="1"/>
    <col min="4354" max="4354" width="22.6640625" style="726" bestFit="1" customWidth="1"/>
    <col min="4355" max="4356" width="18" style="726" bestFit="1" customWidth="1"/>
    <col min="4357" max="4357" width="12.6640625" style="726" customWidth="1"/>
    <col min="4358" max="4358" width="18.1640625" style="726" bestFit="1" customWidth="1"/>
    <col min="4359" max="4359" width="9.33203125" style="726"/>
    <col min="4360" max="4360" width="11.5" style="726" bestFit="1" customWidth="1"/>
    <col min="4361" max="4605" width="9.33203125" style="726"/>
    <col min="4606" max="4606" width="14.83203125" style="726" customWidth="1"/>
    <col min="4607" max="4607" width="20.33203125" style="726" customWidth="1"/>
    <col min="4608" max="4608" width="18.6640625" style="726" bestFit="1" customWidth="1"/>
    <col min="4609" max="4609" width="16.33203125" style="726" customWidth="1"/>
    <col min="4610" max="4610" width="22.6640625" style="726" bestFit="1" customWidth="1"/>
    <col min="4611" max="4612" width="18" style="726" bestFit="1" customWidth="1"/>
    <col min="4613" max="4613" width="12.6640625" style="726" customWidth="1"/>
    <col min="4614" max="4614" width="18.1640625" style="726" bestFit="1" customWidth="1"/>
    <col min="4615" max="4615" width="9.33203125" style="726"/>
    <col min="4616" max="4616" width="11.5" style="726" bestFit="1" customWidth="1"/>
    <col min="4617" max="4861" width="9.33203125" style="726"/>
    <col min="4862" max="4862" width="14.83203125" style="726" customWidth="1"/>
    <col min="4863" max="4863" width="20.33203125" style="726" customWidth="1"/>
    <col min="4864" max="4864" width="18.6640625" style="726" bestFit="1" customWidth="1"/>
    <col min="4865" max="4865" width="16.33203125" style="726" customWidth="1"/>
    <col min="4866" max="4866" width="22.6640625" style="726" bestFit="1" customWidth="1"/>
    <col min="4867" max="4868" width="18" style="726" bestFit="1" customWidth="1"/>
    <col min="4869" max="4869" width="12.6640625" style="726" customWidth="1"/>
    <col min="4870" max="4870" width="18.1640625" style="726" bestFit="1" customWidth="1"/>
    <col min="4871" max="4871" width="9.33203125" style="726"/>
    <col min="4872" max="4872" width="11.5" style="726" bestFit="1" customWidth="1"/>
    <col min="4873" max="5117" width="9.33203125" style="726"/>
    <col min="5118" max="5118" width="14.83203125" style="726" customWidth="1"/>
    <col min="5119" max="5119" width="20.33203125" style="726" customWidth="1"/>
    <col min="5120" max="5120" width="18.6640625" style="726" bestFit="1" customWidth="1"/>
    <col min="5121" max="5121" width="16.33203125" style="726" customWidth="1"/>
    <col min="5122" max="5122" width="22.6640625" style="726" bestFit="1" customWidth="1"/>
    <col min="5123" max="5124" width="18" style="726" bestFit="1" customWidth="1"/>
    <col min="5125" max="5125" width="12.6640625" style="726" customWidth="1"/>
    <col min="5126" max="5126" width="18.1640625" style="726" bestFit="1" customWidth="1"/>
    <col min="5127" max="5127" width="9.33203125" style="726"/>
    <col min="5128" max="5128" width="11.5" style="726" bestFit="1" customWidth="1"/>
    <col min="5129" max="5373" width="9.33203125" style="726"/>
    <col min="5374" max="5374" width="14.83203125" style="726" customWidth="1"/>
    <col min="5375" max="5375" width="20.33203125" style="726" customWidth="1"/>
    <col min="5376" max="5376" width="18.6640625" style="726" bestFit="1" customWidth="1"/>
    <col min="5377" max="5377" width="16.33203125" style="726" customWidth="1"/>
    <col min="5378" max="5378" width="22.6640625" style="726" bestFit="1" customWidth="1"/>
    <col min="5379" max="5380" width="18" style="726" bestFit="1" customWidth="1"/>
    <col min="5381" max="5381" width="12.6640625" style="726" customWidth="1"/>
    <col min="5382" max="5382" width="18.1640625" style="726" bestFit="1" customWidth="1"/>
    <col min="5383" max="5383" width="9.33203125" style="726"/>
    <col min="5384" max="5384" width="11.5" style="726" bestFit="1" customWidth="1"/>
    <col min="5385" max="5629" width="9.33203125" style="726"/>
    <col min="5630" max="5630" width="14.83203125" style="726" customWidth="1"/>
    <col min="5631" max="5631" width="20.33203125" style="726" customWidth="1"/>
    <col min="5632" max="5632" width="18.6640625" style="726" bestFit="1" customWidth="1"/>
    <col min="5633" max="5633" width="16.33203125" style="726" customWidth="1"/>
    <col min="5634" max="5634" width="22.6640625" style="726" bestFit="1" customWidth="1"/>
    <col min="5635" max="5636" width="18" style="726" bestFit="1" customWidth="1"/>
    <col min="5637" max="5637" width="12.6640625" style="726" customWidth="1"/>
    <col min="5638" max="5638" width="18.1640625" style="726" bestFit="1" customWidth="1"/>
    <col min="5639" max="5639" width="9.33203125" style="726"/>
    <col min="5640" max="5640" width="11.5" style="726" bestFit="1" customWidth="1"/>
    <col min="5641" max="5885" width="9.33203125" style="726"/>
    <col min="5886" max="5886" width="14.83203125" style="726" customWidth="1"/>
    <col min="5887" max="5887" width="20.33203125" style="726" customWidth="1"/>
    <col min="5888" max="5888" width="18.6640625" style="726" bestFit="1" customWidth="1"/>
    <col min="5889" max="5889" width="16.33203125" style="726" customWidth="1"/>
    <col min="5890" max="5890" width="22.6640625" style="726" bestFit="1" customWidth="1"/>
    <col min="5891" max="5892" width="18" style="726" bestFit="1" customWidth="1"/>
    <col min="5893" max="5893" width="12.6640625" style="726" customWidth="1"/>
    <col min="5894" max="5894" width="18.1640625" style="726" bestFit="1" customWidth="1"/>
    <col min="5895" max="5895" width="9.33203125" style="726"/>
    <col min="5896" max="5896" width="11.5" style="726" bestFit="1" customWidth="1"/>
    <col min="5897" max="6141" width="9.33203125" style="726"/>
    <col min="6142" max="6142" width="14.83203125" style="726" customWidth="1"/>
    <col min="6143" max="6143" width="20.33203125" style="726" customWidth="1"/>
    <col min="6144" max="6144" width="18.6640625" style="726" bestFit="1" customWidth="1"/>
    <col min="6145" max="6145" width="16.33203125" style="726" customWidth="1"/>
    <col min="6146" max="6146" width="22.6640625" style="726" bestFit="1" customWidth="1"/>
    <col min="6147" max="6148" width="18" style="726" bestFit="1" customWidth="1"/>
    <col min="6149" max="6149" width="12.6640625" style="726" customWidth="1"/>
    <col min="6150" max="6150" width="18.1640625" style="726" bestFit="1" customWidth="1"/>
    <col min="6151" max="6151" width="9.33203125" style="726"/>
    <col min="6152" max="6152" width="11.5" style="726" bestFit="1" customWidth="1"/>
    <col min="6153" max="6397" width="9.33203125" style="726"/>
    <col min="6398" max="6398" width="14.83203125" style="726" customWidth="1"/>
    <col min="6399" max="6399" width="20.33203125" style="726" customWidth="1"/>
    <col min="6400" max="6400" width="18.6640625" style="726" bestFit="1" customWidth="1"/>
    <col min="6401" max="6401" width="16.33203125" style="726" customWidth="1"/>
    <col min="6402" max="6402" width="22.6640625" style="726" bestFit="1" customWidth="1"/>
    <col min="6403" max="6404" width="18" style="726" bestFit="1" customWidth="1"/>
    <col min="6405" max="6405" width="12.6640625" style="726" customWidth="1"/>
    <col min="6406" max="6406" width="18.1640625" style="726" bestFit="1" customWidth="1"/>
    <col min="6407" max="6407" width="9.33203125" style="726"/>
    <col min="6408" max="6408" width="11.5" style="726" bestFit="1" customWidth="1"/>
    <col min="6409" max="6653" width="9.33203125" style="726"/>
    <col min="6654" max="6654" width="14.83203125" style="726" customWidth="1"/>
    <col min="6655" max="6655" width="20.33203125" style="726" customWidth="1"/>
    <col min="6656" max="6656" width="18.6640625" style="726" bestFit="1" customWidth="1"/>
    <col min="6657" max="6657" width="16.33203125" style="726" customWidth="1"/>
    <col min="6658" max="6658" width="22.6640625" style="726" bestFit="1" customWidth="1"/>
    <col min="6659" max="6660" width="18" style="726" bestFit="1" customWidth="1"/>
    <col min="6661" max="6661" width="12.6640625" style="726" customWidth="1"/>
    <col min="6662" max="6662" width="18.1640625" style="726" bestFit="1" customWidth="1"/>
    <col min="6663" max="6663" width="9.33203125" style="726"/>
    <col min="6664" max="6664" width="11.5" style="726" bestFit="1" customWidth="1"/>
    <col min="6665" max="6909" width="9.33203125" style="726"/>
    <col min="6910" max="6910" width="14.83203125" style="726" customWidth="1"/>
    <col min="6911" max="6911" width="20.33203125" style="726" customWidth="1"/>
    <col min="6912" max="6912" width="18.6640625" style="726" bestFit="1" customWidth="1"/>
    <col min="6913" max="6913" width="16.33203125" style="726" customWidth="1"/>
    <col min="6914" max="6914" width="22.6640625" style="726" bestFit="1" customWidth="1"/>
    <col min="6915" max="6916" width="18" style="726" bestFit="1" customWidth="1"/>
    <col min="6917" max="6917" width="12.6640625" style="726" customWidth="1"/>
    <col min="6918" max="6918" width="18.1640625" style="726" bestFit="1" customWidth="1"/>
    <col min="6919" max="6919" width="9.33203125" style="726"/>
    <col min="6920" max="6920" width="11.5" style="726" bestFit="1" customWidth="1"/>
    <col min="6921" max="7165" width="9.33203125" style="726"/>
    <col min="7166" max="7166" width="14.83203125" style="726" customWidth="1"/>
    <col min="7167" max="7167" width="20.33203125" style="726" customWidth="1"/>
    <col min="7168" max="7168" width="18.6640625" style="726" bestFit="1" customWidth="1"/>
    <col min="7169" max="7169" width="16.33203125" style="726" customWidth="1"/>
    <col min="7170" max="7170" width="22.6640625" style="726" bestFit="1" customWidth="1"/>
    <col min="7171" max="7172" width="18" style="726" bestFit="1" customWidth="1"/>
    <col min="7173" max="7173" width="12.6640625" style="726" customWidth="1"/>
    <col min="7174" max="7174" width="18.1640625" style="726" bestFit="1" customWidth="1"/>
    <col min="7175" max="7175" width="9.33203125" style="726"/>
    <col min="7176" max="7176" width="11.5" style="726" bestFit="1" customWidth="1"/>
    <col min="7177" max="7421" width="9.33203125" style="726"/>
    <col min="7422" max="7422" width="14.83203125" style="726" customWidth="1"/>
    <col min="7423" max="7423" width="20.33203125" style="726" customWidth="1"/>
    <col min="7424" max="7424" width="18.6640625" style="726" bestFit="1" customWidth="1"/>
    <col min="7425" max="7425" width="16.33203125" style="726" customWidth="1"/>
    <col min="7426" max="7426" width="22.6640625" style="726" bestFit="1" customWidth="1"/>
    <col min="7427" max="7428" width="18" style="726" bestFit="1" customWidth="1"/>
    <col min="7429" max="7429" width="12.6640625" style="726" customWidth="1"/>
    <col min="7430" max="7430" width="18.1640625" style="726" bestFit="1" customWidth="1"/>
    <col min="7431" max="7431" width="9.33203125" style="726"/>
    <col min="7432" max="7432" width="11.5" style="726" bestFit="1" customWidth="1"/>
    <col min="7433" max="7677" width="9.33203125" style="726"/>
    <col min="7678" max="7678" width="14.83203125" style="726" customWidth="1"/>
    <col min="7679" max="7679" width="20.33203125" style="726" customWidth="1"/>
    <col min="7680" max="7680" width="18.6640625" style="726" bestFit="1" customWidth="1"/>
    <col min="7681" max="7681" width="16.33203125" style="726" customWidth="1"/>
    <col min="7682" max="7682" width="22.6640625" style="726" bestFit="1" customWidth="1"/>
    <col min="7683" max="7684" width="18" style="726" bestFit="1" customWidth="1"/>
    <col min="7685" max="7685" width="12.6640625" style="726" customWidth="1"/>
    <col min="7686" max="7686" width="18.1640625" style="726" bestFit="1" customWidth="1"/>
    <col min="7687" max="7687" width="9.33203125" style="726"/>
    <col min="7688" max="7688" width="11.5" style="726" bestFit="1" customWidth="1"/>
    <col min="7689" max="7933" width="9.33203125" style="726"/>
    <col min="7934" max="7934" width="14.83203125" style="726" customWidth="1"/>
    <col min="7935" max="7935" width="20.33203125" style="726" customWidth="1"/>
    <col min="7936" max="7936" width="18.6640625" style="726" bestFit="1" customWidth="1"/>
    <col min="7937" max="7937" width="16.33203125" style="726" customWidth="1"/>
    <col min="7938" max="7938" width="22.6640625" style="726" bestFit="1" customWidth="1"/>
    <col min="7939" max="7940" width="18" style="726" bestFit="1" customWidth="1"/>
    <col min="7941" max="7941" width="12.6640625" style="726" customWidth="1"/>
    <col min="7942" max="7942" width="18.1640625" style="726" bestFit="1" customWidth="1"/>
    <col min="7943" max="7943" width="9.33203125" style="726"/>
    <col min="7944" max="7944" width="11.5" style="726" bestFit="1" customWidth="1"/>
    <col min="7945" max="8189" width="9.33203125" style="726"/>
    <col min="8190" max="8190" width="14.83203125" style="726" customWidth="1"/>
    <col min="8191" max="8191" width="20.33203125" style="726" customWidth="1"/>
    <col min="8192" max="8192" width="18.6640625" style="726" bestFit="1" customWidth="1"/>
    <col min="8193" max="8193" width="16.33203125" style="726" customWidth="1"/>
    <col min="8194" max="8194" width="22.6640625" style="726" bestFit="1" customWidth="1"/>
    <col min="8195" max="8196" width="18" style="726" bestFit="1" customWidth="1"/>
    <col min="8197" max="8197" width="12.6640625" style="726" customWidth="1"/>
    <col min="8198" max="8198" width="18.1640625" style="726" bestFit="1" customWidth="1"/>
    <col min="8199" max="8199" width="9.33203125" style="726"/>
    <col min="8200" max="8200" width="11.5" style="726" bestFit="1" customWidth="1"/>
    <col min="8201" max="8445" width="9.33203125" style="726"/>
    <col min="8446" max="8446" width="14.83203125" style="726" customWidth="1"/>
    <col min="8447" max="8447" width="20.33203125" style="726" customWidth="1"/>
    <col min="8448" max="8448" width="18.6640625" style="726" bestFit="1" customWidth="1"/>
    <col min="8449" max="8449" width="16.33203125" style="726" customWidth="1"/>
    <col min="8450" max="8450" width="22.6640625" style="726" bestFit="1" customWidth="1"/>
    <col min="8451" max="8452" width="18" style="726" bestFit="1" customWidth="1"/>
    <col min="8453" max="8453" width="12.6640625" style="726" customWidth="1"/>
    <col min="8454" max="8454" width="18.1640625" style="726" bestFit="1" customWidth="1"/>
    <col min="8455" max="8455" width="9.33203125" style="726"/>
    <col min="8456" max="8456" width="11.5" style="726" bestFit="1" customWidth="1"/>
    <col min="8457" max="8701" width="9.33203125" style="726"/>
    <col min="8702" max="8702" width="14.83203125" style="726" customWidth="1"/>
    <col min="8703" max="8703" width="20.33203125" style="726" customWidth="1"/>
    <col min="8704" max="8704" width="18.6640625" style="726" bestFit="1" customWidth="1"/>
    <col min="8705" max="8705" width="16.33203125" style="726" customWidth="1"/>
    <col min="8706" max="8706" width="22.6640625" style="726" bestFit="1" customWidth="1"/>
    <col min="8707" max="8708" width="18" style="726" bestFit="1" customWidth="1"/>
    <col min="8709" max="8709" width="12.6640625" style="726" customWidth="1"/>
    <col min="8710" max="8710" width="18.1640625" style="726" bestFit="1" customWidth="1"/>
    <col min="8711" max="8711" width="9.33203125" style="726"/>
    <col min="8712" max="8712" width="11.5" style="726" bestFit="1" customWidth="1"/>
    <col min="8713" max="8957" width="9.33203125" style="726"/>
    <col min="8958" max="8958" width="14.83203125" style="726" customWidth="1"/>
    <col min="8959" max="8959" width="20.33203125" style="726" customWidth="1"/>
    <col min="8960" max="8960" width="18.6640625" style="726" bestFit="1" customWidth="1"/>
    <col min="8961" max="8961" width="16.33203125" style="726" customWidth="1"/>
    <col min="8962" max="8962" width="22.6640625" style="726" bestFit="1" customWidth="1"/>
    <col min="8963" max="8964" width="18" style="726" bestFit="1" customWidth="1"/>
    <col min="8965" max="8965" width="12.6640625" style="726" customWidth="1"/>
    <col min="8966" max="8966" width="18.1640625" style="726" bestFit="1" customWidth="1"/>
    <col min="8967" max="8967" width="9.33203125" style="726"/>
    <col min="8968" max="8968" width="11.5" style="726" bestFit="1" customWidth="1"/>
    <col min="8969" max="9213" width="9.33203125" style="726"/>
    <col min="9214" max="9214" width="14.83203125" style="726" customWidth="1"/>
    <col min="9215" max="9215" width="20.33203125" style="726" customWidth="1"/>
    <col min="9216" max="9216" width="18.6640625" style="726" bestFit="1" customWidth="1"/>
    <col min="9217" max="9217" width="16.33203125" style="726" customWidth="1"/>
    <col min="9218" max="9218" width="22.6640625" style="726" bestFit="1" customWidth="1"/>
    <col min="9219" max="9220" width="18" style="726" bestFit="1" customWidth="1"/>
    <col min="9221" max="9221" width="12.6640625" style="726" customWidth="1"/>
    <col min="9222" max="9222" width="18.1640625" style="726" bestFit="1" customWidth="1"/>
    <col min="9223" max="9223" width="9.33203125" style="726"/>
    <col min="9224" max="9224" width="11.5" style="726" bestFit="1" customWidth="1"/>
    <col min="9225" max="9469" width="9.33203125" style="726"/>
    <col min="9470" max="9470" width="14.83203125" style="726" customWidth="1"/>
    <col min="9471" max="9471" width="20.33203125" style="726" customWidth="1"/>
    <col min="9472" max="9472" width="18.6640625" style="726" bestFit="1" customWidth="1"/>
    <col min="9473" max="9473" width="16.33203125" style="726" customWidth="1"/>
    <col min="9474" max="9474" width="22.6640625" style="726" bestFit="1" customWidth="1"/>
    <col min="9475" max="9476" width="18" style="726" bestFit="1" customWidth="1"/>
    <col min="9477" max="9477" width="12.6640625" style="726" customWidth="1"/>
    <col min="9478" max="9478" width="18.1640625" style="726" bestFit="1" customWidth="1"/>
    <col min="9479" max="9479" width="9.33203125" style="726"/>
    <col min="9480" max="9480" width="11.5" style="726" bestFit="1" customWidth="1"/>
    <col min="9481" max="9725" width="9.33203125" style="726"/>
    <col min="9726" max="9726" width="14.83203125" style="726" customWidth="1"/>
    <col min="9727" max="9727" width="20.33203125" style="726" customWidth="1"/>
    <col min="9728" max="9728" width="18.6640625" style="726" bestFit="1" customWidth="1"/>
    <col min="9729" max="9729" width="16.33203125" style="726" customWidth="1"/>
    <col min="9730" max="9730" width="22.6640625" style="726" bestFit="1" customWidth="1"/>
    <col min="9731" max="9732" width="18" style="726" bestFit="1" customWidth="1"/>
    <col min="9733" max="9733" width="12.6640625" style="726" customWidth="1"/>
    <col min="9734" max="9734" width="18.1640625" style="726" bestFit="1" customWidth="1"/>
    <col min="9735" max="9735" width="9.33203125" style="726"/>
    <col min="9736" max="9736" width="11.5" style="726" bestFit="1" customWidth="1"/>
    <col min="9737" max="9981" width="9.33203125" style="726"/>
    <col min="9982" max="9982" width="14.83203125" style="726" customWidth="1"/>
    <col min="9983" max="9983" width="20.33203125" style="726" customWidth="1"/>
    <col min="9984" max="9984" width="18.6640625" style="726" bestFit="1" customWidth="1"/>
    <col min="9985" max="9985" width="16.33203125" style="726" customWidth="1"/>
    <col min="9986" max="9986" width="22.6640625" style="726" bestFit="1" customWidth="1"/>
    <col min="9987" max="9988" width="18" style="726" bestFit="1" customWidth="1"/>
    <col min="9989" max="9989" width="12.6640625" style="726" customWidth="1"/>
    <col min="9990" max="9990" width="18.1640625" style="726" bestFit="1" customWidth="1"/>
    <col min="9991" max="9991" width="9.33203125" style="726"/>
    <col min="9992" max="9992" width="11.5" style="726" bestFit="1" customWidth="1"/>
    <col min="9993" max="10237" width="9.33203125" style="726"/>
    <col min="10238" max="10238" width="14.83203125" style="726" customWidth="1"/>
    <col min="10239" max="10239" width="20.33203125" style="726" customWidth="1"/>
    <col min="10240" max="10240" width="18.6640625" style="726" bestFit="1" customWidth="1"/>
    <col min="10241" max="10241" width="16.33203125" style="726" customWidth="1"/>
    <col min="10242" max="10242" width="22.6640625" style="726" bestFit="1" customWidth="1"/>
    <col min="10243" max="10244" width="18" style="726" bestFit="1" customWidth="1"/>
    <col min="10245" max="10245" width="12.6640625" style="726" customWidth="1"/>
    <col min="10246" max="10246" width="18.1640625" style="726" bestFit="1" customWidth="1"/>
    <col min="10247" max="10247" width="9.33203125" style="726"/>
    <col min="10248" max="10248" width="11.5" style="726" bestFit="1" customWidth="1"/>
    <col min="10249" max="10493" width="9.33203125" style="726"/>
    <col min="10494" max="10494" width="14.83203125" style="726" customWidth="1"/>
    <col min="10495" max="10495" width="20.33203125" style="726" customWidth="1"/>
    <col min="10496" max="10496" width="18.6640625" style="726" bestFit="1" customWidth="1"/>
    <col min="10497" max="10497" width="16.33203125" style="726" customWidth="1"/>
    <col min="10498" max="10498" width="22.6640625" style="726" bestFit="1" customWidth="1"/>
    <col min="10499" max="10500" width="18" style="726" bestFit="1" customWidth="1"/>
    <col min="10501" max="10501" width="12.6640625" style="726" customWidth="1"/>
    <col min="10502" max="10502" width="18.1640625" style="726" bestFit="1" customWidth="1"/>
    <col min="10503" max="10503" width="9.33203125" style="726"/>
    <col min="10504" max="10504" width="11.5" style="726" bestFit="1" customWidth="1"/>
    <col min="10505" max="10749" width="9.33203125" style="726"/>
    <col min="10750" max="10750" width="14.83203125" style="726" customWidth="1"/>
    <col min="10751" max="10751" width="20.33203125" style="726" customWidth="1"/>
    <col min="10752" max="10752" width="18.6640625" style="726" bestFit="1" customWidth="1"/>
    <col min="10753" max="10753" width="16.33203125" style="726" customWidth="1"/>
    <col min="10754" max="10754" width="22.6640625" style="726" bestFit="1" customWidth="1"/>
    <col min="10755" max="10756" width="18" style="726" bestFit="1" customWidth="1"/>
    <col min="10757" max="10757" width="12.6640625" style="726" customWidth="1"/>
    <col min="10758" max="10758" width="18.1640625" style="726" bestFit="1" customWidth="1"/>
    <col min="10759" max="10759" width="9.33203125" style="726"/>
    <col min="10760" max="10760" width="11.5" style="726" bestFit="1" customWidth="1"/>
    <col min="10761" max="11005" width="9.33203125" style="726"/>
    <col min="11006" max="11006" width="14.83203125" style="726" customWidth="1"/>
    <col min="11007" max="11007" width="20.33203125" style="726" customWidth="1"/>
    <col min="11008" max="11008" width="18.6640625" style="726" bestFit="1" customWidth="1"/>
    <col min="11009" max="11009" width="16.33203125" style="726" customWidth="1"/>
    <col min="11010" max="11010" width="22.6640625" style="726" bestFit="1" customWidth="1"/>
    <col min="11011" max="11012" width="18" style="726" bestFit="1" customWidth="1"/>
    <col min="11013" max="11013" width="12.6640625" style="726" customWidth="1"/>
    <col min="11014" max="11014" width="18.1640625" style="726" bestFit="1" customWidth="1"/>
    <col min="11015" max="11015" width="9.33203125" style="726"/>
    <col min="11016" max="11016" width="11.5" style="726" bestFit="1" customWidth="1"/>
    <col min="11017" max="11261" width="9.33203125" style="726"/>
    <col min="11262" max="11262" width="14.83203125" style="726" customWidth="1"/>
    <col min="11263" max="11263" width="20.33203125" style="726" customWidth="1"/>
    <col min="11264" max="11264" width="18.6640625" style="726" bestFit="1" customWidth="1"/>
    <col min="11265" max="11265" width="16.33203125" style="726" customWidth="1"/>
    <col min="11266" max="11266" width="22.6640625" style="726" bestFit="1" customWidth="1"/>
    <col min="11267" max="11268" width="18" style="726" bestFit="1" customWidth="1"/>
    <col min="11269" max="11269" width="12.6640625" style="726" customWidth="1"/>
    <col min="11270" max="11270" width="18.1640625" style="726" bestFit="1" customWidth="1"/>
    <col min="11271" max="11271" width="9.33203125" style="726"/>
    <col min="11272" max="11272" width="11.5" style="726" bestFit="1" customWidth="1"/>
    <col min="11273" max="11517" width="9.33203125" style="726"/>
    <col min="11518" max="11518" width="14.83203125" style="726" customWidth="1"/>
    <col min="11519" max="11519" width="20.33203125" style="726" customWidth="1"/>
    <col min="11520" max="11520" width="18.6640625" style="726" bestFit="1" customWidth="1"/>
    <col min="11521" max="11521" width="16.33203125" style="726" customWidth="1"/>
    <col min="11522" max="11522" width="22.6640625" style="726" bestFit="1" customWidth="1"/>
    <col min="11523" max="11524" width="18" style="726" bestFit="1" customWidth="1"/>
    <col min="11525" max="11525" width="12.6640625" style="726" customWidth="1"/>
    <col min="11526" max="11526" width="18.1640625" style="726" bestFit="1" customWidth="1"/>
    <col min="11527" max="11527" width="9.33203125" style="726"/>
    <col min="11528" max="11528" width="11.5" style="726" bestFit="1" customWidth="1"/>
    <col min="11529" max="11773" width="9.33203125" style="726"/>
    <col min="11774" max="11774" width="14.83203125" style="726" customWidth="1"/>
    <col min="11775" max="11775" width="20.33203125" style="726" customWidth="1"/>
    <col min="11776" max="11776" width="18.6640625" style="726" bestFit="1" customWidth="1"/>
    <col min="11777" max="11777" width="16.33203125" style="726" customWidth="1"/>
    <col min="11778" max="11778" width="22.6640625" style="726" bestFit="1" customWidth="1"/>
    <col min="11779" max="11780" width="18" style="726" bestFit="1" customWidth="1"/>
    <col min="11781" max="11781" width="12.6640625" style="726" customWidth="1"/>
    <col min="11782" max="11782" width="18.1640625" style="726" bestFit="1" customWidth="1"/>
    <col min="11783" max="11783" width="9.33203125" style="726"/>
    <col min="11784" max="11784" width="11.5" style="726" bestFit="1" customWidth="1"/>
    <col min="11785" max="12029" width="9.33203125" style="726"/>
    <col min="12030" max="12030" width="14.83203125" style="726" customWidth="1"/>
    <col min="12031" max="12031" width="20.33203125" style="726" customWidth="1"/>
    <col min="12032" max="12032" width="18.6640625" style="726" bestFit="1" customWidth="1"/>
    <col min="12033" max="12033" width="16.33203125" style="726" customWidth="1"/>
    <col min="12034" max="12034" width="22.6640625" style="726" bestFit="1" customWidth="1"/>
    <col min="12035" max="12036" width="18" style="726" bestFit="1" customWidth="1"/>
    <col min="12037" max="12037" width="12.6640625" style="726" customWidth="1"/>
    <col min="12038" max="12038" width="18.1640625" style="726" bestFit="1" customWidth="1"/>
    <col min="12039" max="12039" width="9.33203125" style="726"/>
    <col min="12040" max="12040" width="11.5" style="726" bestFit="1" customWidth="1"/>
    <col min="12041" max="12285" width="9.33203125" style="726"/>
    <col min="12286" max="12286" width="14.83203125" style="726" customWidth="1"/>
    <col min="12287" max="12287" width="20.33203125" style="726" customWidth="1"/>
    <col min="12288" max="12288" width="18.6640625" style="726" bestFit="1" customWidth="1"/>
    <col min="12289" max="12289" width="16.33203125" style="726" customWidth="1"/>
    <col min="12290" max="12290" width="22.6640625" style="726" bestFit="1" customWidth="1"/>
    <col min="12291" max="12292" width="18" style="726" bestFit="1" customWidth="1"/>
    <col min="12293" max="12293" width="12.6640625" style="726" customWidth="1"/>
    <col min="12294" max="12294" width="18.1640625" style="726" bestFit="1" customWidth="1"/>
    <col min="12295" max="12295" width="9.33203125" style="726"/>
    <col min="12296" max="12296" width="11.5" style="726" bestFit="1" customWidth="1"/>
    <col min="12297" max="12541" width="9.33203125" style="726"/>
    <col min="12542" max="12542" width="14.83203125" style="726" customWidth="1"/>
    <col min="12543" max="12543" width="20.33203125" style="726" customWidth="1"/>
    <col min="12544" max="12544" width="18.6640625" style="726" bestFit="1" customWidth="1"/>
    <col min="12545" max="12545" width="16.33203125" style="726" customWidth="1"/>
    <col min="12546" max="12546" width="22.6640625" style="726" bestFit="1" customWidth="1"/>
    <col min="12547" max="12548" width="18" style="726" bestFit="1" customWidth="1"/>
    <col min="12549" max="12549" width="12.6640625" style="726" customWidth="1"/>
    <col min="12550" max="12550" width="18.1640625" style="726" bestFit="1" customWidth="1"/>
    <col min="12551" max="12551" width="9.33203125" style="726"/>
    <col min="12552" max="12552" width="11.5" style="726" bestFit="1" customWidth="1"/>
    <col min="12553" max="12797" width="9.33203125" style="726"/>
    <col min="12798" max="12798" width="14.83203125" style="726" customWidth="1"/>
    <col min="12799" max="12799" width="20.33203125" style="726" customWidth="1"/>
    <col min="12800" max="12800" width="18.6640625" style="726" bestFit="1" customWidth="1"/>
    <col min="12801" max="12801" width="16.33203125" style="726" customWidth="1"/>
    <col min="12802" max="12802" width="22.6640625" style="726" bestFit="1" customWidth="1"/>
    <col min="12803" max="12804" width="18" style="726" bestFit="1" customWidth="1"/>
    <col min="12805" max="12805" width="12.6640625" style="726" customWidth="1"/>
    <col min="12806" max="12806" width="18.1640625" style="726" bestFit="1" customWidth="1"/>
    <col min="12807" max="12807" width="9.33203125" style="726"/>
    <col min="12808" max="12808" width="11.5" style="726" bestFit="1" customWidth="1"/>
    <col min="12809" max="13053" width="9.33203125" style="726"/>
    <col min="13054" max="13054" width="14.83203125" style="726" customWidth="1"/>
    <col min="13055" max="13055" width="20.33203125" style="726" customWidth="1"/>
    <col min="13056" max="13056" width="18.6640625" style="726" bestFit="1" customWidth="1"/>
    <col min="13057" max="13057" width="16.33203125" style="726" customWidth="1"/>
    <col min="13058" max="13058" width="22.6640625" style="726" bestFit="1" customWidth="1"/>
    <col min="13059" max="13060" width="18" style="726" bestFit="1" customWidth="1"/>
    <col min="13061" max="13061" width="12.6640625" style="726" customWidth="1"/>
    <col min="13062" max="13062" width="18.1640625" style="726" bestFit="1" customWidth="1"/>
    <col min="13063" max="13063" width="9.33203125" style="726"/>
    <col min="13064" max="13064" width="11.5" style="726" bestFit="1" customWidth="1"/>
    <col min="13065" max="13309" width="9.33203125" style="726"/>
    <col min="13310" max="13310" width="14.83203125" style="726" customWidth="1"/>
    <col min="13311" max="13311" width="20.33203125" style="726" customWidth="1"/>
    <col min="13312" max="13312" width="18.6640625" style="726" bestFit="1" customWidth="1"/>
    <col min="13313" max="13313" width="16.33203125" style="726" customWidth="1"/>
    <col min="13314" max="13314" width="22.6640625" style="726" bestFit="1" customWidth="1"/>
    <col min="13315" max="13316" width="18" style="726" bestFit="1" customWidth="1"/>
    <col min="13317" max="13317" width="12.6640625" style="726" customWidth="1"/>
    <col min="13318" max="13318" width="18.1640625" style="726" bestFit="1" customWidth="1"/>
    <col min="13319" max="13319" width="9.33203125" style="726"/>
    <col min="13320" max="13320" width="11.5" style="726" bestFit="1" customWidth="1"/>
    <col min="13321" max="13565" width="9.33203125" style="726"/>
    <col min="13566" max="13566" width="14.83203125" style="726" customWidth="1"/>
    <col min="13567" max="13567" width="20.33203125" style="726" customWidth="1"/>
    <col min="13568" max="13568" width="18.6640625" style="726" bestFit="1" customWidth="1"/>
    <col min="13569" max="13569" width="16.33203125" style="726" customWidth="1"/>
    <col min="13570" max="13570" width="22.6640625" style="726" bestFit="1" customWidth="1"/>
    <col min="13571" max="13572" width="18" style="726" bestFit="1" customWidth="1"/>
    <col min="13573" max="13573" width="12.6640625" style="726" customWidth="1"/>
    <col min="13574" max="13574" width="18.1640625" style="726" bestFit="1" customWidth="1"/>
    <col min="13575" max="13575" width="9.33203125" style="726"/>
    <col min="13576" max="13576" width="11.5" style="726" bestFit="1" customWidth="1"/>
    <col min="13577" max="13821" width="9.33203125" style="726"/>
    <col min="13822" max="13822" width="14.83203125" style="726" customWidth="1"/>
    <col min="13823" max="13823" width="20.33203125" style="726" customWidth="1"/>
    <col min="13824" max="13824" width="18.6640625" style="726" bestFit="1" customWidth="1"/>
    <col min="13825" max="13825" width="16.33203125" style="726" customWidth="1"/>
    <col min="13826" max="13826" width="22.6640625" style="726" bestFit="1" customWidth="1"/>
    <col min="13827" max="13828" width="18" style="726" bestFit="1" customWidth="1"/>
    <col min="13829" max="13829" width="12.6640625" style="726" customWidth="1"/>
    <col min="13830" max="13830" width="18.1640625" style="726" bestFit="1" customWidth="1"/>
    <col min="13831" max="13831" width="9.33203125" style="726"/>
    <col min="13832" max="13832" width="11.5" style="726" bestFit="1" customWidth="1"/>
    <col min="13833" max="14077" width="9.33203125" style="726"/>
    <col min="14078" max="14078" width="14.83203125" style="726" customWidth="1"/>
    <col min="14079" max="14079" width="20.33203125" style="726" customWidth="1"/>
    <col min="14080" max="14080" width="18.6640625" style="726" bestFit="1" customWidth="1"/>
    <col min="14081" max="14081" width="16.33203125" style="726" customWidth="1"/>
    <col min="14082" max="14082" width="22.6640625" style="726" bestFit="1" customWidth="1"/>
    <col min="14083" max="14084" width="18" style="726" bestFit="1" customWidth="1"/>
    <col min="14085" max="14085" width="12.6640625" style="726" customWidth="1"/>
    <col min="14086" max="14086" width="18.1640625" style="726" bestFit="1" customWidth="1"/>
    <col min="14087" max="14087" width="9.33203125" style="726"/>
    <col min="14088" max="14088" width="11.5" style="726" bestFit="1" customWidth="1"/>
    <col min="14089" max="14333" width="9.33203125" style="726"/>
    <col min="14334" max="14334" width="14.83203125" style="726" customWidth="1"/>
    <col min="14335" max="14335" width="20.33203125" style="726" customWidth="1"/>
    <col min="14336" max="14336" width="18.6640625" style="726" bestFit="1" customWidth="1"/>
    <col min="14337" max="14337" width="16.33203125" style="726" customWidth="1"/>
    <col min="14338" max="14338" width="22.6640625" style="726" bestFit="1" customWidth="1"/>
    <col min="14339" max="14340" width="18" style="726" bestFit="1" customWidth="1"/>
    <col min="14341" max="14341" width="12.6640625" style="726" customWidth="1"/>
    <col min="14342" max="14342" width="18.1640625" style="726" bestFit="1" customWidth="1"/>
    <col min="14343" max="14343" width="9.33203125" style="726"/>
    <col min="14344" max="14344" width="11.5" style="726" bestFit="1" customWidth="1"/>
    <col min="14345" max="14589" width="9.33203125" style="726"/>
    <col min="14590" max="14590" width="14.83203125" style="726" customWidth="1"/>
    <col min="14591" max="14591" width="20.33203125" style="726" customWidth="1"/>
    <col min="14592" max="14592" width="18.6640625" style="726" bestFit="1" customWidth="1"/>
    <col min="14593" max="14593" width="16.33203125" style="726" customWidth="1"/>
    <col min="14594" max="14594" width="22.6640625" style="726" bestFit="1" customWidth="1"/>
    <col min="14595" max="14596" width="18" style="726" bestFit="1" customWidth="1"/>
    <col min="14597" max="14597" width="12.6640625" style="726" customWidth="1"/>
    <col min="14598" max="14598" width="18.1640625" style="726" bestFit="1" customWidth="1"/>
    <col min="14599" max="14599" width="9.33203125" style="726"/>
    <col min="14600" max="14600" width="11.5" style="726" bestFit="1" customWidth="1"/>
    <col min="14601" max="14845" width="9.33203125" style="726"/>
    <col min="14846" max="14846" width="14.83203125" style="726" customWidth="1"/>
    <col min="14847" max="14847" width="20.33203125" style="726" customWidth="1"/>
    <col min="14848" max="14848" width="18.6640625" style="726" bestFit="1" customWidth="1"/>
    <col min="14849" max="14849" width="16.33203125" style="726" customWidth="1"/>
    <col min="14850" max="14850" width="22.6640625" style="726" bestFit="1" customWidth="1"/>
    <col min="14851" max="14852" width="18" style="726" bestFit="1" customWidth="1"/>
    <col min="14853" max="14853" width="12.6640625" style="726" customWidth="1"/>
    <col min="14854" max="14854" width="18.1640625" style="726" bestFit="1" customWidth="1"/>
    <col min="14855" max="14855" width="9.33203125" style="726"/>
    <col min="14856" max="14856" width="11.5" style="726" bestFit="1" customWidth="1"/>
    <col min="14857" max="15101" width="9.33203125" style="726"/>
    <col min="15102" max="15102" width="14.83203125" style="726" customWidth="1"/>
    <col min="15103" max="15103" width="20.33203125" style="726" customWidth="1"/>
    <col min="15104" max="15104" width="18.6640625" style="726" bestFit="1" customWidth="1"/>
    <col min="15105" max="15105" width="16.33203125" style="726" customWidth="1"/>
    <col min="15106" max="15106" width="22.6640625" style="726" bestFit="1" customWidth="1"/>
    <col min="15107" max="15108" width="18" style="726" bestFit="1" customWidth="1"/>
    <col min="15109" max="15109" width="12.6640625" style="726" customWidth="1"/>
    <col min="15110" max="15110" width="18.1640625" style="726" bestFit="1" customWidth="1"/>
    <col min="15111" max="15111" width="9.33203125" style="726"/>
    <col min="15112" max="15112" width="11.5" style="726" bestFit="1" customWidth="1"/>
    <col min="15113" max="15357" width="9.33203125" style="726"/>
    <col min="15358" max="15358" width="14.83203125" style="726" customWidth="1"/>
    <col min="15359" max="15359" width="20.33203125" style="726" customWidth="1"/>
    <col min="15360" max="15360" width="18.6640625" style="726" bestFit="1" customWidth="1"/>
    <col min="15361" max="15361" width="16.33203125" style="726" customWidth="1"/>
    <col min="15362" max="15362" width="22.6640625" style="726" bestFit="1" customWidth="1"/>
    <col min="15363" max="15364" width="18" style="726" bestFit="1" customWidth="1"/>
    <col min="15365" max="15365" width="12.6640625" style="726" customWidth="1"/>
    <col min="15366" max="15366" width="18.1640625" style="726" bestFit="1" customWidth="1"/>
    <col min="15367" max="15367" width="9.33203125" style="726"/>
    <col min="15368" max="15368" width="11.5" style="726" bestFit="1" customWidth="1"/>
    <col min="15369" max="15613" width="9.33203125" style="726"/>
    <col min="15614" max="15614" width="14.83203125" style="726" customWidth="1"/>
    <col min="15615" max="15615" width="20.33203125" style="726" customWidth="1"/>
    <col min="15616" max="15616" width="18.6640625" style="726" bestFit="1" customWidth="1"/>
    <col min="15617" max="15617" width="16.33203125" style="726" customWidth="1"/>
    <col min="15618" max="15618" width="22.6640625" style="726" bestFit="1" customWidth="1"/>
    <col min="15619" max="15620" width="18" style="726" bestFit="1" customWidth="1"/>
    <col min="15621" max="15621" width="12.6640625" style="726" customWidth="1"/>
    <col min="15622" max="15622" width="18.1640625" style="726" bestFit="1" customWidth="1"/>
    <col min="15623" max="15623" width="9.33203125" style="726"/>
    <col min="15624" max="15624" width="11.5" style="726" bestFit="1" customWidth="1"/>
    <col min="15625" max="15869" width="9.33203125" style="726"/>
    <col min="15870" max="15870" width="14.83203125" style="726" customWidth="1"/>
    <col min="15871" max="15871" width="20.33203125" style="726" customWidth="1"/>
    <col min="15872" max="15872" width="18.6640625" style="726" bestFit="1" customWidth="1"/>
    <col min="15873" max="15873" width="16.33203125" style="726" customWidth="1"/>
    <col min="15874" max="15874" width="22.6640625" style="726" bestFit="1" customWidth="1"/>
    <col min="15875" max="15876" width="18" style="726" bestFit="1" customWidth="1"/>
    <col min="15877" max="15877" width="12.6640625" style="726" customWidth="1"/>
    <col min="15878" max="15878" width="18.1640625" style="726" bestFit="1" customWidth="1"/>
    <col min="15879" max="15879" width="9.33203125" style="726"/>
    <col min="15880" max="15880" width="11.5" style="726" bestFit="1" customWidth="1"/>
    <col min="15881" max="16125" width="9.33203125" style="726"/>
    <col min="16126" max="16126" width="14.83203125" style="726" customWidth="1"/>
    <col min="16127" max="16127" width="20.33203125" style="726" customWidth="1"/>
    <col min="16128" max="16128" width="18.6640625" style="726" bestFit="1" customWidth="1"/>
    <col min="16129" max="16129" width="16.33203125" style="726" customWidth="1"/>
    <col min="16130" max="16130" width="22.6640625" style="726" bestFit="1" customWidth="1"/>
    <col min="16131" max="16132" width="18" style="726" bestFit="1" customWidth="1"/>
    <col min="16133" max="16133" width="12.6640625" style="726" customWidth="1"/>
    <col min="16134" max="16134" width="18.1640625" style="726" bestFit="1" customWidth="1"/>
    <col min="16135" max="16135" width="9.33203125" style="726"/>
    <col min="16136" max="16136" width="11.5" style="726" bestFit="1" customWidth="1"/>
    <col min="16137" max="16384" width="9.33203125" style="726"/>
  </cols>
  <sheetData>
    <row r="2" spans="2:6" ht="47.25" customHeight="1" x14ac:dyDescent="0.25">
      <c r="B2" s="2096" t="s">
        <v>1163</v>
      </c>
      <c r="C2" s="2096"/>
      <c r="D2" s="2096"/>
      <c r="E2" s="2096"/>
      <c r="F2" s="725"/>
    </row>
    <row r="3" spans="2:6" ht="24.75" customHeight="1" x14ac:dyDescent="0.25">
      <c r="B3" s="2097" t="s">
        <v>1164</v>
      </c>
      <c r="C3" s="2097"/>
      <c r="D3" s="2097"/>
      <c r="E3" s="2097"/>
      <c r="F3" s="725"/>
    </row>
    <row r="4" spans="2:6" ht="16.5" customHeight="1" x14ac:dyDescent="0.25">
      <c r="B4" s="1730"/>
      <c r="C4" s="1730"/>
      <c r="D4" s="1730"/>
      <c r="E4" s="1730"/>
    </row>
    <row r="5" spans="2:6" ht="16.5" thickBot="1" x14ac:dyDescent="0.3">
      <c r="B5" s="1731"/>
      <c r="C5" s="1731"/>
      <c r="D5" s="1731"/>
      <c r="E5" s="1732" t="s">
        <v>1165</v>
      </c>
    </row>
    <row r="6" spans="2:6" ht="36.75" customHeight="1" x14ac:dyDescent="0.2">
      <c r="B6" s="2098" t="s">
        <v>1166</v>
      </c>
      <c r="C6" s="2100" t="s">
        <v>1167</v>
      </c>
      <c r="D6" s="2101"/>
      <c r="E6" s="2102"/>
    </row>
    <row r="7" spans="2:6" ht="29.25" customHeight="1" thickBot="1" x14ac:dyDescent="0.25">
      <c r="B7" s="2099"/>
      <c r="C7" s="1858" t="s">
        <v>1168</v>
      </c>
      <c r="D7" s="1859" t="s">
        <v>1399</v>
      </c>
      <c r="E7" s="1733" t="s">
        <v>721</v>
      </c>
    </row>
    <row r="8" spans="2:6" ht="22.5" customHeight="1" x14ac:dyDescent="0.25">
      <c r="B8" s="1734" t="s">
        <v>1169</v>
      </c>
      <c r="C8" s="1735">
        <v>120749360</v>
      </c>
      <c r="D8" s="1736">
        <v>130000000</v>
      </c>
      <c r="E8" s="1737">
        <f t="shared" ref="E8:E16" si="0">SUM(C8:D8)</f>
        <v>250749360</v>
      </c>
    </row>
    <row r="9" spans="2:6" ht="22.5" customHeight="1" x14ac:dyDescent="0.25">
      <c r="B9" s="1734" t="s">
        <v>1170</v>
      </c>
      <c r="C9" s="1735">
        <v>120749362</v>
      </c>
      <c r="D9" s="1736">
        <f>(C16-C8)*(0.0774+0.0185)</f>
        <v>74786621.380099997</v>
      </c>
      <c r="E9" s="1737">
        <f t="shared" si="0"/>
        <v>195535983.38010001</v>
      </c>
    </row>
    <row r="10" spans="2:6" ht="22.5" customHeight="1" x14ac:dyDescent="0.25">
      <c r="B10" s="1734" t="s">
        <v>1171</v>
      </c>
      <c r="C10" s="1735">
        <v>120749368</v>
      </c>
      <c r="D10" s="1736">
        <f>(C16-C8-C9)*(0.074+0.0185)</f>
        <v>60965850.622500002</v>
      </c>
      <c r="E10" s="1737">
        <f t="shared" si="0"/>
        <v>181715218.6225</v>
      </c>
    </row>
    <row r="11" spans="2:6" ht="22.5" customHeight="1" x14ac:dyDescent="0.25">
      <c r="B11" s="1734" t="s">
        <v>1172</v>
      </c>
      <c r="C11" s="1735">
        <v>120749366</v>
      </c>
      <c r="D11" s="1736">
        <f>(C16-C8-C9-C10)*(0.074+0.0185)</f>
        <v>49796534.082499996</v>
      </c>
      <c r="E11" s="1737">
        <f t="shared" si="0"/>
        <v>170545900.08249998</v>
      </c>
    </row>
    <row r="12" spans="2:6" ht="22.5" customHeight="1" x14ac:dyDescent="0.25">
      <c r="B12" s="1734" t="s">
        <v>1173</v>
      </c>
      <c r="C12" s="1735">
        <v>120749364</v>
      </c>
      <c r="D12" s="1736">
        <f>(C16-C11-C10-C9-C8)*(0.074+0.0185)</f>
        <v>38627217.727499999</v>
      </c>
      <c r="E12" s="1737">
        <f t="shared" si="0"/>
        <v>159376581.72749999</v>
      </c>
    </row>
    <row r="13" spans="2:6" ht="22.5" customHeight="1" x14ac:dyDescent="0.25">
      <c r="B13" s="1734" t="s">
        <v>1174</v>
      </c>
      <c r="C13" s="1735">
        <v>120749363</v>
      </c>
      <c r="D13" s="1736">
        <f>(C16-C12-C11-C10-C9-C8)*(0.074+0.0185)</f>
        <v>27457901.557500001</v>
      </c>
      <c r="E13" s="1737">
        <f t="shared" si="0"/>
        <v>148207264.5575</v>
      </c>
    </row>
    <row r="14" spans="2:6" ht="22.5" customHeight="1" x14ac:dyDescent="0.25">
      <c r="B14" s="1734" t="s">
        <v>1175</v>
      </c>
      <c r="C14" s="1735">
        <v>120749364</v>
      </c>
      <c r="D14" s="1736">
        <f>(C16-C13-C12-C11-C10-C9-C8)*(0.074+0.0185)</f>
        <v>16288585.48</v>
      </c>
      <c r="E14" s="1737">
        <f t="shared" si="0"/>
        <v>137037949.47999999</v>
      </c>
    </row>
    <row r="15" spans="2:6" ht="22.5" customHeight="1" thickBot="1" x14ac:dyDescent="0.3">
      <c r="B15" s="1738" t="s">
        <v>1176</v>
      </c>
      <c r="C15" s="1739">
        <f>55343458-6</f>
        <v>55343452</v>
      </c>
      <c r="D15" s="1740">
        <f>(C16-C14-C13-C12-C11-C10-C9-C8)*(0.0745+0.0185)</f>
        <v>5146941.0360000003</v>
      </c>
      <c r="E15" s="1741">
        <f t="shared" si="0"/>
        <v>60490393.035999998</v>
      </c>
    </row>
    <row r="16" spans="2:6" s="728" customFormat="1" ht="53.25" customHeight="1" thickBot="1" x14ac:dyDescent="0.25">
      <c r="B16" s="1742" t="s">
        <v>1191</v>
      </c>
      <c r="C16" s="1743">
        <f>SUM(C8:C15)</f>
        <v>900588999</v>
      </c>
      <c r="D16" s="1744">
        <f>SUM(D8:D15)</f>
        <v>403069651.88610005</v>
      </c>
      <c r="E16" s="1745">
        <f t="shared" si="0"/>
        <v>1303658650.8861001</v>
      </c>
      <c r="F16" s="727"/>
    </row>
    <row r="17" spans="3:5" x14ac:dyDescent="0.2">
      <c r="C17" s="729"/>
      <c r="D17" s="729"/>
      <c r="E17" s="729"/>
    </row>
    <row r="18" spans="3:5" x14ac:dyDescent="0.2">
      <c r="C18" s="730"/>
      <c r="D18" s="731"/>
      <c r="E18" s="729"/>
    </row>
    <row r="19" spans="3:5" x14ac:dyDescent="0.2">
      <c r="C19" s="732"/>
      <c r="D19" s="732"/>
      <c r="E19" s="732"/>
    </row>
    <row r="20" spans="3:5" x14ac:dyDescent="0.2">
      <c r="C20" s="732"/>
      <c r="D20" s="732"/>
      <c r="E20" s="732"/>
    </row>
    <row r="23" spans="3:5" x14ac:dyDescent="0.2">
      <c r="C23" s="733"/>
      <c r="D23" s="729"/>
    </row>
    <row r="24" spans="3:5" x14ac:dyDescent="0.2">
      <c r="C24" s="733"/>
      <c r="D24" s="729"/>
    </row>
  </sheetData>
  <mergeCells count="4">
    <mergeCell ref="B2:E2"/>
    <mergeCell ref="B3:E3"/>
    <mergeCell ref="B6:B7"/>
    <mergeCell ref="C6:E6"/>
  </mergeCells>
  <printOptions horizontalCentered="1" verticalCentered="1"/>
  <pageMargins left="0.9055118110236221" right="0.9055118110236221" top="0.74803149606299213" bottom="0.74803149606299213" header="0.31496062992125984" footer="0.31496062992125984"/>
  <pageSetup paperSize="9" scale="95" orientation="portrait" r:id="rId1"/>
  <headerFooter>
    <oddHeader xml:space="preserve">&amp;R&amp;"Calibri,Félkövér"&amp;12  &amp;"-,Félkövér"30. melléklet a 10/2024. (V.31.) önkormányzati rendelethez&amp;10
 &amp;"Arial,Félkövér"&amp;8
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D48A-93BF-4E31-A0C7-AA7AB3017232}">
  <dimension ref="A1:BM60"/>
  <sheetViews>
    <sheetView view="pageLayout" topLeftCell="COF1" zoomScaleNormal="50" zoomScaleSheetLayoutView="50" workbookViewId="0">
      <selection activeCell="COV8" sqref="COV8"/>
    </sheetView>
  </sheetViews>
  <sheetFormatPr defaultRowHeight="26.45" customHeight="1" x14ac:dyDescent="0.6"/>
  <cols>
    <col min="1" max="1" width="210.33203125" style="762" customWidth="1"/>
    <col min="2" max="4" width="62.83203125" style="770" customWidth="1"/>
    <col min="5" max="5" width="55.83203125" style="770" customWidth="1"/>
    <col min="6" max="8" width="62.83203125" style="770" customWidth="1"/>
    <col min="9" max="16" width="55.83203125" style="770" customWidth="1"/>
    <col min="17" max="17" width="56" style="770" customWidth="1"/>
    <col min="18" max="20" width="62.83203125" style="770" customWidth="1"/>
    <col min="21" max="21" width="55.83203125" style="770" customWidth="1"/>
    <col min="22" max="22" width="204.83203125" style="772" customWidth="1"/>
    <col min="23" max="25" width="60.83203125" style="770" customWidth="1"/>
    <col min="26" max="26" width="42.83203125" style="770" bestFit="1" customWidth="1"/>
    <col min="27" max="29" width="60.83203125" style="770" customWidth="1"/>
    <col min="30" max="30" width="55.83203125" style="770" customWidth="1"/>
    <col min="31" max="33" width="61" style="770" customWidth="1"/>
    <col min="34" max="34" width="55.83203125" style="770" customWidth="1"/>
    <col min="35" max="37" width="61" style="770" customWidth="1"/>
    <col min="38" max="38" width="55.83203125" style="770" customWidth="1"/>
    <col min="39" max="41" width="61" style="762" customWidth="1"/>
    <col min="42" max="42" width="55.83203125" style="762" customWidth="1"/>
    <col min="43" max="43" width="255.5" style="772" customWidth="1"/>
    <col min="44" max="46" width="67.83203125" style="762" customWidth="1"/>
    <col min="47" max="47" width="59.83203125" style="762" customWidth="1"/>
    <col min="48" max="50" width="67.83203125" style="762" customWidth="1"/>
    <col min="51" max="51" width="59.83203125" style="762" customWidth="1"/>
    <col min="52" max="53" width="67.83203125" style="762" customWidth="1"/>
    <col min="54" max="54" width="67.83203125" style="771" customWidth="1"/>
    <col min="55" max="55" width="60" style="771" customWidth="1"/>
    <col min="56" max="57" width="67.83203125" style="771" customWidth="1"/>
    <col min="58" max="58" width="67.83203125" style="770" customWidth="1"/>
    <col min="59" max="59" width="60" style="770" customWidth="1"/>
    <col min="60" max="254" width="9.33203125" style="762"/>
    <col min="255" max="255" width="193.33203125" style="762" customWidth="1"/>
    <col min="256" max="256" width="47.1640625" style="762" customWidth="1"/>
    <col min="257" max="257" width="47.33203125" style="762" customWidth="1"/>
    <col min="258" max="258" width="47.1640625" style="762" customWidth="1"/>
    <col min="259" max="259" width="43.6640625" style="762" customWidth="1"/>
    <col min="260" max="261" width="47.33203125" style="762" customWidth="1"/>
    <col min="262" max="262" width="47.1640625" style="762" customWidth="1"/>
    <col min="263" max="263" width="43.6640625" style="762" customWidth="1"/>
    <col min="264" max="265" width="47.33203125" style="762" customWidth="1"/>
    <col min="266" max="266" width="47.1640625" style="762" customWidth="1"/>
    <col min="267" max="267" width="43.6640625" style="762" customWidth="1"/>
    <col min="268" max="269" width="45" style="762" customWidth="1"/>
    <col min="270" max="270" width="44.83203125" style="762" customWidth="1"/>
    <col min="271" max="271" width="45" style="762" customWidth="1"/>
    <col min="272" max="273" width="47.33203125" style="762" customWidth="1"/>
    <col min="274" max="274" width="47.1640625" style="762" customWidth="1"/>
    <col min="275" max="275" width="43.6640625" style="762" customWidth="1"/>
    <col min="276" max="276" width="193.33203125" style="762" customWidth="1"/>
    <col min="277" max="279" width="47.33203125" style="762" customWidth="1"/>
    <col min="280" max="280" width="43.6640625" style="762" customWidth="1"/>
    <col min="281" max="283" width="47.33203125" style="762" customWidth="1"/>
    <col min="284" max="284" width="44" style="762" customWidth="1"/>
    <col min="285" max="287" width="47.33203125" style="762" customWidth="1"/>
    <col min="288" max="288" width="43.6640625" style="762" customWidth="1"/>
    <col min="289" max="291" width="47.33203125" style="762" customWidth="1"/>
    <col min="292" max="292" width="43.6640625" style="762" customWidth="1"/>
    <col min="293" max="295" width="47.33203125" style="762" customWidth="1"/>
    <col min="296" max="296" width="43.6640625" style="762" customWidth="1"/>
    <col min="297" max="297" width="193.33203125" style="762" customWidth="1"/>
    <col min="298" max="313" width="56" style="762" customWidth="1"/>
    <col min="314" max="314" width="59" style="762" customWidth="1"/>
    <col min="315" max="315" width="46" style="762" customWidth="1"/>
    <col min="316" max="510" width="9.33203125" style="762"/>
    <col min="511" max="511" width="193.33203125" style="762" customWidth="1"/>
    <col min="512" max="512" width="47.1640625" style="762" customWidth="1"/>
    <col min="513" max="513" width="47.33203125" style="762" customWidth="1"/>
    <col min="514" max="514" width="47.1640625" style="762" customWidth="1"/>
    <col min="515" max="515" width="43.6640625" style="762" customWidth="1"/>
    <col min="516" max="517" width="47.33203125" style="762" customWidth="1"/>
    <col min="518" max="518" width="47.1640625" style="762" customWidth="1"/>
    <col min="519" max="519" width="43.6640625" style="762" customWidth="1"/>
    <col min="520" max="521" width="47.33203125" style="762" customWidth="1"/>
    <col min="522" max="522" width="47.1640625" style="762" customWidth="1"/>
    <col min="523" max="523" width="43.6640625" style="762" customWidth="1"/>
    <col min="524" max="525" width="45" style="762" customWidth="1"/>
    <col min="526" max="526" width="44.83203125" style="762" customWidth="1"/>
    <col min="527" max="527" width="45" style="762" customWidth="1"/>
    <col min="528" max="529" width="47.33203125" style="762" customWidth="1"/>
    <col min="530" max="530" width="47.1640625" style="762" customWidth="1"/>
    <col min="531" max="531" width="43.6640625" style="762" customWidth="1"/>
    <col min="532" max="532" width="193.33203125" style="762" customWidth="1"/>
    <col min="533" max="535" width="47.33203125" style="762" customWidth="1"/>
    <col min="536" max="536" width="43.6640625" style="762" customWidth="1"/>
    <col min="537" max="539" width="47.33203125" style="762" customWidth="1"/>
    <col min="540" max="540" width="44" style="762" customWidth="1"/>
    <col min="541" max="543" width="47.33203125" style="762" customWidth="1"/>
    <col min="544" max="544" width="43.6640625" style="762" customWidth="1"/>
    <col min="545" max="547" width="47.33203125" style="762" customWidth="1"/>
    <col min="548" max="548" width="43.6640625" style="762" customWidth="1"/>
    <col min="549" max="551" width="47.33203125" style="762" customWidth="1"/>
    <col min="552" max="552" width="43.6640625" style="762" customWidth="1"/>
    <col min="553" max="553" width="193.33203125" style="762" customWidth="1"/>
    <col min="554" max="569" width="56" style="762" customWidth="1"/>
    <col min="570" max="570" width="59" style="762" customWidth="1"/>
    <col min="571" max="571" width="46" style="762" customWidth="1"/>
    <col min="572" max="766" width="9.33203125" style="762"/>
    <col min="767" max="767" width="193.33203125" style="762" customWidth="1"/>
    <col min="768" max="768" width="47.1640625" style="762" customWidth="1"/>
    <col min="769" max="769" width="47.33203125" style="762" customWidth="1"/>
    <col min="770" max="770" width="47.1640625" style="762" customWidth="1"/>
    <col min="771" max="771" width="43.6640625" style="762" customWidth="1"/>
    <col min="772" max="773" width="47.33203125" style="762" customWidth="1"/>
    <col min="774" max="774" width="47.1640625" style="762" customWidth="1"/>
    <col min="775" max="775" width="43.6640625" style="762" customWidth="1"/>
    <col min="776" max="777" width="47.33203125" style="762" customWidth="1"/>
    <col min="778" max="778" width="47.1640625" style="762" customWidth="1"/>
    <col min="779" max="779" width="43.6640625" style="762" customWidth="1"/>
    <col min="780" max="781" width="45" style="762" customWidth="1"/>
    <col min="782" max="782" width="44.83203125" style="762" customWidth="1"/>
    <col min="783" max="783" width="45" style="762" customWidth="1"/>
    <col min="784" max="785" width="47.33203125" style="762" customWidth="1"/>
    <col min="786" max="786" width="47.1640625" style="762" customWidth="1"/>
    <col min="787" max="787" width="43.6640625" style="762" customWidth="1"/>
    <col min="788" max="788" width="193.33203125" style="762" customWidth="1"/>
    <col min="789" max="791" width="47.33203125" style="762" customWidth="1"/>
    <col min="792" max="792" width="43.6640625" style="762" customWidth="1"/>
    <col min="793" max="795" width="47.33203125" style="762" customWidth="1"/>
    <col min="796" max="796" width="44" style="762" customWidth="1"/>
    <col min="797" max="799" width="47.33203125" style="762" customWidth="1"/>
    <col min="800" max="800" width="43.6640625" style="762" customWidth="1"/>
    <col min="801" max="803" width="47.33203125" style="762" customWidth="1"/>
    <col min="804" max="804" width="43.6640625" style="762" customWidth="1"/>
    <col min="805" max="807" width="47.33203125" style="762" customWidth="1"/>
    <col min="808" max="808" width="43.6640625" style="762" customWidth="1"/>
    <col min="809" max="809" width="193.33203125" style="762" customWidth="1"/>
    <col min="810" max="825" width="56" style="762" customWidth="1"/>
    <col min="826" max="826" width="59" style="762" customWidth="1"/>
    <col min="827" max="827" width="46" style="762" customWidth="1"/>
    <col min="828" max="1022" width="9.33203125" style="762"/>
    <col min="1023" max="1023" width="193.33203125" style="762" customWidth="1"/>
    <col min="1024" max="1024" width="47.1640625" style="762" customWidth="1"/>
    <col min="1025" max="1025" width="47.33203125" style="762" customWidth="1"/>
    <col min="1026" max="1026" width="47.1640625" style="762" customWidth="1"/>
    <col min="1027" max="1027" width="43.6640625" style="762" customWidth="1"/>
    <col min="1028" max="1029" width="47.33203125" style="762" customWidth="1"/>
    <col min="1030" max="1030" width="47.1640625" style="762" customWidth="1"/>
    <col min="1031" max="1031" width="43.6640625" style="762" customWidth="1"/>
    <col min="1032" max="1033" width="47.33203125" style="762" customWidth="1"/>
    <col min="1034" max="1034" width="47.1640625" style="762" customWidth="1"/>
    <col min="1035" max="1035" width="43.6640625" style="762" customWidth="1"/>
    <col min="1036" max="1037" width="45" style="762" customWidth="1"/>
    <col min="1038" max="1038" width="44.83203125" style="762" customWidth="1"/>
    <col min="1039" max="1039" width="45" style="762" customWidth="1"/>
    <col min="1040" max="1041" width="47.33203125" style="762" customWidth="1"/>
    <col min="1042" max="1042" width="47.1640625" style="762" customWidth="1"/>
    <col min="1043" max="1043" width="43.6640625" style="762" customWidth="1"/>
    <col min="1044" max="1044" width="193.33203125" style="762" customWidth="1"/>
    <col min="1045" max="1047" width="47.33203125" style="762" customWidth="1"/>
    <col min="1048" max="1048" width="43.6640625" style="762" customWidth="1"/>
    <col min="1049" max="1051" width="47.33203125" style="762" customWidth="1"/>
    <col min="1052" max="1052" width="44" style="762" customWidth="1"/>
    <col min="1053" max="1055" width="47.33203125" style="762" customWidth="1"/>
    <col min="1056" max="1056" width="43.6640625" style="762" customWidth="1"/>
    <col min="1057" max="1059" width="47.33203125" style="762" customWidth="1"/>
    <col min="1060" max="1060" width="43.6640625" style="762" customWidth="1"/>
    <col min="1061" max="1063" width="47.33203125" style="762" customWidth="1"/>
    <col min="1064" max="1064" width="43.6640625" style="762" customWidth="1"/>
    <col min="1065" max="1065" width="193.33203125" style="762" customWidth="1"/>
    <col min="1066" max="1081" width="56" style="762" customWidth="1"/>
    <col min="1082" max="1082" width="59" style="762" customWidth="1"/>
    <col min="1083" max="1083" width="46" style="762" customWidth="1"/>
    <col min="1084" max="1278" width="9.33203125" style="762"/>
    <col min="1279" max="1279" width="193.33203125" style="762" customWidth="1"/>
    <col min="1280" max="1280" width="47.1640625" style="762" customWidth="1"/>
    <col min="1281" max="1281" width="47.33203125" style="762" customWidth="1"/>
    <col min="1282" max="1282" width="47.1640625" style="762" customWidth="1"/>
    <col min="1283" max="1283" width="43.6640625" style="762" customWidth="1"/>
    <col min="1284" max="1285" width="47.33203125" style="762" customWidth="1"/>
    <col min="1286" max="1286" width="47.1640625" style="762" customWidth="1"/>
    <col min="1287" max="1287" width="43.6640625" style="762" customWidth="1"/>
    <col min="1288" max="1289" width="47.33203125" style="762" customWidth="1"/>
    <col min="1290" max="1290" width="47.1640625" style="762" customWidth="1"/>
    <col min="1291" max="1291" width="43.6640625" style="762" customWidth="1"/>
    <col min="1292" max="1293" width="45" style="762" customWidth="1"/>
    <col min="1294" max="1294" width="44.83203125" style="762" customWidth="1"/>
    <col min="1295" max="1295" width="45" style="762" customWidth="1"/>
    <col min="1296" max="1297" width="47.33203125" style="762" customWidth="1"/>
    <col min="1298" max="1298" width="47.1640625" style="762" customWidth="1"/>
    <col min="1299" max="1299" width="43.6640625" style="762" customWidth="1"/>
    <col min="1300" max="1300" width="193.33203125" style="762" customWidth="1"/>
    <col min="1301" max="1303" width="47.33203125" style="762" customWidth="1"/>
    <col min="1304" max="1304" width="43.6640625" style="762" customWidth="1"/>
    <col min="1305" max="1307" width="47.33203125" style="762" customWidth="1"/>
    <col min="1308" max="1308" width="44" style="762" customWidth="1"/>
    <col min="1309" max="1311" width="47.33203125" style="762" customWidth="1"/>
    <col min="1312" max="1312" width="43.6640625" style="762" customWidth="1"/>
    <col min="1313" max="1315" width="47.33203125" style="762" customWidth="1"/>
    <col min="1316" max="1316" width="43.6640625" style="762" customWidth="1"/>
    <col min="1317" max="1319" width="47.33203125" style="762" customWidth="1"/>
    <col min="1320" max="1320" width="43.6640625" style="762" customWidth="1"/>
    <col min="1321" max="1321" width="193.33203125" style="762" customWidth="1"/>
    <col min="1322" max="1337" width="56" style="762" customWidth="1"/>
    <col min="1338" max="1338" width="59" style="762" customWidth="1"/>
    <col min="1339" max="1339" width="46" style="762" customWidth="1"/>
    <col min="1340" max="1534" width="9.33203125" style="762"/>
    <col min="1535" max="1535" width="193.33203125" style="762" customWidth="1"/>
    <col min="1536" max="1536" width="47.1640625" style="762" customWidth="1"/>
    <col min="1537" max="1537" width="47.33203125" style="762" customWidth="1"/>
    <col min="1538" max="1538" width="47.1640625" style="762" customWidth="1"/>
    <col min="1539" max="1539" width="43.6640625" style="762" customWidth="1"/>
    <col min="1540" max="1541" width="47.33203125" style="762" customWidth="1"/>
    <col min="1542" max="1542" width="47.1640625" style="762" customWidth="1"/>
    <col min="1543" max="1543" width="43.6640625" style="762" customWidth="1"/>
    <col min="1544" max="1545" width="47.33203125" style="762" customWidth="1"/>
    <col min="1546" max="1546" width="47.1640625" style="762" customWidth="1"/>
    <col min="1547" max="1547" width="43.6640625" style="762" customWidth="1"/>
    <col min="1548" max="1549" width="45" style="762" customWidth="1"/>
    <col min="1550" max="1550" width="44.83203125" style="762" customWidth="1"/>
    <col min="1551" max="1551" width="45" style="762" customWidth="1"/>
    <col min="1552" max="1553" width="47.33203125" style="762" customWidth="1"/>
    <col min="1554" max="1554" width="47.1640625" style="762" customWidth="1"/>
    <col min="1555" max="1555" width="43.6640625" style="762" customWidth="1"/>
    <col min="1556" max="1556" width="193.33203125" style="762" customWidth="1"/>
    <col min="1557" max="1559" width="47.33203125" style="762" customWidth="1"/>
    <col min="1560" max="1560" width="43.6640625" style="762" customWidth="1"/>
    <col min="1561" max="1563" width="47.33203125" style="762" customWidth="1"/>
    <col min="1564" max="1564" width="44" style="762" customWidth="1"/>
    <col min="1565" max="1567" width="47.33203125" style="762" customWidth="1"/>
    <col min="1568" max="1568" width="43.6640625" style="762" customWidth="1"/>
    <col min="1569" max="1571" width="47.33203125" style="762" customWidth="1"/>
    <col min="1572" max="1572" width="43.6640625" style="762" customWidth="1"/>
    <col min="1573" max="1575" width="47.33203125" style="762" customWidth="1"/>
    <col min="1576" max="1576" width="43.6640625" style="762" customWidth="1"/>
    <col min="1577" max="1577" width="193.33203125" style="762" customWidth="1"/>
    <col min="1578" max="1593" width="56" style="762" customWidth="1"/>
    <col min="1594" max="1594" width="59" style="762" customWidth="1"/>
    <col min="1595" max="1595" width="46" style="762" customWidth="1"/>
    <col min="1596" max="1790" width="9.33203125" style="762"/>
    <col min="1791" max="1791" width="193.33203125" style="762" customWidth="1"/>
    <col min="1792" max="1792" width="47.1640625" style="762" customWidth="1"/>
    <col min="1793" max="1793" width="47.33203125" style="762" customWidth="1"/>
    <col min="1794" max="1794" width="47.1640625" style="762" customWidth="1"/>
    <col min="1795" max="1795" width="43.6640625" style="762" customWidth="1"/>
    <col min="1796" max="1797" width="47.33203125" style="762" customWidth="1"/>
    <col min="1798" max="1798" width="47.1640625" style="762" customWidth="1"/>
    <col min="1799" max="1799" width="43.6640625" style="762" customWidth="1"/>
    <col min="1800" max="1801" width="47.33203125" style="762" customWidth="1"/>
    <col min="1802" max="1802" width="47.1640625" style="762" customWidth="1"/>
    <col min="1803" max="1803" width="43.6640625" style="762" customWidth="1"/>
    <col min="1804" max="1805" width="45" style="762" customWidth="1"/>
    <col min="1806" max="1806" width="44.83203125" style="762" customWidth="1"/>
    <col min="1807" max="1807" width="45" style="762" customWidth="1"/>
    <col min="1808" max="1809" width="47.33203125" style="762" customWidth="1"/>
    <col min="1810" max="1810" width="47.1640625" style="762" customWidth="1"/>
    <col min="1811" max="1811" width="43.6640625" style="762" customWidth="1"/>
    <col min="1812" max="1812" width="193.33203125" style="762" customWidth="1"/>
    <col min="1813" max="1815" width="47.33203125" style="762" customWidth="1"/>
    <col min="1816" max="1816" width="43.6640625" style="762" customWidth="1"/>
    <col min="1817" max="1819" width="47.33203125" style="762" customWidth="1"/>
    <col min="1820" max="1820" width="44" style="762" customWidth="1"/>
    <col min="1821" max="1823" width="47.33203125" style="762" customWidth="1"/>
    <col min="1824" max="1824" width="43.6640625" style="762" customWidth="1"/>
    <col min="1825" max="1827" width="47.33203125" style="762" customWidth="1"/>
    <col min="1828" max="1828" width="43.6640625" style="762" customWidth="1"/>
    <col min="1829" max="1831" width="47.33203125" style="762" customWidth="1"/>
    <col min="1832" max="1832" width="43.6640625" style="762" customWidth="1"/>
    <col min="1833" max="1833" width="193.33203125" style="762" customWidth="1"/>
    <col min="1834" max="1849" width="56" style="762" customWidth="1"/>
    <col min="1850" max="1850" width="59" style="762" customWidth="1"/>
    <col min="1851" max="1851" width="46" style="762" customWidth="1"/>
    <col min="1852" max="2046" width="9.33203125" style="762"/>
    <col min="2047" max="2047" width="193.33203125" style="762" customWidth="1"/>
    <col min="2048" max="2048" width="47.1640625" style="762" customWidth="1"/>
    <col min="2049" max="2049" width="47.33203125" style="762" customWidth="1"/>
    <col min="2050" max="2050" width="47.1640625" style="762" customWidth="1"/>
    <col min="2051" max="2051" width="43.6640625" style="762" customWidth="1"/>
    <col min="2052" max="2053" width="47.33203125" style="762" customWidth="1"/>
    <col min="2054" max="2054" width="47.1640625" style="762" customWidth="1"/>
    <col min="2055" max="2055" width="43.6640625" style="762" customWidth="1"/>
    <col min="2056" max="2057" width="47.33203125" style="762" customWidth="1"/>
    <col min="2058" max="2058" width="47.1640625" style="762" customWidth="1"/>
    <col min="2059" max="2059" width="43.6640625" style="762" customWidth="1"/>
    <col min="2060" max="2061" width="45" style="762" customWidth="1"/>
    <col min="2062" max="2062" width="44.83203125" style="762" customWidth="1"/>
    <col min="2063" max="2063" width="45" style="762" customWidth="1"/>
    <col min="2064" max="2065" width="47.33203125" style="762" customWidth="1"/>
    <col min="2066" max="2066" width="47.1640625" style="762" customWidth="1"/>
    <col min="2067" max="2067" width="43.6640625" style="762" customWidth="1"/>
    <col min="2068" max="2068" width="193.33203125" style="762" customWidth="1"/>
    <col min="2069" max="2071" width="47.33203125" style="762" customWidth="1"/>
    <col min="2072" max="2072" width="43.6640625" style="762" customWidth="1"/>
    <col min="2073" max="2075" width="47.33203125" style="762" customWidth="1"/>
    <col min="2076" max="2076" width="44" style="762" customWidth="1"/>
    <col min="2077" max="2079" width="47.33203125" style="762" customWidth="1"/>
    <col min="2080" max="2080" width="43.6640625" style="762" customWidth="1"/>
    <col min="2081" max="2083" width="47.33203125" style="762" customWidth="1"/>
    <col min="2084" max="2084" width="43.6640625" style="762" customWidth="1"/>
    <col min="2085" max="2087" width="47.33203125" style="762" customWidth="1"/>
    <col min="2088" max="2088" width="43.6640625" style="762" customWidth="1"/>
    <col min="2089" max="2089" width="193.33203125" style="762" customWidth="1"/>
    <col min="2090" max="2105" width="56" style="762" customWidth="1"/>
    <col min="2106" max="2106" width="59" style="762" customWidth="1"/>
    <col min="2107" max="2107" width="46" style="762" customWidth="1"/>
    <col min="2108" max="2302" width="9.33203125" style="762"/>
    <col min="2303" max="2303" width="193.33203125" style="762" customWidth="1"/>
    <col min="2304" max="2304" width="47.1640625" style="762" customWidth="1"/>
    <col min="2305" max="2305" width="47.33203125" style="762" customWidth="1"/>
    <col min="2306" max="2306" width="47.1640625" style="762" customWidth="1"/>
    <col min="2307" max="2307" width="43.6640625" style="762" customWidth="1"/>
    <col min="2308" max="2309" width="47.33203125" style="762" customWidth="1"/>
    <col min="2310" max="2310" width="47.1640625" style="762" customWidth="1"/>
    <col min="2311" max="2311" width="43.6640625" style="762" customWidth="1"/>
    <col min="2312" max="2313" width="47.33203125" style="762" customWidth="1"/>
    <col min="2314" max="2314" width="47.1640625" style="762" customWidth="1"/>
    <col min="2315" max="2315" width="43.6640625" style="762" customWidth="1"/>
    <col min="2316" max="2317" width="45" style="762" customWidth="1"/>
    <col min="2318" max="2318" width="44.83203125" style="762" customWidth="1"/>
    <col min="2319" max="2319" width="45" style="762" customWidth="1"/>
    <col min="2320" max="2321" width="47.33203125" style="762" customWidth="1"/>
    <col min="2322" max="2322" width="47.1640625" style="762" customWidth="1"/>
    <col min="2323" max="2323" width="43.6640625" style="762" customWidth="1"/>
    <col min="2324" max="2324" width="193.33203125" style="762" customWidth="1"/>
    <col min="2325" max="2327" width="47.33203125" style="762" customWidth="1"/>
    <col min="2328" max="2328" width="43.6640625" style="762" customWidth="1"/>
    <col min="2329" max="2331" width="47.33203125" style="762" customWidth="1"/>
    <col min="2332" max="2332" width="44" style="762" customWidth="1"/>
    <col min="2333" max="2335" width="47.33203125" style="762" customWidth="1"/>
    <col min="2336" max="2336" width="43.6640625" style="762" customWidth="1"/>
    <col min="2337" max="2339" width="47.33203125" style="762" customWidth="1"/>
    <col min="2340" max="2340" width="43.6640625" style="762" customWidth="1"/>
    <col min="2341" max="2343" width="47.33203125" style="762" customWidth="1"/>
    <col min="2344" max="2344" width="43.6640625" style="762" customWidth="1"/>
    <col min="2345" max="2345" width="193.33203125" style="762" customWidth="1"/>
    <col min="2346" max="2361" width="56" style="762" customWidth="1"/>
    <col min="2362" max="2362" width="59" style="762" customWidth="1"/>
    <col min="2363" max="2363" width="46" style="762" customWidth="1"/>
    <col min="2364" max="2558" width="9.33203125" style="762"/>
    <col min="2559" max="2559" width="193.33203125" style="762" customWidth="1"/>
    <col min="2560" max="2560" width="47.1640625" style="762" customWidth="1"/>
    <col min="2561" max="2561" width="47.33203125" style="762" customWidth="1"/>
    <col min="2562" max="2562" width="47.1640625" style="762" customWidth="1"/>
    <col min="2563" max="2563" width="43.6640625" style="762" customWidth="1"/>
    <col min="2564" max="2565" width="47.33203125" style="762" customWidth="1"/>
    <col min="2566" max="2566" width="47.1640625" style="762" customWidth="1"/>
    <col min="2567" max="2567" width="43.6640625" style="762" customWidth="1"/>
    <col min="2568" max="2569" width="47.33203125" style="762" customWidth="1"/>
    <col min="2570" max="2570" width="47.1640625" style="762" customWidth="1"/>
    <col min="2571" max="2571" width="43.6640625" style="762" customWidth="1"/>
    <col min="2572" max="2573" width="45" style="762" customWidth="1"/>
    <col min="2574" max="2574" width="44.83203125" style="762" customWidth="1"/>
    <col min="2575" max="2575" width="45" style="762" customWidth="1"/>
    <col min="2576" max="2577" width="47.33203125" style="762" customWidth="1"/>
    <col min="2578" max="2578" width="47.1640625" style="762" customWidth="1"/>
    <col min="2579" max="2579" width="43.6640625" style="762" customWidth="1"/>
    <col min="2580" max="2580" width="193.33203125" style="762" customWidth="1"/>
    <col min="2581" max="2583" width="47.33203125" style="762" customWidth="1"/>
    <col min="2584" max="2584" width="43.6640625" style="762" customWidth="1"/>
    <col min="2585" max="2587" width="47.33203125" style="762" customWidth="1"/>
    <col min="2588" max="2588" width="44" style="762" customWidth="1"/>
    <col min="2589" max="2591" width="47.33203125" style="762" customWidth="1"/>
    <col min="2592" max="2592" width="43.6640625" style="762" customWidth="1"/>
    <col min="2593" max="2595" width="47.33203125" style="762" customWidth="1"/>
    <col min="2596" max="2596" width="43.6640625" style="762" customWidth="1"/>
    <col min="2597" max="2599" width="47.33203125" style="762" customWidth="1"/>
    <col min="2600" max="2600" width="43.6640625" style="762" customWidth="1"/>
    <col min="2601" max="2601" width="193.33203125" style="762" customWidth="1"/>
    <col min="2602" max="2617" width="56" style="762" customWidth="1"/>
    <col min="2618" max="2618" width="59" style="762" customWidth="1"/>
    <col min="2619" max="2619" width="46" style="762" customWidth="1"/>
    <col min="2620" max="2814" width="9.33203125" style="762"/>
    <col min="2815" max="2815" width="193.33203125" style="762" customWidth="1"/>
    <col min="2816" max="2816" width="47.1640625" style="762" customWidth="1"/>
    <col min="2817" max="2817" width="47.33203125" style="762" customWidth="1"/>
    <col min="2818" max="2818" width="47.1640625" style="762" customWidth="1"/>
    <col min="2819" max="2819" width="43.6640625" style="762" customWidth="1"/>
    <col min="2820" max="2821" width="47.33203125" style="762" customWidth="1"/>
    <col min="2822" max="2822" width="47.1640625" style="762" customWidth="1"/>
    <col min="2823" max="2823" width="43.6640625" style="762" customWidth="1"/>
    <col min="2824" max="2825" width="47.33203125" style="762" customWidth="1"/>
    <col min="2826" max="2826" width="47.1640625" style="762" customWidth="1"/>
    <col min="2827" max="2827" width="43.6640625" style="762" customWidth="1"/>
    <col min="2828" max="2829" width="45" style="762" customWidth="1"/>
    <col min="2830" max="2830" width="44.83203125" style="762" customWidth="1"/>
    <col min="2831" max="2831" width="45" style="762" customWidth="1"/>
    <col min="2832" max="2833" width="47.33203125" style="762" customWidth="1"/>
    <col min="2834" max="2834" width="47.1640625" style="762" customWidth="1"/>
    <col min="2835" max="2835" width="43.6640625" style="762" customWidth="1"/>
    <col min="2836" max="2836" width="193.33203125" style="762" customWidth="1"/>
    <col min="2837" max="2839" width="47.33203125" style="762" customWidth="1"/>
    <col min="2840" max="2840" width="43.6640625" style="762" customWidth="1"/>
    <col min="2841" max="2843" width="47.33203125" style="762" customWidth="1"/>
    <col min="2844" max="2844" width="44" style="762" customWidth="1"/>
    <col min="2845" max="2847" width="47.33203125" style="762" customWidth="1"/>
    <col min="2848" max="2848" width="43.6640625" style="762" customWidth="1"/>
    <col min="2849" max="2851" width="47.33203125" style="762" customWidth="1"/>
    <col min="2852" max="2852" width="43.6640625" style="762" customWidth="1"/>
    <col min="2853" max="2855" width="47.33203125" style="762" customWidth="1"/>
    <col min="2856" max="2856" width="43.6640625" style="762" customWidth="1"/>
    <col min="2857" max="2857" width="193.33203125" style="762" customWidth="1"/>
    <col min="2858" max="2873" width="56" style="762" customWidth="1"/>
    <col min="2874" max="2874" width="59" style="762" customWidth="1"/>
    <col min="2875" max="2875" width="46" style="762" customWidth="1"/>
    <col min="2876" max="3070" width="9.33203125" style="762"/>
    <col min="3071" max="3071" width="193.33203125" style="762" customWidth="1"/>
    <col min="3072" max="3072" width="47.1640625" style="762" customWidth="1"/>
    <col min="3073" max="3073" width="47.33203125" style="762" customWidth="1"/>
    <col min="3074" max="3074" width="47.1640625" style="762" customWidth="1"/>
    <col min="3075" max="3075" width="43.6640625" style="762" customWidth="1"/>
    <col min="3076" max="3077" width="47.33203125" style="762" customWidth="1"/>
    <col min="3078" max="3078" width="47.1640625" style="762" customWidth="1"/>
    <col min="3079" max="3079" width="43.6640625" style="762" customWidth="1"/>
    <col min="3080" max="3081" width="47.33203125" style="762" customWidth="1"/>
    <col min="3082" max="3082" width="47.1640625" style="762" customWidth="1"/>
    <col min="3083" max="3083" width="43.6640625" style="762" customWidth="1"/>
    <col min="3084" max="3085" width="45" style="762" customWidth="1"/>
    <col min="3086" max="3086" width="44.83203125" style="762" customWidth="1"/>
    <col min="3087" max="3087" width="45" style="762" customWidth="1"/>
    <col min="3088" max="3089" width="47.33203125" style="762" customWidth="1"/>
    <col min="3090" max="3090" width="47.1640625" style="762" customWidth="1"/>
    <col min="3091" max="3091" width="43.6640625" style="762" customWidth="1"/>
    <col min="3092" max="3092" width="193.33203125" style="762" customWidth="1"/>
    <col min="3093" max="3095" width="47.33203125" style="762" customWidth="1"/>
    <col min="3096" max="3096" width="43.6640625" style="762" customWidth="1"/>
    <col min="3097" max="3099" width="47.33203125" style="762" customWidth="1"/>
    <col min="3100" max="3100" width="44" style="762" customWidth="1"/>
    <col min="3101" max="3103" width="47.33203125" style="762" customWidth="1"/>
    <col min="3104" max="3104" width="43.6640625" style="762" customWidth="1"/>
    <col min="3105" max="3107" width="47.33203125" style="762" customWidth="1"/>
    <col min="3108" max="3108" width="43.6640625" style="762" customWidth="1"/>
    <col min="3109" max="3111" width="47.33203125" style="762" customWidth="1"/>
    <col min="3112" max="3112" width="43.6640625" style="762" customWidth="1"/>
    <col min="3113" max="3113" width="193.33203125" style="762" customWidth="1"/>
    <col min="3114" max="3129" width="56" style="762" customWidth="1"/>
    <col min="3130" max="3130" width="59" style="762" customWidth="1"/>
    <col min="3131" max="3131" width="46" style="762" customWidth="1"/>
    <col min="3132" max="3326" width="9.33203125" style="762"/>
    <col min="3327" max="3327" width="193.33203125" style="762" customWidth="1"/>
    <col min="3328" max="3328" width="47.1640625" style="762" customWidth="1"/>
    <col min="3329" max="3329" width="47.33203125" style="762" customWidth="1"/>
    <col min="3330" max="3330" width="47.1640625" style="762" customWidth="1"/>
    <col min="3331" max="3331" width="43.6640625" style="762" customWidth="1"/>
    <col min="3332" max="3333" width="47.33203125" style="762" customWidth="1"/>
    <col min="3334" max="3334" width="47.1640625" style="762" customWidth="1"/>
    <col min="3335" max="3335" width="43.6640625" style="762" customWidth="1"/>
    <col min="3336" max="3337" width="47.33203125" style="762" customWidth="1"/>
    <col min="3338" max="3338" width="47.1640625" style="762" customWidth="1"/>
    <col min="3339" max="3339" width="43.6640625" style="762" customWidth="1"/>
    <col min="3340" max="3341" width="45" style="762" customWidth="1"/>
    <col min="3342" max="3342" width="44.83203125" style="762" customWidth="1"/>
    <col min="3343" max="3343" width="45" style="762" customWidth="1"/>
    <col min="3344" max="3345" width="47.33203125" style="762" customWidth="1"/>
    <col min="3346" max="3346" width="47.1640625" style="762" customWidth="1"/>
    <col min="3347" max="3347" width="43.6640625" style="762" customWidth="1"/>
    <col min="3348" max="3348" width="193.33203125" style="762" customWidth="1"/>
    <col min="3349" max="3351" width="47.33203125" style="762" customWidth="1"/>
    <col min="3352" max="3352" width="43.6640625" style="762" customWidth="1"/>
    <col min="3353" max="3355" width="47.33203125" style="762" customWidth="1"/>
    <col min="3356" max="3356" width="44" style="762" customWidth="1"/>
    <col min="3357" max="3359" width="47.33203125" style="762" customWidth="1"/>
    <col min="3360" max="3360" width="43.6640625" style="762" customWidth="1"/>
    <col min="3361" max="3363" width="47.33203125" style="762" customWidth="1"/>
    <col min="3364" max="3364" width="43.6640625" style="762" customWidth="1"/>
    <col min="3365" max="3367" width="47.33203125" style="762" customWidth="1"/>
    <col min="3368" max="3368" width="43.6640625" style="762" customWidth="1"/>
    <col min="3369" max="3369" width="193.33203125" style="762" customWidth="1"/>
    <col min="3370" max="3385" width="56" style="762" customWidth="1"/>
    <col min="3386" max="3386" width="59" style="762" customWidth="1"/>
    <col min="3387" max="3387" width="46" style="762" customWidth="1"/>
    <col min="3388" max="3582" width="9.33203125" style="762"/>
    <col min="3583" max="3583" width="193.33203125" style="762" customWidth="1"/>
    <col min="3584" max="3584" width="47.1640625" style="762" customWidth="1"/>
    <col min="3585" max="3585" width="47.33203125" style="762" customWidth="1"/>
    <col min="3586" max="3586" width="47.1640625" style="762" customWidth="1"/>
    <col min="3587" max="3587" width="43.6640625" style="762" customWidth="1"/>
    <col min="3588" max="3589" width="47.33203125" style="762" customWidth="1"/>
    <col min="3590" max="3590" width="47.1640625" style="762" customWidth="1"/>
    <col min="3591" max="3591" width="43.6640625" style="762" customWidth="1"/>
    <col min="3592" max="3593" width="47.33203125" style="762" customWidth="1"/>
    <col min="3594" max="3594" width="47.1640625" style="762" customWidth="1"/>
    <col min="3595" max="3595" width="43.6640625" style="762" customWidth="1"/>
    <col min="3596" max="3597" width="45" style="762" customWidth="1"/>
    <col min="3598" max="3598" width="44.83203125" style="762" customWidth="1"/>
    <col min="3599" max="3599" width="45" style="762" customWidth="1"/>
    <col min="3600" max="3601" width="47.33203125" style="762" customWidth="1"/>
    <col min="3602" max="3602" width="47.1640625" style="762" customWidth="1"/>
    <col min="3603" max="3603" width="43.6640625" style="762" customWidth="1"/>
    <col min="3604" max="3604" width="193.33203125" style="762" customWidth="1"/>
    <col min="3605" max="3607" width="47.33203125" style="762" customWidth="1"/>
    <col min="3608" max="3608" width="43.6640625" style="762" customWidth="1"/>
    <col min="3609" max="3611" width="47.33203125" style="762" customWidth="1"/>
    <col min="3612" max="3612" width="44" style="762" customWidth="1"/>
    <col min="3613" max="3615" width="47.33203125" style="762" customWidth="1"/>
    <col min="3616" max="3616" width="43.6640625" style="762" customWidth="1"/>
    <col min="3617" max="3619" width="47.33203125" style="762" customWidth="1"/>
    <col min="3620" max="3620" width="43.6640625" style="762" customWidth="1"/>
    <col min="3621" max="3623" width="47.33203125" style="762" customWidth="1"/>
    <col min="3624" max="3624" width="43.6640625" style="762" customWidth="1"/>
    <col min="3625" max="3625" width="193.33203125" style="762" customWidth="1"/>
    <col min="3626" max="3641" width="56" style="762" customWidth="1"/>
    <col min="3642" max="3642" width="59" style="762" customWidth="1"/>
    <col min="3643" max="3643" width="46" style="762" customWidth="1"/>
    <col min="3644" max="3838" width="9.33203125" style="762"/>
    <col min="3839" max="3839" width="193.33203125" style="762" customWidth="1"/>
    <col min="3840" max="3840" width="47.1640625" style="762" customWidth="1"/>
    <col min="3841" max="3841" width="47.33203125" style="762" customWidth="1"/>
    <col min="3842" max="3842" width="47.1640625" style="762" customWidth="1"/>
    <col min="3843" max="3843" width="43.6640625" style="762" customWidth="1"/>
    <col min="3844" max="3845" width="47.33203125" style="762" customWidth="1"/>
    <col min="3846" max="3846" width="47.1640625" style="762" customWidth="1"/>
    <col min="3847" max="3847" width="43.6640625" style="762" customWidth="1"/>
    <col min="3848" max="3849" width="47.33203125" style="762" customWidth="1"/>
    <col min="3850" max="3850" width="47.1640625" style="762" customWidth="1"/>
    <col min="3851" max="3851" width="43.6640625" style="762" customWidth="1"/>
    <col min="3852" max="3853" width="45" style="762" customWidth="1"/>
    <col min="3854" max="3854" width="44.83203125" style="762" customWidth="1"/>
    <col min="3855" max="3855" width="45" style="762" customWidth="1"/>
    <col min="3856" max="3857" width="47.33203125" style="762" customWidth="1"/>
    <col min="3858" max="3858" width="47.1640625" style="762" customWidth="1"/>
    <col min="3859" max="3859" width="43.6640625" style="762" customWidth="1"/>
    <col min="3860" max="3860" width="193.33203125" style="762" customWidth="1"/>
    <col min="3861" max="3863" width="47.33203125" style="762" customWidth="1"/>
    <col min="3864" max="3864" width="43.6640625" style="762" customWidth="1"/>
    <col min="3865" max="3867" width="47.33203125" style="762" customWidth="1"/>
    <col min="3868" max="3868" width="44" style="762" customWidth="1"/>
    <col min="3869" max="3871" width="47.33203125" style="762" customWidth="1"/>
    <col min="3872" max="3872" width="43.6640625" style="762" customWidth="1"/>
    <col min="3873" max="3875" width="47.33203125" style="762" customWidth="1"/>
    <col min="3876" max="3876" width="43.6640625" style="762" customWidth="1"/>
    <col min="3877" max="3879" width="47.33203125" style="762" customWidth="1"/>
    <col min="3880" max="3880" width="43.6640625" style="762" customWidth="1"/>
    <col min="3881" max="3881" width="193.33203125" style="762" customWidth="1"/>
    <col min="3882" max="3897" width="56" style="762" customWidth="1"/>
    <col min="3898" max="3898" width="59" style="762" customWidth="1"/>
    <col min="3899" max="3899" width="46" style="762" customWidth="1"/>
    <col min="3900" max="4094" width="9.33203125" style="762"/>
    <col min="4095" max="4095" width="193.33203125" style="762" customWidth="1"/>
    <col min="4096" max="4096" width="47.1640625" style="762" customWidth="1"/>
    <col min="4097" max="4097" width="47.33203125" style="762" customWidth="1"/>
    <col min="4098" max="4098" width="47.1640625" style="762" customWidth="1"/>
    <col min="4099" max="4099" width="43.6640625" style="762" customWidth="1"/>
    <col min="4100" max="4101" width="47.33203125" style="762" customWidth="1"/>
    <col min="4102" max="4102" width="47.1640625" style="762" customWidth="1"/>
    <col min="4103" max="4103" width="43.6640625" style="762" customWidth="1"/>
    <col min="4104" max="4105" width="47.33203125" style="762" customWidth="1"/>
    <col min="4106" max="4106" width="47.1640625" style="762" customWidth="1"/>
    <col min="4107" max="4107" width="43.6640625" style="762" customWidth="1"/>
    <col min="4108" max="4109" width="45" style="762" customWidth="1"/>
    <col min="4110" max="4110" width="44.83203125" style="762" customWidth="1"/>
    <col min="4111" max="4111" width="45" style="762" customWidth="1"/>
    <col min="4112" max="4113" width="47.33203125" style="762" customWidth="1"/>
    <col min="4114" max="4114" width="47.1640625" style="762" customWidth="1"/>
    <col min="4115" max="4115" width="43.6640625" style="762" customWidth="1"/>
    <col min="4116" max="4116" width="193.33203125" style="762" customWidth="1"/>
    <col min="4117" max="4119" width="47.33203125" style="762" customWidth="1"/>
    <col min="4120" max="4120" width="43.6640625" style="762" customWidth="1"/>
    <col min="4121" max="4123" width="47.33203125" style="762" customWidth="1"/>
    <col min="4124" max="4124" width="44" style="762" customWidth="1"/>
    <col min="4125" max="4127" width="47.33203125" style="762" customWidth="1"/>
    <col min="4128" max="4128" width="43.6640625" style="762" customWidth="1"/>
    <col min="4129" max="4131" width="47.33203125" style="762" customWidth="1"/>
    <col min="4132" max="4132" width="43.6640625" style="762" customWidth="1"/>
    <col min="4133" max="4135" width="47.33203125" style="762" customWidth="1"/>
    <col min="4136" max="4136" width="43.6640625" style="762" customWidth="1"/>
    <col min="4137" max="4137" width="193.33203125" style="762" customWidth="1"/>
    <col min="4138" max="4153" width="56" style="762" customWidth="1"/>
    <col min="4154" max="4154" width="59" style="762" customWidth="1"/>
    <col min="4155" max="4155" width="46" style="762" customWidth="1"/>
    <col min="4156" max="4350" width="9.33203125" style="762"/>
    <col min="4351" max="4351" width="193.33203125" style="762" customWidth="1"/>
    <col min="4352" max="4352" width="47.1640625" style="762" customWidth="1"/>
    <col min="4353" max="4353" width="47.33203125" style="762" customWidth="1"/>
    <col min="4354" max="4354" width="47.1640625" style="762" customWidth="1"/>
    <col min="4355" max="4355" width="43.6640625" style="762" customWidth="1"/>
    <col min="4356" max="4357" width="47.33203125" style="762" customWidth="1"/>
    <col min="4358" max="4358" width="47.1640625" style="762" customWidth="1"/>
    <col min="4359" max="4359" width="43.6640625" style="762" customWidth="1"/>
    <col min="4360" max="4361" width="47.33203125" style="762" customWidth="1"/>
    <col min="4362" max="4362" width="47.1640625" style="762" customWidth="1"/>
    <col min="4363" max="4363" width="43.6640625" style="762" customWidth="1"/>
    <col min="4364" max="4365" width="45" style="762" customWidth="1"/>
    <col min="4366" max="4366" width="44.83203125" style="762" customWidth="1"/>
    <col min="4367" max="4367" width="45" style="762" customWidth="1"/>
    <col min="4368" max="4369" width="47.33203125" style="762" customWidth="1"/>
    <col min="4370" max="4370" width="47.1640625" style="762" customWidth="1"/>
    <col min="4371" max="4371" width="43.6640625" style="762" customWidth="1"/>
    <col min="4372" max="4372" width="193.33203125" style="762" customWidth="1"/>
    <col min="4373" max="4375" width="47.33203125" style="762" customWidth="1"/>
    <col min="4376" max="4376" width="43.6640625" style="762" customWidth="1"/>
    <col min="4377" max="4379" width="47.33203125" style="762" customWidth="1"/>
    <col min="4380" max="4380" width="44" style="762" customWidth="1"/>
    <col min="4381" max="4383" width="47.33203125" style="762" customWidth="1"/>
    <col min="4384" max="4384" width="43.6640625" style="762" customWidth="1"/>
    <col min="4385" max="4387" width="47.33203125" style="762" customWidth="1"/>
    <col min="4388" max="4388" width="43.6640625" style="762" customWidth="1"/>
    <col min="4389" max="4391" width="47.33203125" style="762" customWidth="1"/>
    <col min="4392" max="4392" width="43.6640625" style="762" customWidth="1"/>
    <col min="4393" max="4393" width="193.33203125" style="762" customWidth="1"/>
    <col min="4394" max="4409" width="56" style="762" customWidth="1"/>
    <col min="4410" max="4410" width="59" style="762" customWidth="1"/>
    <col min="4411" max="4411" width="46" style="762" customWidth="1"/>
    <col min="4412" max="4606" width="9.33203125" style="762"/>
    <col min="4607" max="4607" width="193.33203125" style="762" customWidth="1"/>
    <col min="4608" max="4608" width="47.1640625" style="762" customWidth="1"/>
    <col min="4609" max="4609" width="47.33203125" style="762" customWidth="1"/>
    <col min="4610" max="4610" width="47.1640625" style="762" customWidth="1"/>
    <col min="4611" max="4611" width="43.6640625" style="762" customWidth="1"/>
    <col min="4612" max="4613" width="47.33203125" style="762" customWidth="1"/>
    <col min="4614" max="4614" width="47.1640625" style="762" customWidth="1"/>
    <col min="4615" max="4615" width="43.6640625" style="762" customWidth="1"/>
    <col min="4616" max="4617" width="47.33203125" style="762" customWidth="1"/>
    <col min="4618" max="4618" width="47.1640625" style="762" customWidth="1"/>
    <col min="4619" max="4619" width="43.6640625" style="762" customWidth="1"/>
    <col min="4620" max="4621" width="45" style="762" customWidth="1"/>
    <col min="4622" max="4622" width="44.83203125" style="762" customWidth="1"/>
    <col min="4623" max="4623" width="45" style="762" customWidth="1"/>
    <col min="4624" max="4625" width="47.33203125" style="762" customWidth="1"/>
    <col min="4626" max="4626" width="47.1640625" style="762" customWidth="1"/>
    <col min="4627" max="4627" width="43.6640625" style="762" customWidth="1"/>
    <col min="4628" max="4628" width="193.33203125" style="762" customWidth="1"/>
    <col min="4629" max="4631" width="47.33203125" style="762" customWidth="1"/>
    <col min="4632" max="4632" width="43.6640625" style="762" customWidth="1"/>
    <col min="4633" max="4635" width="47.33203125" style="762" customWidth="1"/>
    <col min="4636" max="4636" width="44" style="762" customWidth="1"/>
    <col min="4637" max="4639" width="47.33203125" style="762" customWidth="1"/>
    <col min="4640" max="4640" width="43.6640625" style="762" customWidth="1"/>
    <col min="4641" max="4643" width="47.33203125" style="762" customWidth="1"/>
    <col min="4644" max="4644" width="43.6640625" style="762" customWidth="1"/>
    <col min="4645" max="4647" width="47.33203125" style="762" customWidth="1"/>
    <col min="4648" max="4648" width="43.6640625" style="762" customWidth="1"/>
    <col min="4649" max="4649" width="193.33203125" style="762" customWidth="1"/>
    <col min="4650" max="4665" width="56" style="762" customWidth="1"/>
    <col min="4666" max="4666" width="59" style="762" customWidth="1"/>
    <col min="4667" max="4667" width="46" style="762" customWidth="1"/>
    <col min="4668" max="4862" width="9.33203125" style="762"/>
    <col min="4863" max="4863" width="193.33203125" style="762" customWidth="1"/>
    <col min="4864" max="4864" width="47.1640625" style="762" customWidth="1"/>
    <col min="4865" max="4865" width="47.33203125" style="762" customWidth="1"/>
    <col min="4866" max="4866" width="47.1640625" style="762" customWidth="1"/>
    <col min="4867" max="4867" width="43.6640625" style="762" customWidth="1"/>
    <col min="4868" max="4869" width="47.33203125" style="762" customWidth="1"/>
    <col min="4870" max="4870" width="47.1640625" style="762" customWidth="1"/>
    <col min="4871" max="4871" width="43.6640625" style="762" customWidth="1"/>
    <col min="4872" max="4873" width="47.33203125" style="762" customWidth="1"/>
    <col min="4874" max="4874" width="47.1640625" style="762" customWidth="1"/>
    <col min="4875" max="4875" width="43.6640625" style="762" customWidth="1"/>
    <col min="4876" max="4877" width="45" style="762" customWidth="1"/>
    <col min="4878" max="4878" width="44.83203125" style="762" customWidth="1"/>
    <col min="4879" max="4879" width="45" style="762" customWidth="1"/>
    <col min="4880" max="4881" width="47.33203125" style="762" customWidth="1"/>
    <col min="4882" max="4882" width="47.1640625" style="762" customWidth="1"/>
    <col min="4883" max="4883" width="43.6640625" style="762" customWidth="1"/>
    <col min="4884" max="4884" width="193.33203125" style="762" customWidth="1"/>
    <col min="4885" max="4887" width="47.33203125" style="762" customWidth="1"/>
    <col min="4888" max="4888" width="43.6640625" style="762" customWidth="1"/>
    <col min="4889" max="4891" width="47.33203125" style="762" customWidth="1"/>
    <col min="4892" max="4892" width="44" style="762" customWidth="1"/>
    <col min="4893" max="4895" width="47.33203125" style="762" customWidth="1"/>
    <col min="4896" max="4896" width="43.6640625" style="762" customWidth="1"/>
    <col min="4897" max="4899" width="47.33203125" style="762" customWidth="1"/>
    <col min="4900" max="4900" width="43.6640625" style="762" customWidth="1"/>
    <col min="4901" max="4903" width="47.33203125" style="762" customWidth="1"/>
    <col min="4904" max="4904" width="43.6640625" style="762" customWidth="1"/>
    <col min="4905" max="4905" width="193.33203125" style="762" customWidth="1"/>
    <col min="4906" max="4921" width="56" style="762" customWidth="1"/>
    <col min="4922" max="4922" width="59" style="762" customWidth="1"/>
    <col min="4923" max="4923" width="46" style="762" customWidth="1"/>
    <col min="4924" max="5118" width="9.33203125" style="762"/>
    <col min="5119" max="5119" width="193.33203125" style="762" customWidth="1"/>
    <col min="5120" max="5120" width="47.1640625" style="762" customWidth="1"/>
    <col min="5121" max="5121" width="47.33203125" style="762" customWidth="1"/>
    <col min="5122" max="5122" width="47.1640625" style="762" customWidth="1"/>
    <col min="5123" max="5123" width="43.6640625" style="762" customWidth="1"/>
    <col min="5124" max="5125" width="47.33203125" style="762" customWidth="1"/>
    <col min="5126" max="5126" width="47.1640625" style="762" customWidth="1"/>
    <col min="5127" max="5127" width="43.6640625" style="762" customWidth="1"/>
    <col min="5128" max="5129" width="47.33203125" style="762" customWidth="1"/>
    <col min="5130" max="5130" width="47.1640625" style="762" customWidth="1"/>
    <col min="5131" max="5131" width="43.6640625" style="762" customWidth="1"/>
    <col min="5132" max="5133" width="45" style="762" customWidth="1"/>
    <col min="5134" max="5134" width="44.83203125" style="762" customWidth="1"/>
    <col min="5135" max="5135" width="45" style="762" customWidth="1"/>
    <col min="5136" max="5137" width="47.33203125" style="762" customWidth="1"/>
    <col min="5138" max="5138" width="47.1640625" style="762" customWidth="1"/>
    <col min="5139" max="5139" width="43.6640625" style="762" customWidth="1"/>
    <col min="5140" max="5140" width="193.33203125" style="762" customWidth="1"/>
    <col min="5141" max="5143" width="47.33203125" style="762" customWidth="1"/>
    <col min="5144" max="5144" width="43.6640625" style="762" customWidth="1"/>
    <col min="5145" max="5147" width="47.33203125" style="762" customWidth="1"/>
    <col min="5148" max="5148" width="44" style="762" customWidth="1"/>
    <col min="5149" max="5151" width="47.33203125" style="762" customWidth="1"/>
    <col min="5152" max="5152" width="43.6640625" style="762" customWidth="1"/>
    <col min="5153" max="5155" width="47.33203125" style="762" customWidth="1"/>
    <col min="5156" max="5156" width="43.6640625" style="762" customWidth="1"/>
    <col min="5157" max="5159" width="47.33203125" style="762" customWidth="1"/>
    <col min="5160" max="5160" width="43.6640625" style="762" customWidth="1"/>
    <col min="5161" max="5161" width="193.33203125" style="762" customWidth="1"/>
    <col min="5162" max="5177" width="56" style="762" customWidth="1"/>
    <col min="5178" max="5178" width="59" style="762" customWidth="1"/>
    <col min="5179" max="5179" width="46" style="762" customWidth="1"/>
    <col min="5180" max="5374" width="9.33203125" style="762"/>
    <col min="5375" max="5375" width="193.33203125" style="762" customWidth="1"/>
    <col min="5376" max="5376" width="47.1640625" style="762" customWidth="1"/>
    <col min="5377" max="5377" width="47.33203125" style="762" customWidth="1"/>
    <col min="5378" max="5378" width="47.1640625" style="762" customWidth="1"/>
    <col min="5379" max="5379" width="43.6640625" style="762" customWidth="1"/>
    <col min="5380" max="5381" width="47.33203125" style="762" customWidth="1"/>
    <col min="5382" max="5382" width="47.1640625" style="762" customWidth="1"/>
    <col min="5383" max="5383" width="43.6640625" style="762" customWidth="1"/>
    <col min="5384" max="5385" width="47.33203125" style="762" customWidth="1"/>
    <col min="5386" max="5386" width="47.1640625" style="762" customWidth="1"/>
    <col min="5387" max="5387" width="43.6640625" style="762" customWidth="1"/>
    <col min="5388" max="5389" width="45" style="762" customWidth="1"/>
    <col min="5390" max="5390" width="44.83203125" style="762" customWidth="1"/>
    <col min="5391" max="5391" width="45" style="762" customWidth="1"/>
    <col min="5392" max="5393" width="47.33203125" style="762" customWidth="1"/>
    <col min="5394" max="5394" width="47.1640625" style="762" customWidth="1"/>
    <col min="5395" max="5395" width="43.6640625" style="762" customWidth="1"/>
    <col min="5396" max="5396" width="193.33203125" style="762" customWidth="1"/>
    <col min="5397" max="5399" width="47.33203125" style="762" customWidth="1"/>
    <col min="5400" max="5400" width="43.6640625" style="762" customWidth="1"/>
    <col min="5401" max="5403" width="47.33203125" style="762" customWidth="1"/>
    <col min="5404" max="5404" width="44" style="762" customWidth="1"/>
    <col min="5405" max="5407" width="47.33203125" style="762" customWidth="1"/>
    <col min="5408" max="5408" width="43.6640625" style="762" customWidth="1"/>
    <col min="5409" max="5411" width="47.33203125" style="762" customWidth="1"/>
    <col min="5412" max="5412" width="43.6640625" style="762" customWidth="1"/>
    <col min="5413" max="5415" width="47.33203125" style="762" customWidth="1"/>
    <col min="5416" max="5416" width="43.6640625" style="762" customWidth="1"/>
    <col min="5417" max="5417" width="193.33203125" style="762" customWidth="1"/>
    <col min="5418" max="5433" width="56" style="762" customWidth="1"/>
    <col min="5434" max="5434" width="59" style="762" customWidth="1"/>
    <col min="5435" max="5435" width="46" style="762" customWidth="1"/>
    <col min="5436" max="5630" width="9.33203125" style="762"/>
    <col min="5631" max="5631" width="193.33203125" style="762" customWidth="1"/>
    <col min="5632" max="5632" width="47.1640625" style="762" customWidth="1"/>
    <col min="5633" max="5633" width="47.33203125" style="762" customWidth="1"/>
    <col min="5634" max="5634" width="47.1640625" style="762" customWidth="1"/>
    <col min="5635" max="5635" width="43.6640625" style="762" customWidth="1"/>
    <col min="5636" max="5637" width="47.33203125" style="762" customWidth="1"/>
    <col min="5638" max="5638" width="47.1640625" style="762" customWidth="1"/>
    <col min="5639" max="5639" width="43.6640625" style="762" customWidth="1"/>
    <col min="5640" max="5641" width="47.33203125" style="762" customWidth="1"/>
    <col min="5642" max="5642" width="47.1640625" style="762" customWidth="1"/>
    <col min="5643" max="5643" width="43.6640625" style="762" customWidth="1"/>
    <col min="5644" max="5645" width="45" style="762" customWidth="1"/>
    <col min="5646" max="5646" width="44.83203125" style="762" customWidth="1"/>
    <col min="5647" max="5647" width="45" style="762" customWidth="1"/>
    <col min="5648" max="5649" width="47.33203125" style="762" customWidth="1"/>
    <col min="5650" max="5650" width="47.1640625" style="762" customWidth="1"/>
    <col min="5651" max="5651" width="43.6640625" style="762" customWidth="1"/>
    <col min="5652" max="5652" width="193.33203125" style="762" customWidth="1"/>
    <col min="5653" max="5655" width="47.33203125" style="762" customWidth="1"/>
    <col min="5656" max="5656" width="43.6640625" style="762" customWidth="1"/>
    <col min="5657" max="5659" width="47.33203125" style="762" customWidth="1"/>
    <col min="5660" max="5660" width="44" style="762" customWidth="1"/>
    <col min="5661" max="5663" width="47.33203125" style="762" customWidth="1"/>
    <col min="5664" max="5664" width="43.6640625" style="762" customWidth="1"/>
    <col min="5665" max="5667" width="47.33203125" style="762" customWidth="1"/>
    <col min="5668" max="5668" width="43.6640625" style="762" customWidth="1"/>
    <col min="5669" max="5671" width="47.33203125" style="762" customWidth="1"/>
    <col min="5672" max="5672" width="43.6640625" style="762" customWidth="1"/>
    <col min="5673" max="5673" width="193.33203125" style="762" customWidth="1"/>
    <col min="5674" max="5689" width="56" style="762" customWidth="1"/>
    <col min="5690" max="5690" width="59" style="762" customWidth="1"/>
    <col min="5691" max="5691" width="46" style="762" customWidth="1"/>
    <col min="5692" max="5886" width="9.33203125" style="762"/>
    <col min="5887" max="5887" width="193.33203125" style="762" customWidth="1"/>
    <col min="5888" max="5888" width="47.1640625" style="762" customWidth="1"/>
    <col min="5889" max="5889" width="47.33203125" style="762" customWidth="1"/>
    <col min="5890" max="5890" width="47.1640625" style="762" customWidth="1"/>
    <col min="5891" max="5891" width="43.6640625" style="762" customWidth="1"/>
    <col min="5892" max="5893" width="47.33203125" style="762" customWidth="1"/>
    <col min="5894" max="5894" width="47.1640625" style="762" customWidth="1"/>
    <col min="5895" max="5895" width="43.6640625" style="762" customWidth="1"/>
    <col min="5896" max="5897" width="47.33203125" style="762" customWidth="1"/>
    <col min="5898" max="5898" width="47.1640625" style="762" customWidth="1"/>
    <col min="5899" max="5899" width="43.6640625" style="762" customWidth="1"/>
    <col min="5900" max="5901" width="45" style="762" customWidth="1"/>
    <col min="5902" max="5902" width="44.83203125" style="762" customWidth="1"/>
    <col min="5903" max="5903" width="45" style="762" customWidth="1"/>
    <col min="5904" max="5905" width="47.33203125" style="762" customWidth="1"/>
    <col min="5906" max="5906" width="47.1640625" style="762" customWidth="1"/>
    <col min="5907" max="5907" width="43.6640625" style="762" customWidth="1"/>
    <col min="5908" max="5908" width="193.33203125" style="762" customWidth="1"/>
    <col min="5909" max="5911" width="47.33203125" style="762" customWidth="1"/>
    <col min="5912" max="5912" width="43.6640625" style="762" customWidth="1"/>
    <col min="5913" max="5915" width="47.33203125" style="762" customWidth="1"/>
    <col min="5916" max="5916" width="44" style="762" customWidth="1"/>
    <col min="5917" max="5919" width="47.33203125" style="762" customWidth="1"/>
    <col min="5920" max="5920" width="43.6640625" style="762" customWidth="1"/>
    <col min="5921" max="5923" width="47.33203125" style="762" customWidth="1"/>
    <col min="5924" max="5924" width="43.6640625" style="762" customWidth="1"/>
    <col min="5925" max="5927" width="47.33203125" style="762" customWidth="1"/>
    <col min="5928" max="5928" width="43.6640625" style="762" customWidth="1"/>
    <col min="5929" max="5929" width="193.33203125" style="762" customWidth="1"/>
    <col min="5930" max="5945" width="56" style="762" customWidth="1"/>
    <col min="5946" max="5946" width="59" style="762" customWidth="1"/>
    <col min="5947" max="5947" width="46" style="762" customWidth="1"/>
    <col min="5948" max="6142" width="9.33203125" style="762"/>
    <col min="6143" max="6143" width="193.33203125" style="762" customWidth="1"/>
    <col min="6144" max="6144" width="47.1640625" style="762" customWidth="1"/>
    <col min="6145" max="6145" width="47.33203125" style="762" customWidth="1"/>
    <col min="6146" max="6146" width="47.1640625" style="762" customWidth="1"/>
    <col min="6147" max="6147" width="43.6640625" style="762" customWidth="1"/>
    <col min="6148" max="6149" width="47.33203125" style="762" customWidth="1"/>
    <col min="6150" max="6150" width="47.1640625" style="762" customWidth="1"/>
    <col min="6151" max="6151" width="43.6640625" style="762" customWidth="1"/>
    <col min="6152" max="6153" width="47.33203125" style="762" customWidth="1"/>
    <col min="6154" max="6154" width="47.1640625" style="762" customWidth="1"/>
    <col min="6155" max="6155" width="43.6640625" style="762" customWidth="1"/>
    <col min="6156" max="6157" width="45" style="762" customWidth="1"/>
    <col min="6158" max="6158" width="44.83203125" style="762" customWidth="1"/>
    <col min="6159" max="6159" width="45" style="762" customWidth="1"/>
    <col min="6160" max="6161" width="47.33203125" style="762" customWidth="1"/>
    <col min="6162" max="6162" width="47.1640625" style="762" customWidth="1"/>
    <col min="6163" max="6163" width="43.6640625" style="762" customWidth="1"/>
    <col min="6164" max="6164" width="193.33203125" style="762" customWidth="1"/>
    <col min="6165" max="6167" width="47.33203125" style="762" customWidth="1"/>
    <col min="6168" max="6168" width="43.6640625" style="762" customWidth="1"/>
    <col min="6169" max="6171" width="47.33203125" style="762" customWidth="1"/>
    <col min="6172" max="6172" width="44" style="762" customWidth="1"/>
    <col min="6173" max="6175" width="47.33203125" style="762" customWidth="1"/>
    <col min="6176" max="6176" width="43.6640625" style="762" customWidth="1"/>
    <col min="6177" max="6179" width="47.33203125" style="762" customWidth="1"/>
    <col min="6180" max="6180" width="43.6640625" style="762" customWidth="1"/>
    <col min="6181" max="6183" width="47.33203125" style="762" customWidth="1"/>
    <col min="6184" max="6184" width="43.6640625" style="762" customWidth="1"/>
    <col min="6185" max="6185" width="193.33203125" style="762" customWidth="1"/>
    <col min="6186" max="6201" width="56" style="762" customWidth="1"/>
    <col min="6202" max="6202" width="59" style="762" customWidth="1"/>
    <col min="6203" max="6203" width="46" style="762" customWidth="1"/>
    <col min="6204" max="6398" width="9.33203125" style="762"/>
    <col min="6399" max="6399" width="193.33203125" style="762" customWidth="1"/>
    <col min="6400" max="6400" width="47.1640625" style="762" customWidth="1"/>
    <col min="6401" max="6401" width="47.33203125" style="762" customWidth="1"/>
    <col min="6402" max="6402" width="47.1640625" style="762" customWidth="1"/>
    <col min="6403" max="6403" width="43.6640625" style="762" customWidth="1"/>
    <col min="6404" max="6405" width="47.33203125" style="762" customWidth="1"/>
    <col min="6406" max="6406" width="47.1640625" style="762" customWidth="1"/>
    <col min="6407" max="6407" width="43.6640625" style="762" customWidth="1"/>
    <col min="6408" max="6409" width="47.33203125" style="762" customWidth="1"/>
    <col min="6410" max="6410" width="47.1640625" style="762" customWidth="1"/>
    <col min="6411" max="6411" width="43.6640625" style="762" customWidth="1"/>
    <col min="6412" max="6413" width="45" style="762" customWidth="1"/>
    <col min="6414" max="6414" width="44.83203125" style="762" customWidth="1"/>
    <col min="6415" max="6415" width="45" style="762" customWidth="1"/>
    <col min="6416" max="6417" width="47.33203125" style="762" customWidth="1"/>
    <col min="6418" max="6418" width="47.1640625" style="762" customWidth="1"/>
    <col min="6419" max="6419" width="43.6640625" style="762" customWidth="1"/>
    <col min="6420" max="6420" width="193.33203125" style="762" customWidth="1"/>
    <col min="6421" max="6423" width="47.33203125" style="762" customWidth="1"/>
    <col min="6424" max="6424" width="43.6640625" style="762" customWidth="1"/>
    <col min="6425" max="6427" width="47.33203125" style="762" customWidth="1"/>
    <col min="6428" max="6428" width="44" style="762" customWidth="1"/>
    <col min="6429" max="6431" width="47.33203125" style="762" customWidth="1"/>
    <col min="6432" max="6432" width="43.6640625" style="762" customWidth="1"/>
    <col min="6433" max="6435" width="47.33203125" style="762" customWidth="1"/>
    <col min="6436" max="6436" width="43.6640625" style="762" customWidth="1"/>
    <col min="6437" max="6439" width="47.33203125" style="762" customWidth="1"/>
    <col min="6440" max="6440" width="43.6640625" style="762" customWidth="1"/>
    <col min="6441" max="6441" width="193.33203125" style="762" customWidth="1"/>
    <col min="6442" max="6457" width="56" style="762" customWidth="1"/>
    <col min="6458" max="6458" width="59" style="762" customWidth="1"/>
    <col min="6459" max="6459" width="46" style="762" customWidth="1"/>
    <col min="6460" max="6654" width="9.33203125" style="762"/>
    <col min="6655" max="6655" width="193.33203125" style="762" customWidth="1"/>
    <col min="6656" max="6656" width="47.1640625" style="762" customWidth="1"/>
    <col min="6657" max="6657" width="47.33203125" style="762" customWidth="1"/>
    <col min="6658" max="6658" width="47.1640625" style="762" customWidth="1"/>
    <col min="6659" max="6659" width="43.6640625" style="762" customWidth="1"/>
    <col min="6660" max="6661" width="47.33203125" style="762" customWidth="1"/>
    <col min="6662" max="6662" width="47.1640625" style="762" customWidth="1"/>
    <col min="6663" max="6663" width="43.6640625" style="762" customWidth="1"/>
    <col min="6664" max="6665" width="47.33203125" style="762" customWidth="1"/>
    <col min="6666" max="6666" width="47.1640625" style="762" customWidth="1"/>
    <col min="6667" max="6667" width="43.6640625" style="762" customWidth="1"/>
    <col min="6668" max="6669" width="45" style="762" customWidth="1"/>
    <col min="6670" max="6670" width="44.83203125" style="762" customWidth="1"/>
    <col min="6671" max="6671" width="45" style="762" customWidth="1"/>
    <col min="6672" max="6673" width="47.33203125" style="762" customWidth="1"/>
    <col min="6674" max="6674" width="47.1640625" style="762" customWidth="1"/>
    <col min="6675" max="6675" width="43.6640625" style="762" customWidth="1"/>
    <col min="6676" max="6676" width="193.33203125" style="762" customWidth="1"/>
    <col min="6677" max="6679" width="47.33203125" style="762" customWidth="1"/>
    <col min="6680" max="6680" width="43.6640625" style="762" customWidth="1"/>
    <col min="6681" max="6683" width="47.33203125" style="762" customWidth="1"/>
    <col min="6684" max="6684" width="44" style="762" customWidth="1"/>
    <col min="6685" max="6687" width="47.33203125" style="762" customWidth="1"/>
    <col min="6688" max="6688" width="43.6640625" style="762" customWidth="1"/>
    <col min="6689" max="6691" width="47.33203125" style="762" customWidth="1"/>
    <col min="6692" max="6692" width="43.6640625" style="762" customWidth="1"/>
    <col min="6693" max="6695" width="47.33203125" style="762" customWidth="1"/>
    <col min="6696" max="6696" width="43.6640625" style="762" customWidth="1"/>
    <col min="6697" max="6697" width="193.33203125" style="762" customWidth="1"/>
    <col min="6698" max="6713" width="56" style="762" customWidth="1"/>
    <col min="6714" max="6714" width="59" style="762" customWidth="1"/>
    <col min="6715" max="6715" width="46" style="762" customWidth="1"/>
    <col min="6716" max="6910" width="9.33203125" style="762"/>
    <col min="6911" max="6911" width="193.33203125" style="762" customWidth="1"/>
    <col min="6912" max="6912" width="47.1640625" style="762" customWidth="1"/>
    <col min="6913" max="6913" width="47.33203125" style="762" customWidth="1"/>
    <col min="6914" max="6914" width="47.1640625" style="762" customWidth="1"/>
    <col min="6915" max="6915" width="43.6640625" style="762" customWidth="1"/>
    <col min="6916" max="6917" width="47.33203125" style="762" customWidth="1"/>
    <col min="6918" max="6918" width="47.1640625" style="762" customWidth="1"/>
    <col min="6919" max="6919" width="43.6640625" style="762" customWidth="1"/>
    <col min="6920" max="6921" width="47.33203125" style="762" customWidth="1"/>
    <col min="6922" max="6922" width="47.1640625" style="762" customWidth="1"/>
    <col min="6923" max="6923" width="43.6640625" style="762" customWidth="1"/>
    <col min="6924" max="6925" width="45" style="762" customWidth="1"/>
    <col min="6926" max="6926" width="44.83203125" style="762" customWidth="1"/>
    <col min="6927" max="6927" width="45" style="762" customWidth="1"/>
    <col min="6928" max="6929" width="47.33203125" style="762" customWidth="1"/>
    <col min="6930" max="6930" width="47.1640625" style="762" customWidth="1"/>
    <col min="6931" max="6931" width="43.6640625" style="762" customWidth="1"/>
    <col min="6932" max="6932" width="193.33203125" style="762" customWidth="1"/>
    <col min="6933" max="6935" width="47.33203125" style="762" customWidth="1"/>
    <col min="6936" max="6936" width="43.6640625" style="762" customWidth="1"/>
    <col min="6937" max="6939" width="47.33203125" style="762" customWidth="1"/>
    <col min="6940" max="6940" width="44" style="762" customWidth="1"/>
    <col min="6941" max="6943" width="47.33203125" style="762" customWidth="1"/>
    <col min="6944" max="6944" width="43.6640625" style="762" customWidth="1"/>
    <col min="6945" max="6947" width="47.33203125" style="762" customWidth="1"/>
    <col min="6948" max="6948" width="43.6640625" style="762" customWidth="1"/>
    <col min="6949" max="6951" width="47.33203125" style="762" customWidth="1"/>
    <col min="6952" max="6952" width="43.6640625" style="762" customWidth="1"/>
    <col min="6953" max="6953" width="193.33203125" style="762" customWidth="1"/>
    <col min="6954" max="6969" width="56" style="762" customWidth="1"/>
    <col min="6970" max="6970" width="59" style="762" customWidth="1"/>
    <col min="6971" max="6971" width="46" style="762" customWidth="1"/>
    <col min="6972" max="7166" width="9.33203125" style="762"/>
    <col min="7167" max="7167" width="193.33203125" style="762" customWidth="1"/>
    <col min="7168" max="7168" width="47.1640625" style="762" customWidth="1"/>
    <col min="7169" max="7169" width="47.33203125" style="762" customWidth="1"/>
    <col min="7170" max="7170" width="47.1640625" style="762" customWidth="1"/>
    <col min="7171" max="7171" width="43.6640625" style="762" customWidth="1"/>
    <col min="7172" max="7173" width="47.33203125" style="762" customWidth="1"/>
    <col min="7174" max="7174" width="47.1640625" style="762" customWidth="1"/>
    <col min="7175" max="7175" width="43.6640625" style="762" customWidth="1"/>
    <col min="7176" max="7177" width="47.33203125" style="762" customWidth="1"/>
    <col min="7178" max="7178" width="47.1640625" style="762" customWidth="1"/>
    <col min="7179" max="7179" width="43.6640625" style="762" customWidth="1"/>
    <col min="7180" max="7181" width="45" style="762" customWidth="1"/>
    <col min="7182" max="7182" width="44.83203125" style="762" customWidth="1"/>
    <col min="7183" max="7183" width="45" style="762" customWidth="1"/>
    <col min="7184" max="7185" width="47.33203125" style="762" customWidth="1"/>
    <col min="7186" max="7186" width="47.1640625" style="762" customWidth="1"/>
    <col min="7187" max="7187" width="43.6640625" style="762" customWidth="1"/>
    <col min="7188" max="7188" width="193.33203125" style="762" customWidth="1"/>
    <col min="7189" max="7191" width="47.33203125" style="762" customWidth="1"/>
    <col min="7192" max="7192" width="43.6640625" style="762" customWidth="1"/>
    <col min="7193" max="7195" width="47.33203125" style="762" customWidth="1"/>
    <col min="7196" max="7196" width="44" style="762" customWidth="1"/>
    <col min="7197" max="7199" width="47.33203125" style="762" customWidth="1"/>
    <col min="7200" max="7200" width="43.6640625" style="762" customWidth="1"/>
    <col min="7201" max="7203" width="47.33203125" style="762" customWidth="1"/>
    <col min="7204" max="7204" width="43.6640625" style="762" customWidth="1"/>
    <col min="7205" max="7207" width="47.33203125" style="762" customWidth="1"/>
    <col min="7208" max="7208" width="43.6640625" style="762" customWidth="1"/>
    <col min="7209" max="7209" width="193.33203125" style="762" customWidth="1"/>
    <col min="7210" max="7225" width="56" style="762" customWidth="1"/>
    <col min="7226" max="7226" width="59" style="762" customWidth="1"/>
    <col min="7227" max="7227" width="46" style="762" customWidth="1"/>
    <col min="7228" max="7422" width="9.33203125" style="762"/>
    <col min="7423" max="7423" width="193.33203125" style="762" customWidth="1"/>
    <col min="7424" max="7424" width="47.1640625" style="762" customWidth="1"/>
    <col min="7425" max="7425" width="47.33203125" style="762" customWidth="1"/>
    <col min="7426" max="7426" width="47.1640625" style="762" customWidth="1"/>
    <col min="7427" max="7427" width="43.6640625" style="762" customWidth="1"/>
    <col min="7428" max="7429" width="47.33203125" style="762" customWidth="1"/>
    <col min="7430" max="7430" width="47.1640625" style="762" customWidth="1"/>
    <col min="7431" max="7431" width="43.6640625" style="762" customWidth="1"/>
    <col min="7432" max="7433" width="47.33203125" style="762" customWidth="1"/>
    <col min="7434" max="7434" width="47.1640625" style="762" customWidth="1"/>
    <col min="7435" max="7435" width="43.6640625" style="762" customWidth="1"/>
    <col min="7436" max="7437" width="45" style="762" customWidth="1"/>
    <col min="7438" max="7438" width="44.83203125" style="762" customWidth="1"/>
    <col min="7439" max="7439" width="45" style="762" customWidth="1"/>
    <col min="7440" max="7441" width="47.33203125" style="762" customWidth="1"/>
    <col min="7442" max="7442" width="47.1640625" style="762" customWidth="1"/>
    <col min="7443" max="7443" width="43.6640625" style="762" customWidth="1"/>
    <col min="7444" max="7444" width="193.33203125" style="762" customWidth="1"/>
    <col min="7445" max="7447" width="47.33203125" style="762" customWidth="1"/>
    <col min="7448" max="7448" width="43.6640625" style="762" customWidth="1"/>
    <col min="7449" max="7451" width="47.33203125" style="762" customWidth="1"/>
    <col min="7452" max="7452" width="44" style="762" customWidth="1"/>
    <col min="7453" max="7455" width="47.33203125" style="762" customWidth="1"/>
    <col min="7456" max="7456" width="43.6640625" style="762" customWidth="1"/>
    <col min="7457" max="7459" width="47.33203125" style="762" customWidth="1"/>
    <col min="7460" max="7460" width="43.6640625" style="762" customWidth="1"/>
    <col min="7461" max="7463" width="47.33203125" style="762" customWidth="1"/>
    <col min="7464" max="7464" width="43.6640625" style="762" customWidth="1"/>
    <col min="7465" max="7465" width="193.33203125" style="762" customWidth="1"/>
    <col min="7466" max="7481" width="56" style="762" customWidth="1"/>
    <col min="7482" max="7482" width="59" style="762" customWidth="1"/>
    <col min="7483" max="7483" width="46" style="762" customWidth="1"/>
    <col min="7484" max="7678" width="9.33203125" style="762"/>
    <col min="7679" max="7679" width="193.33203125" style="762" customWidth="1"/>
    <col min="7680" max="7680" width="47.1640625" style="762" customWidth="1"/>
    <col min="7681" max="7681" width="47.33203125" style="762" customWidth="1"/>
    <col min="7682" max="7682" width="47.1640625" style="762" customWidth="1"/>
    <col min="7683" max="7683" width="43.6640625" style="762" customWidth="1"/>
    <col min="7684" max="7685" width="47.33203125" style="762" customWidth="1"/>
    <col min="7686" max="7686" width="47.1640625" style="762" customWidth="1"/>
    <col min="7687" max="7687" width="43.6640625" style="762" customWidth="1"/>
    <col min="7688" max="7689" width="47.33203125" style="762" customWidth="1"/>
    <col min="7690" max="7690" width="47.1640625" style="762" customWidth="1"/>
    <col min="7691" max="7691" width="43.6640625" style="762" customWidth="1"/>
    <col min="7692" max="7693" width="45" style="762" customWidth="1"/>
    <col min="7694" max="7694" width="44.83203125" style="762" customWidth="1"/>
    <col min="7695" max="7695" width="45" style="762" customWidth="1"/>
    <col min="7696" max="7697" width="47.33203125" style="762" customWidth="1"/>
    <col min="7698" max="7698" width="47.1640625" style="762" customWidth="1"/>
    <col min="7699" max="7699" width="43.6640625" style="762" customWidth="1"/>
    <col min="7700" max="7700" width="193.33203125" style="762" customWidth="1"/>
    <col min="7701" max="7703" width="47.33203125" style="762" customWidth="1"/>
    <col min="7704" max="7704" width="43.6640625" style="762" customWidth="1"/>
    <col min="7705" max="7707" width="47.33203125" style="762" customWidth="1"/>
    <col min="7708" max="7708" width="44" style="762" customWidth="1"/>
    <col min="7709" max="7711" width="47.33203125" style="762" customWidth="1"/>
    <col min="7712" max="7712" width="43.6640625" style="762" customWidth="1"/>
    <col min="7713" max="7715" width="47.33203125" style="762" customWidth="1"/>
    <col min="7716" max="7716" width="43.6640625" style="762" customWidth="1"/>
    <col min="7717" max="7719" width="47.33203125" style="762" customWidth="1"/>
    <col min="7720" max="7720" width="43.6640625" style="762" customWidth="1"/>
    <col min="7721" max="7721" width="193.33203125" style="762" customWidth="1"/>
    <col min="7722" max="7737" width="56" style="762" customWidth="1"/>
    <col min="7738" max="7738" width="59" style="762" customWidth="1"/>
    <col min="7739" max="7739" width="46" style="762" customWidth="1"/>
    <col min="7740" max="7934" width="9.33203125" style="762"/>
    <col min="7935" max="7935" width="193.33203125" style="762" customWidth="1"/>
    <col min="7936" max="7936" width="47.1640625" style="762" customWidth="1"/>
    <col min="7937" max="7937" width="47.33203125" style="762" customWidth="1"/>
    <col min="7938" max="7938" width="47.1640625" style="762" customWidth="1"/>
    <col min="7939" max="7939" width="43.6640625" style="762" customWidth="1"/>
    <col min="7940" max="7941" width="47.33203125" style="762" customWidth="1"/>
    <col min="7942" max="7942" width="47.1640625" style="762" customWidth="1"/>
    <col min="7943" max="7943" width="43.6640625" style="762" customWidth="1"/>
    <col min="7944" max="7945" width="47.33203125" style="762" customWidth="1"/>
    <col min="7946" max="7946" width="47.1640625" style="762" customWidth="1"/>
    <col min="7947" max="7947" width="43.6640625" style="762" customWidth="1"/>
    <col min="7948" max="7949" width="45" style="762" customWidth="1"/>
    <col min="7950" max="7950" width="44.83203125" style="762" customWidth="1"/>
    <col min="7951" max="7951" width="45" style="762" customWidth="1"/>
    <col min="7952" max="7953" width="47.33203125" style="762" customWidth="1"/>
    <col min="7954" max="7954" width="47.1640625" style="762" customWidth="1"/>
    <col min="7955" max="7955" width="43.6640625" style="762" customWidth="1"/>
    <col min="7956" max="7956" width="193.33203125" style="762" customWidth="1"/>
    <col min="7957" max="7959" width="47.33203125" style="762" customWidth="1"/>
    <col min="7960" max="7960" width="43.6640625" style="762" customWidth="1"/>
    <col min="7961" max="7963" width="47.33203125" style="762" customWidth="1"/>
    <col min="7964" max="7964" width="44" style="762" customWidth="1"/>
    <col min="7965" max="7967" width="47.33203125" style="762" customWidth="1"/>
    <col min="7968" max="7968" width="43.6640625" style="762" customWidth="1"/>
    <col min="7969" max="7971" width="47.33203125" style="762" customWidth="1"/>
    <col min="7972" max="7972" width="43.6640625" style="762" customWidth="1"/>
    <col min="7973" max="7975" width="47.33203125" style="762" customWidth="1"/>
    <col min="7976" max="7976" width="43.6640625" style="762" customWidth="1"/>
    <col min="7977" max="7977" width="193.33203125" style="762" customWidth="1"/>
    <col min="7978" max="7993" width="56" style="762" customWidth="1"/>
    <col min="7994" max="7994" width="59" style="762" customWidth="1"/>
    <col min="7995" max="7995" width="46" style="762" customWidth="1"/>
    <col min="7996" max="8190" width="9.33203125" style="762"/>
    <col min="8191" max="8191" width="193.33203125" style="762" customWidth="1"/>
    <col min="8192" max="8192" width="47.1640625" style="762" customWidth="1"/>
    <col min="8193" max="8193" width="47.33203125" style="762" customWidth="1"/>
    <col min="8194" max="8194" width="47.1640625" style="762" customWidth="1"/>
    <col min="8195" max="8195" width="43.6640625" style="762" customWidth="1"/>
    <col min="8196" max="8197" width="47.33203125" style="762" customWidth="1"/>
    <col min="8198" max="8198" width="47.1640625" style="762" customWidth="1"/>
    <col min="8199" max="8199" width="43.6640625" style="762" customWidth="1"/>
    <col min="8200" max="8201" width="47.33203125" style="762" customWidth="1"/>
    <col min="8202" max="8202" width="47.1640625" style="762" customWidth="1"/>
    <col min="8203" max="8203" width="43.6640625" style="762" customWidth="1"/>
    <col min="8204" max="8205" width="45" style="762" customWidth="1"/>
    <col min="8206" max="8206" width="44.83203125" style="762" customWidth="1"/>
    <col min="8207" max="8207" width="45" style="762" customWidth="1"/>
    <col min="8208" max="8209" width="47.33203125" style="762" customWidth="1"/>
    <col min="8210" max="8210" width="47.1640625" style="762" customWidth="1"/>
    <col min="8211" max="8211" width="43.6640625" style="762" customWidth="1"/>
    <col min="8212" max="8212" width="193.33203125" style="762" customWidth="1"/>
    <col min="8213" max="8215" width="47.33203125" style="762" customWidth="1"/>
    <col min="8216" max="8216" width="43.6640625" style="762" customWidth="1"/>
    <col min="8217" max="8219" width="47.33203125" style="762" customWidth="1"/>
    <col min="8220" max="8220" width="44" style="762" customWidth="1"/>
    <col min="8221" max="8223" width="47.33203125" style="762" customWidth="1"/>
    <col min="8224" max="8224" width="43.6640625" style="762" customWidth="1"/>
    <col min="8225" max="8227" width="47.33203125" style="762" customWidth="1"/>
    <col min="8228" max="8228" width="43.6640625" style="762" customWidth="1"/>
    <col min="8229" max="8231" width="47.33203125" style="762" customWidth="1"/>
    <col min="8232" max="8232" width="43.6640625" style="762" customWidth="1"/>
    <col min="8233" max="8233" width="193.33203125" style="762" customWidth="1"/>
    <col min="8234" max="8249" width="56" style="762" customWidth="1"/>
    <col min="8250" max="8250" width="59" style="762" customWidth="1"/>
    <col min="8251" max="8251" width="46" style="762" customWidth="1"/>
    <col min="8252" max="8446" width="9.33203125" style="762"/>
    <col min="8447" max="8447" width="193.33203125" style="762" customWidth="1"/>
    <col min="8448" max="8448" width="47.1640625" style="762" customWidth="1"/>
    <col min="8449" max="8449" width="47.33203125" style="762" customWidth="1"/>
    <col min="8450" max="8450" width="47.1640625" style="762" customWidth="1"/>
    <col min="8451" max="8451" width="43.6640625" style="762" customWidth="1"/>
    <col min="8452" max="8453" width="47.33203125" style="762" customWidth="1"/>
    <col min="8454" max="8454" width="47.1640625" style="762" customWidth="1"/>
    <col min="8455" max="8455" width="43.6640625" style="762" customWidth="1"/>
    <col min="8456" max="8457" width="47.33203125" style="762" customWidth="1"/>
    <col min="8458" max="8458" width="47.1640625" style="762" customWidth="1"/>
    <col min="8459" max="8459" width="43.6640625" style="762" customWidth="1"/>
    <col min="8460" max="8461" width="45" style="762" customWidth="1"/>
    <col min="8462" max="8462" width="44.83203125" style="762" customWidth="1"/>
    <col min="8463" max="8463" width="45" style="762" customWidth="1"/>
    <col min="8464" max="8465" width="47.33203125" style="762" customWidth="1"/>
    <col min="8466" max="8466" width="47.1640625" style="762" customWidth="1"/>
    <col min="8467" max="8467" width="43.6640625" style="762" customWidth="1"/>
    <col min="8468" max="8468" width="193.33203125" style="762" customWidth="1"/>
    <col min="8469" max="8471" width="47.33203125" style="762" customWidth="1"/>
    <col min="8472" max="8472" width="43.6640625" style="762" customWidth="1"/>
    <col min="8473" max="8475" width="47.33203125" style="762" customWidth="1"/>
    <col min="8476" max="8476" width="44" style="762" customWidth="1"/>
    <col min="8477" max="8479" width="47.33203125" style="762" customWidth="1"/>
    <col min="8480" max="8480" width="43.6640625" style="762" customWidth="1"/>
    <col min="8481" max="8483" width="47.33203125" style="762" customWidth="1"/>
    <col min="8484" max="8484" width="43.6640625" style="762" customWidth="1"/>
    <col min="8485" max="8487" width="47.33203125" style="762" customWidth="1"/>
    <col min="8488" max="8488" width="43.6640625" style="762" customWidth="1"/>
    <col min="8489" max="8489" width="193.33203125" style="762" customWidth="1"/>
    <col min="8490" max="8505" width="56" style="762" customWidth="1"/>
    <col min="8506" max="8506" width="59" style="762" customWidth="1"/>
    <col min="8507" max="8507" width="46" style="762" customWidth="1"/>
    <col min="8508" max="8702" width="9.33203125" style="762"/>
    <col min="8703" max="8703" width="193.33203125" style="762" customWidth="1"/>
    <col min="8704" max="8704" width="47.1640625" style="762" customWidth="1"/>
    <col min="8705" max="8705" width="47.33203125" style="762" customWidth="1"/>
    <col min="8706" max="8706" width="47.1640625" style="762" customWidth="1"/>
    <col min="8707" max="8707" width="43.6640625" style="762" customWidth="1"/>
    <col min="8708" max="8709" width="47.33203125" style="762" customWidth="1"/>
    <col min="8710" max="8710" width="47.1640625" style="762" customWidth="1"/>
    <col min="8711" max="8711" width="43.6640625" style="762" customWidth="1"/>
    <col min="8712" max="8713" width="47.33203125" style="762" customWidth="1"/>
    <col min="8714" max="8714" width="47.1640625" style="762" customWidth="1"/>
    <col min="8715" max="8715" width="43.6640625" style="762" customWidth="1"/>
    <col min="8716" max="8717" width="45" style="762" customWidth="1"/>
    <col min="8718" max="8718" width="44.83203125" style="762" customWidth="1"/>
    <col min="8719" max="8719" width="45" style="762" customWidth="1"/>
    <col min="8720" max="8721" width="47.33203125" style="762" customWidth="1"/>
    <col min="8722" max="8722" width="47.1640625" style="762" customWidth="1"/>
    <col min="8723" max="8723" width="43.6640625" style="762" customWidth="1"/>
    <col min="8724" max="8724" width="193.33203125" style="762" customWidth="1"/>
    <col min="8725" max="8727" width="47.33203125" style="762" customWidth="1"/>
    <col min="8728" max="8728" width="43.6640625" style="762" customWidth="1"/>
    <col min="8729" max="8731" width="47.33203125" style="762" customWidth="1"/>
    <col min="8732" max="8732" width="44" style="762" customWidth="1"/>
    <col min="8733" max="8735" width="47.33203125" style="762" customWidth="1"/>
    <col min="8736" max="8736" width="43.6640625" style="762" customWidth="1"/>
    <col min="8737" max="8739" width="47.33203125" style="762" customWidth="1"/>
    <col min="8740" max="8740" width="43.6640625" style="762" customWidth="1"/>
    <col min="8741" max="8743" width="47.33203125" style="762" customWidth="1"/>
    <col min="8744" max="8744" width="43.6640625" style="762" customWidth="1"/>
    <col min="8745" max="8745" width="193.33203125" style="762" customWidth="1"/>
    <col min="8746" max="8761" width="56" style="762" customWidth="1"/>
    <col min="8762" max="8762" width="59" style="762" customWidth="1"/>
    <col min="8763" max="8763" width="46" style="762" customWidth="1"/>
    <col min="8764" max="8958" width="9.33203125" style="762"/>
    <col min="8959" max="8959" width="193.33203125" style="762" customWidth="1"/>
    <col min="8960" max="8960" width="47.1640625" style="762" customWidth="1"/>
    <col min="8961" max="8961" width="47.33203125" style="762" customWidth="1"/>
    <col min="8962" max="8962" width="47.1640625" style="762" customWidth="1"/>
    <col min="8963" max="8963" width="43.6640625" style="762" customWidth="1"/>
    <col min="8964" max="8965" width="47.33203125" style="762" customWidth="1"/>
    <col min="8966" max="8966" width="47.1640625" style="762" customWidth="1"/>
    <col min="8967" max="8967" width="43.6640625" style="762" customWidth="1"/>
    <col min="8968" max="8969" width="47.33203125" style="762" customWidth="1"/>
    <col min="8970" max="8970" width="47.1640625" style="762" customWidth="1"/>
    <col min="8971" max="8971" width="43.6640625" style="762" customWidth="1"/>
    <col min="8972" max="8973" width="45" style="762" customWidth="1"/>
    <col min="8974" max="8974" width="44.83203125" style="762" customWidth="1"/>
    <col min="8975" max="8975" width="45" style="762" customWidth="1"/>
    <col min="8976" max="8977" width="47.33203125" style="762" customWidth="1"/>
    <col min="8978" max="8978" width="47.1640625" style="762" customWidth="1"/>
    <col min="8979" max="8979" width="43.6640625" style="762" customWidth="1"/>
    <col min="8980" max="8980" width="193.33203125" style="762" customWidth="1"/>
    <col min="8981" max="8983" width="47.33203125" style="762" customWidth="1"/>
    <col min="8984" max="8984" width="43.6640625" style="762" customWidth="1"/>
    <col min="8985" max="8987" width="47.33203125" style="762" customWidth="1"/>
    <col min="8988" max="8988" width="44" style="762" customWidth="1"/>
    <col min="8989" max="8991" width="47.33203125" style="762" customWidth="1"/>
    <col min="8992" max="8992" width="43.6640625" style="762" customWidth="1"/>
    <col min="8993" max="8995" width="47.33203125" style="762" customWidth="1"/>
    <col min="8996" max="8996" width="43.6640625" style="762" customWidth="1"/>
    <col min="8997" max="8999" width="47.33203125" style="762" customWidth="1"/>
    <col min="9000" max="9000" width="43.6640625" style="762" customWidth="1"/>
    <col min="9001" max="9001" width="193.33203125" style="762" customWidth="1"/>
    <col min="9002" max="9017" width="56" style="762" customWidth="1"/>
    <col min="9018" max="9018" width="59" style="762" customWidth="1"/>
    <col min="9019" max="9019" width="46" style="762" customWidth="1"/>
    <col min="9020" max="9214" width="9.33203125" style="762"/>
    <col min="9215" max="9215" width="193.33203125" style="762" customWidth="1"/>
    <col min="9216" max="9216" width="47.1640625" style="762" customWidth="1"/>
    <col min="9217" max="9217" width="47.33203125" style="762" customWidth="1"/>
    <col min="9218" max="9218" width="47.1640625" style="762" customWidth="1"/>
    <col min="9219" max="9219" width="43.6640625" style="762" customWidth="1"/>
    <col min="9220" max="9221" width="47.33203125" style="762" customWidth="1"/>
    <col min="9222" max="9222" width="47.1640625" style="762" customWidth="1"/>
    <col min="9223" max="9223" width="43.6640625" style="762" customWidth="1"/>
    <col min="9224" max="9225" width="47.33203125" style="762" customWidth="1"/>
    <col min="9226" max="9226" width="47.1640625" style="762" customWidth="1"/>
    <col min="9227" max="9227" width="43.6640625" style="762" customWidth="1"/>
    <col min="9228" max="9229" width="45" style="762" customWidth="1"/>
    <col min="9230" max="9230" width="44.83203125" style="762" customWidth="1"/>
    <col min="9231" max="9231" width="45" style="762" customWidth="1"/>
    <col min="9232" max="9233" width="47.33203125" style="762" customWidth="1"/>
    <col min="9234" max="9234" width="47.1640625" style="762" customWidth="1"/>
    <col min="9235" max="9235" width="43.6640625" style="762" customWidth="1"/>
    <col min="9236" max="9236" width="193.33203125" style="762" customWidth="1"/>
    <col min="9237" max="9239" width="47.33203125" style="762" customWidth="1"/>
    <col min="9240" max="9240" width="43.6640625" style="762" customWidth="1"/>
    <col min="9241" max="9243" width="47.33203125" style="762" customWidth="1"/>
    <col min="9244" max="9244" width="44" style="762" customWidth="1"/>
    <col min="9245" max="9247" width="47.33203125" style="762" customWidth="1"/>
    <col min="9248" max="9248" width="43.6640625" style="762" customWidth="1"/>
    <col min="9249" max="9251" width="47.33203125" style="762" customWidth="1"/>
    <col min="9252" max="9252" width="43.6640625" style="762" customWidth="1"/>
    <col min="9253" max="9255" width="47.33203125" style="762" customWidth="1"/>
    <col min="9256" max="9256" width="43.6640625" style="762" customWidth="1"/>
    <col min="9257" max="9257" width="193.33203125" style="762" customWidth="1"/>
    <col min="9258" max="9273" width="56" style="762" customWidth="1"/>
    <col min="9274" max="9274" width="59" style="762" customWidth="1"/>
    <col min="9275" max="9275" width="46" style="762" customWidth="1"/>
    <col min="9276" max="9470" width="9.33203125" style="762"/>
    <col min="9471" max="9471" width="193.33203125" style="762" customWidth="1"/>
    <col min="9472" max="9472" width="47.1640625" style="762" customWidth="1"/>
    <col min="9473" max="9473" width="47.33203125" style="762" customWidth="1"/>
    <col min="9474" max="9474" width="47.1640625" style="762" customWidth="1"/>
    <col min="9475" max="9475" width="43.6640625" style="762" customWidth="1"/>
    <col min="9476" max="9477" width="47.33203125" style="762" customWidth="1"/>
    <col min="9478" max="9478" width="47.1640625" style="762" customWidth="1"/>
    <col min="9479" max="9479" width="43.6640625" style="762" customWidth="1"/>
    <col min="9480" max="9481" width="47.33203125" style="762" customWidth="1"/>
    <col min="9482" max="9482" width="47.1640625" style="762" customWidth="1"/>
    <col min="9483" max="9483" width="43.6640625" style="762" customWidth="1"/>
    <col min="9484" max="9485" width="45" style="762" customWidth="1"/>
    <col min="9486" max="9486" width="44.83203125" style="762" customWidth="1"/>
    <col min="9487" max="9487" width="45" style="762" customWidth="1"/>
    <col min="9488" max="9489" width="47.33203125" style="762" customWidth="1"/>
    <col min="9490" max="9490" width="47.1640625" style="762" customWidth="1"/>
    <col min="9491" max="9491" width="43.6640625" style="762" customWidth="1"/>
    <col min="9492" max="9492" width="193.33203125" style="762" customWidth="1"/>
    <col min="9493" max="9495" width="47.33203125" style="762" customWidth="1"/>
    <col min="9496" max="9496" width="43.6640625" style="762" customWidth="1"/>
    <col min="9497" max="9499" width="47.33203125" style="762" customWidth="1"/>
    <col min="9500" max="9500" width="44" style="762" customWidth="1"/>
    <col min="9501" max="9503" width="47.33203125" style="762" customWidth="1"/>
    <col min="9504" max="9504" width="43.6640625" style="762" customWidth="1"/>
    <col min="9505" max="9507" width="47.33203125" style="762" customWidth="1"/>
    <col min="9508" max="9508" width="43.6640625" style="762" customWidth="1"/>
    <col min="9509" max="9511" width="47.33203125" style="762" customWidth="1"/>
    <col min="9512" max="9512" width="43.6640625" style="762" customWidth="1"/>
    <col min="9513" max="9513" width="193.33203125" style="762" customWidth="1"/>
    <col min="9514" max="9529" width="56" style="762" customWidth="1"/>
    <col min="9530" max="9530" width="59" style="762" customWidth="1"/>
    <col min="9531" max="9531" width="46" style="762" customWidth="1"/>
    <col min="9532" max="9726" width="9.33203125" style="762"/>
    <col min="9727" max="9727" width="193.33203125" style="762" customWidth="1"/>
    <col min="9728" max="9728" width="47.1640625" style="762" customWidth="1"/>
    <col min="9729" max="9729" width="47.33203125" style="762" customWidth="1"/>
    <col min="9730" max="9730" width="47.1640625" style="762" customWidth="1"/>
    <col min="9731" max="9731" width="43.6640625" style="762" customWidth="1"/>
    <col min="9732" max="9733" width="47.33203125" style="762" customWidth="1"/>
    <col min="9734" max="9734" width="47.1640625" style="762" customWidth="1"/>
    <col min="9735" max="9735" width="43.6640625" style="762" customWidth="1"/>
    <col min="9736" max="9737" width="47.33203125" style="762" customWidth="1"/>
    <col min="9738" max="9738" width="47.1640625" style="762" customWidth="1"/>
    <col min="9739" max="9739" width="43.6640625" style="762" customWidth="1"/>
    <col min="9740" max="9741" width="45" style="762" customWidth="1"/>
    <col min="9742" max="9742" width="44.83203125" style="762" customWidth="1"/>
    <col min="9743" max="9743" width="45" style="762" customWidth="1"/>
    <col min="9744" max="9745" width="47.33203125" style="762" customWidth="1"/>
    <col min="9746" max="9746" width="47.1640625" style="762" customWidth="1"/>
    <col min="9747" max="9747" width="43.6640625" style="762" customWidth="1"/>
    <col min="9748" max="9748" width="193.33203125" style="762" customWidth="1"/>
    <col min="9749" max="9751" width="47.33203125" style="762" customWidth="1"/>
    <col min="9752" max="9752" width="43.6640625" style="762" customWidth="1"/>
    <col min="9753" max="9755" width="47.33203125" style="762" customWidth="1"/>
    <col min="9756" max="9756" width="44" style="762" customWidth="1"/>
    <col min="9757" max="9759" width="47.33203125" style="762" customWidth="1"/>
    <col min="9760" max="9760" width="43.6640625" style="762" customWidth="1"/>
    <col min="9761" max="9763" width="47.33203125" style="762" customWidth="1"/>
    <col min="9764" max="9764" width="43.6640625" style="762" customWidth="1"/>
    <col min="9765" max="9767" width="47.33203125" style="762" customWidth="1"/>
    <col min="9768" max="9768" width="43.6640625" style="762" customWidth="1"/>
    <col min="9769" max="9769" width="193.33203125" style="762" customWidth="1"/>
    <col min="9770" max="9785" width="56" style="762" customWidth="1"/>
    <col min="9786" max="9786" width="59" style="762" customWidth="1"/>
    <col min="9787" max="9787" width="46" style="762" customWidth="1"/>
    <col min="9788" max="9982" width="9.33203125" style="762"/>
    <col min="9983" max="9983" width="193.33203125" style="762" customWidth="1"/>
    <col min="9984" max="9984" width="47.1640625" style="762" customWidth="1"/>
    <col min="9985" max="9985" width="47.33203125" style="762" customWidth="1"/>
    <col min="9986" max="9986" width="47.1640625" style="762" customWidth="1"/>
    <col min="9987" max="9987" width="43.6640625" style="762" customWidth="1"/>
    <col min="9988" max="9989" width="47.33203125" style="762" customWidth="1"/>
    <col min="9990" max="9990" width="47.1640625" style="762" customWidth="1"/>
    <col min="9991" max="9991" width="43.6640625" style="762" customWidth="1"/>
    <col min="9992" max="9993" width="47.33203125" style="762" customWidth="1"/>
    <col min="9994" max="9994" width="47.1640625" style="762" customWidth="1"/>
    <col min="9995" max="9995" width="43.6640625" style="762" customWidth="1"/>
    <col min="9996" max="9997" width="45" style="762" customWidth="1"/>
    <col min="9998" max="9998" width="44.83203125" style="762" customWidth="1"/>
    <col min="9999" max="9999" width="45" style="762" customWidth="1"/>
    <col min="10000" max="10001" width="47.33203125" style="762" customWidth="1"/>
    <col min="10002" max="10002" width="47.1640625" style="762" customWidth="1"/>
    <col min="10003" max="10003" width="43.6640625" style="762" customWidth="1"/>
    <col min="10004" max="10004" width="193.33203125" style="762" customWidth="1"/>
    <col min="10005" max="10007" width="47.33203125" style="762" customWidth="1"/>
    <col min="10008" max="10008" width="43.6640625" style="762" customWidth="1"/>
    <col min="10009" max="10011" width="47.33203125" style="762" customWidth="1"/>
    <col min="10012" max="10012" width="44" style="762" customWidth="1"/>
    <col min="10013" max="10015" width="47.33203125" style="762" customWidth="1"/>
    <col min="10016" max="10016" width="43.6640625" style="762" customWidth="1"/>
    <col min="10017" max="10019" width="47.33203125" style="762" customWidth="1"/>
    <col min="10020" max="10020" width="43.6640625" style="762" customWidth="1"/>
    <col min="10021" max="10023" width="47.33203125" style="762" customWidth="1"/>
    <col min="10024" max="10024" width="43.6640625" style="762" customWidth="1"/>
    <col min="10025" max="10025" width="193.33203125" style="762" customWidth="1"/>
    <col min="10026" max="10041" width="56" style="762" customWidth="1"/>
    <col min="10042" max="10042" width="59" style="762" customWidth="1"/>
    <col min="10043" max="10043" width="46" style="762" customWidth="1"/>
    <col min="10044" max="10238" width="9.33203125" style="762"/>
    <col min="10239" max="10239" width="193.33203125" style="762" customWidth="1"/>
    <col min="10240" max="10240" width="47.1640625" style="762" customWidth="1"/>
    <col min="10241" max="10241" width="47.33203125" style="762" customWidth="1"/>
    <col min="10242" max="10242" width="47.1640625" style="762" customWidth="1"/>
    <col min="10243" max="10243" width="43.6640625" style="762" customWidth="1"/>
    <col min="10244" max="10245" width="47.33203125" style="762" customWidth="1"/>
    <col min="10246" max="10246" width="47.1640625" style="762" customWidth="1"/>
    <col min="10247" max="10247" width="43.6640625" style="762" customWidth="1"/>
    <col min="10248" max="10249" width="47.33203125" style="762" customWidth="1"/>
    <col min="10250" max="10250" width="47.1640625" style="762" customWidth="1"/>
    <col min="10251" max="10251" width="43.6640625" style="762" customWidth="1"/>
    <col min="10252" max="10253" width="45" style="762" customWidth="1"/>
    <col min="10254" max="10254" width="44.83203125" style="762" customWidth="1"/>
    <col min="10255" max="10255" width="45" style="762" customWidth="1"/>
    <col min="10256" max="10257" width="47.33203125" style="762" customWidth="1"/>
    <col min="10258" max="10258" width="47.1640625" style="762" customWidth="1"/>
    <col min="10259" max="10259" width="43.6640625" style="762" customWidth="1"/>
    <col min="10260" max="10260" width="193.33203125" style="762" customWidth="1"/>
    <col min="10261" max="10263" width="47.33203125" style="762" customWidth="1"/>
    <col min="10264" max="10264" width="43.6640625" style="762" customWidth="1"/>
    <col min="10265" max="10267" width="47.33203125" style="762" customWidth="1"/>
    <col min="10268" max="10268" width="44" style="762" customWidth="1"/>
    <col min="10269" max="10271" width="47.33203125" style="762" customWidth="1"/>
    <col min="10272" max="10272" width="43.6640625" style="762" customWidth="1"/>
    <col min="10273" max="10275" width="47.33203125" style="762" customWidth="1"/>
    <col min="10276" max="10276" width="43.6640625" style="762" customWidth="1"/>
    <col min="10277" max="10279" width="47.33203125" style="762" customWidth="1"/>
    <col min="10280" max="10280" width="43.6640625" style="762" customWidth="1"/>
    <col min="10281" max="10281" width="193.33203125" style="762" customWidth="1"/>
    <col min="10282" max="10297" width="56" style="762" customWidth="1"/>
    <col min="10298" max="10298" width="59" style="762" customWidth="1"/>
    <col min="10299" max="10299" width="46" style="762" customWidth="1"/>
    <col min="10300" max="10494" width="9.33203125" style="762"/>
    <col min="10495" max="10495" width="193.33203125" style="762" customWidth="1"/>
    <col min="10496" max="10496" width="47.1640625" style="762" customWidth="1"/>
    <col min="10497" max="10497" width="47.33203125" style="762" customWidth="1"/>
    <col min="10498" max="10498" width="47.1640625" style="762" customWidth="1"/>
    <col min="10499" max="10499" width="43.6640625" style="762" customWidth="1"/>
    <col min="10500" max="10501" width="47.33203125" style="762" customWidth="1"/>
    <col min="10502" max="10502" width="47.1640625" style="762" customWidth="1"/>
    <col min="10503" max="10503" width="43.6640625" style="762" customWidth="1"/>
    <col min="10504" max="10505" width="47.33203125" style="762" customWidth="1"/>
    <col min="10506" max="10506" width="47.1640625" style="762" customWidth="1"/>
    <col min="10507" max="10507" width="43.6640625" style="762" customWidth="1"/>
    <col min="10508" max="10509" width="45" style="762" customWidth="1"/>
    <col min="10510" max="10510" width="44.83203125" style="762" customWidth="1"/>
    <col min="10511" max="10511" width="45" style="762" customWidth="1"/>
    <col min="10512" max="10513" width="47.33203125" style="762" customWidth="1"/>
    <col min="10514" max="10514" width="47.1640625" style="762" customWidth="1"/>
    <col min="10515" max="10515" width="43.6640625" style="762" customWidth="1"/>
    <col min="10516" max="10516" width="193.33203125" style="762" customWidth="1"/>
    <col min="10517" max="10519" width="47.33203125" style="762" customWidth="1"/>
    <col min="10520" max="10520" width="43.6640625" style="762" customWidth="1"/>
    <col min="10521" max="10523" width="47.33203125" style="762" customWidth="1"/>
    <col min="10524" max="10524" width="44" style="762" customWidth="1"/>
    <col min="10525" max="10527" width="47.33203125" style="762" customWidth="1"/>
    <col min="10528" max="10528" width="43.6640625" style="762" customWidth="1"/>
    <col min="10529" max="10531" width="47.33203125" style="762" customWidth="1"/>
    <col min="10532" max="10532" width="43.6640625" style="762" customWidth="1"/>
    <col min="10533" max="10535" width="47.33203125" style="762" customWidth="1"/>
    <col min="10536" max="10536" width="43.6640625" style="762" customWidth="1"/>
    <col min="10537" max="10537" width="193.33203125" style="762" customWidth="1"/>
    <col min="10538" max="10553" width="56" style="762" customWidth="1"/>
    <col min="10554" max="10554" width="59" style="762" customWidth="1"/>
    <col min="10555" max="10555" width="46" style="762" customWidth="1"/>
    <col min="10556" max="10750" width="9.33203125" style="762"/>
    <col min="10751" max="10751" width="193.33203125" style="762" customWidth="1"/>
    <col min="10752" max="10752" width="47.1640625" style="762" customWidth="1"/>
    <col min="10753" max="10753" width="47.33203125" style="762" customWidth="1"/>
    <col min="10754" max="10754" width="47.1640625" style="762" customWidth="1"/>
    <col min="10755" max="10755" width="43.6640625" style="762" customWidth="1"/>
    <col min="10756" max="10757" width="47.33203125" style="762" customWidth="1"/>
    <col min="10758" max="10758" width="47.1640625" style="762" customWidth="1"/>
    <col min="10759" max="10759" width="43.6640625" style="762" customWidth="1"/>
    <col min="10760" max="10761" width="47.33203125" style="762" customWidth="1"/>
    <col min="10762" max="10762" width="47.1640625" style="762" customWidth="1"/>
    <col min="10763" max="10763" width="43.6640625" style="762" customWidth="1"/>
    <col min="10764" max="10765" width="45" style="762" customWidth="1"/>
    <col min="10766" max="10766" width="44.83203125" style="762" customWidth="1"/>
    <col min="10767" max="10767" width="45" style="762" customWidth="1"/>
    <col min="10768" max="10769" width="47.33203125" style="762" customWidth="1"/>
    <col min="10770" max="10770" width="47.1640625" style="762" customWidth="1"/>
    <col min="10771" max="10771" width="43.6640625" style="762" customWidth="1"/>
    <col min="10772" max="10772" width="193.33203125" style="762" customWidth="1"/>
    <col min="10773" max="10775" width="47.33203125" style="762" customWidth="1"/>
    <col min="10776" max="10776" width="43.6640625" style="762" customWidth="1"/>
    <col min="10777" max="10779" width="47.33203125" style="762" customWidth="1"/>
    <col min="10780" max="10780" width="44" style="762" customWidth="1"/>
    <col min="10781" max="10783" width="47.33203125" style="762" customWidth="1"/>
    <col min="10784" max="10784" width="43.6640625" style="762" customWidth="1"/>
    <col min="10785" max="10787" width="47.33203125" style="762" customWidth="1"/>
    <col min="10788" max="10788" width="43.6640625" style="762" customWidth="1"/>
    <col min="10789" max="10791" width="47.33203125" style="762" customWidth="1"/>
    <col min="10792" max="10792" width="43.6640625" style="762" customWidth="1"/>
    <col min="10793" max="10793" width="193.33203125" style="762" customWidth="1"/>
    <col min="10794" max="10809" width="56" style="762" customWidth="1"/>
    <col min="10810" max="10810" width="59" style="762" customWidth="1"/>
    <col min="10811" max="10811" width="46" style="762" customWidth="1"/>
    <col min="10812" max="11006" width="9.33203125" style="762"/>
    <col min="11007" max="11007" width="193.33203125" style="762" customWidth="1"/>
    <col min="11008" max="11008" width="47.1640625" style="762" customWidth="1"/>
    <col min="11009" max="11009" width="47.33203125" style="762" customWidth="1"/>
    <col min="11010" max="11010" width="47.1640625" style="762" customWidth="1"/>
    <col min="11011" max="11011" width="43.6640625" style="762" customWidth="1"/>
    <col min="11012" max="11013" width="47.33203125" style="762" customWidth="1"/>
    <col min="11014" max="11014" width="47.1640625" style="762" customWidth="1"/>
    <col min="11015" max="11015" width="43.6640625" style="762" customWidth="1"/>
    <col min="11016" max="11017" width="47.33203125" style="762" customWidth="1"/>
    <col min="11018" max="11018" width="47.1640625" style="762" customWidth="1"/>
    <col min="11019" max="11019" width="43.6640625" style="762" customWidth="1"/>
    <col min="11020" max="11021" width="45" style="762" customWidth="1"/>
    <col min="11022" max="11022" width="44.83203125" style="762" customWidth="1"/>
    <col min="11023" max="11023" width="45" style="762" customWidth="1"/>
    <col min="11024" max="11025" width="47.33203125" style="762" customWidth="1"/>
    <col min="11026" max="11026" width="47.1640625" style="762" customWidth="1"/>
    <col min="11027" max="11027" width="43.6640625" style="762" customWidth="1"/>
    <col min="11028" max="11028" width="193.33203125" style="762" customWidth="1"/>
    <col min="11029" max="11031" width="47.33203125" style="762" customWidth="1"/>
    <col min="11032" max="11032" width="43.6640625" style="762" customWidth="1"/>
    <col min="11033" max="11035" width="47.33203125" style="762" customWidth="1"/>
    <col min="11036" max="11036" width="44" style="762" customWidth="1"/>
    <col min="11037" max="11039" width="47.33203125" style="762" customWidth="1"/>
    <col min="11040" max="11040" width="43.6640625" style="762" customWidth="1"/>
    <col min="11041" max="11043" width="47.33203125" style="762" customWidth="1"/>
    <col min="11044" max="11044" width="43.6640625" style="762" customWidth="1"/>
    <col min="11045" max="11047" width="47.33203125" style="762" customWidth="1"/>
    <col min="11048" max="11048" width="43.6640625" style="762" customWidth="1"/>
    <col min="11049" max="11049" width="193.33203125" style="762" customWidth="1"/>
    <col min="11050" max="11065" width="56" style="762" customWidth="1"/>
    <col min="11066" max="11066" width="59" style="762" customWidth="1"/>
    <col min="11067" max="11067" width="46" style="762" customWidth="1"/>
    <col min="11068" max="11262" width="9.33203125" style="762"/>
    <col min="11263" max="11263" width="193.33203125" style="762" customWidth="1"/>
    <col min="11264" max="11264" width="47.1640625" style="762" customWidth="1"/>
    <col min="11265" max="11265" width="47.33203125" style="762" customWidth="1"/>
    <col min="11266" max="11266" width="47.1640625" style="762" customWidth="1"/>
    <col min="11267" max="11267" width="43.6640625" style="762" customWidth="1"/>
    <col min="11268" max="11269" width="47.33203125" style="762" customWidth="1"/>
    <col min="11270" max="11270" width="47.1640625" style="762" customWidth="1"/>
    <col min="11271" max="11271" width="43.6640625" style="762" customWidth="1"/>
    <col min="11272" max="11273" width="47.33203125" style="762" customWidth="1"/>
    <col min="11274" max="11274" width="47.1640625" style="762" customWidth="1"/>
    <col min="11275" max="11275" width="43.6640625" style="762" customWidth="1"/>
    <col min="11276" max="11277" width="45" style="762" customWidth="1"/>
    <col min="11278" max="11278" width="44.83203125" style="762" customWidth="1"/>
    <col min="11279" max="11279" width="45" style="762" customWidth="1"/>
    <col min="11280" max="11281" width="47.33203125" style="762" customWidth="1"/>
    <col min="11282" max="11282" width="47.1640625" style="762" customWidth="1"/>
    <col min="11283" max="11283" width="43.6640625" style="762" customWidth="1"/>
    <col min="11284" max="11284" width="193.33203125" style="762" customWidth="1"/>
    <col min="11285" max="11287" width="47.33203125" style="762" customWidth="1"/>
    <col min="11288" max="11288" width="43.6640625" style="762" customWidth="1"/>
    <col min="11289" max="11291" width="47.33203125" style="762" customWidth="1"/>
    <col min="11292" max="11292" width="44" style="762" customWidth="1"/>
    <col min="11293" max="11295" width="47.33203125" style="762" customWidth="1"/>
    <col min="11296" max="11296" width="43.6640625" style="762" customWidth="1"/>
    <col min="11297" max="11299" width="47.33203125" style="762" customWidth="1"/>
    <col min="11300" max="11300" width="43.6640625" style="762" customWidth="1"/>
    <col min="11301" max="11303" width="47.33203125" style="762" customWidth="1"/>
    <col min="11304" max="11304" width="43.6640625" style="762" customWidth="1"/>
    <col min="11305" max="11305" width="193.33203125" style="762" customWidth="1"/>
    <col min="11306" max="11321" width="56" style="762" customWidth="1"/>
    <col min="11322" max="11322" width="59" style="762" customWidth="1"/>
    <col min="11323" max="11323" width="46" style="762" customWidth="1"/>
    <col min="11324" max="11518" width="9.33203125" style="762"/>
    <col min="11519" max="11519" width="193.33203125" style="762" customWidth="1"/>
    <col min="11520" max="11520" width="47.1640625" style="762" customWidth="1"/>
    <col min="11521" max="11521" width="47.33203125" style="762" customWidth="1"/>
    <col min="11522" max="11522" width="47.1640625" style="762" customWidth="1"/>
    <col min="11523" max="11523" width="43.6640625" style="762" customWidth="1"/>
    <col min="11524" max="11525" width="47.33203125" style="762" customWidth="1"/>
    <col min="11526" max="11526" width="47.1640625" style="762" customWidth="1"/>
    <col min="11527" max="11527" width="43.6640625" style="762" customWidth="1"/>
    <col min="11528" max="11529" width="47.33203125" style="762" customWidth="1"/>
    <col min="11530" max="11530" width="47.1640625" style="762" customWidth="1"/>
    <col min="11531" max="11531" width="43.6640625" style="762" customWidth="1"/>
    <col min="11532" max="11533" width="45" style="762" customWidth="1"/>
    <col min="11534" max="11534" width="44.83203125" style="762" customWidth="1"/>
    <col min="11535" max="11535" width="45" style="762" customWidth="1"/>
    <col min="11536" max="11537" width="47.33203125" style="762" customWidth="1"/>
    <col min="11538" max="11538" width="47.1640625" style="762" customWidth="1"/>
    <col min="11539" max="11539" width="43.6640625" style="762" customWidth="1"/>
    <col min="11540" max="11540" width="193.33203125" style="762" customWidth="1"/>
    <col min="11541" max="11543" width="47.33203125" style="762" customWidth="1"/>
    <col min="11544" max="11544" width="43.6640625" style="762" customWidth="1"/>
    <col min="11545" max="11547" width="47.33203125" style="762" customWidth="1"/>
    <col min="11548" max="11548" width="44" style="762" customWidth="1"/>
    <col min="11549" max="11551" width="47.33203125" style="762" customWidth="1"/>
    <col min="11552" max="11552" width="43.6640625" style="762" customWidth="1"/>
    <col min="11553" max="11555" width="47.33203125" style="762" customWidth="1"/>
    <col min="11556" max="11556" width="43.6640625" style="762" customWidth="1"/>
    <col min="11557" max="11559" width="47.33203125" style="762" customWidth="1"/>
    <col min="11560" max="11560" width="43.6640625" style="762" customWidth="1"/>
    <col min="11561" max="11561" width="193.33203125" style="762" customWidth="1"/>
    <col min="11562" max="11577" width="56" style="762" customWidth="1"/>
    <col min="11578" max="11578" width="59" style="762" customWidth="1"/>
    <col min="11579" max="11579" width="46" style="762" customWidth="1"/>
    <col min="11580" max="11774" width="9.33203125" style="762"/>
    <col min="11775" max="11775" width="193.33203125" style="762" customWidth="1"/>
    <col min="11776" max="11776" width="47.1640625" style="762" customWidth="1"/>
    <col min="11777" max="11777" width="47.33203125" style="762" customWidth="1"/>
    <col min="11778" max="11778" width="47.1640625" style="762" customWidth="1"/>
    <col min="11779" max="11779" width="43.6640625" style="762" customWidth="1"/>
    <col min="11780" max="11781" width="47.33203125" style="762" customWidth="1"/>
    <col min="11782" max="11782" width="47.1640625" style="762" customWidth="1"/>
    <col min="11783" max="11783" width="43.6640625" style="762" customWidth="1"/>
    <col min="11784" max="11785" width="47.33203125" style="762" customWidth="1"/>
    <col min="11786" max="11786" width="47.1640625" style="762" customWidth="1"/>
    <col min="11787" max="11787" width="43.6640625" style="762" customWidth="1"/>
    <col min="11788" max="11789" width="45" style="762" customWidth="1"/>
    <col min="11790" max="11790" width="44.83203125" style="762" customWidth="1"/>
    <col min="11791" max="11791" width="45" style="762" customWidth="1"/>
    <col min="11792" max="11793" width="47.33203125" style="762" customWidth="1"/>
    <col min="11794" max="11794" width="47.1640625" style="762" customWidth="1"/>
    <col min="11795" max="11795" width="43.6640625" style="762" customWidth="1"/>
    <col min="11796" max="11796" width="193.33203125" style="762" customWidth="1"/>
    <col min="11797" max="11799" width="47.33203125" style="762" customWidth="1"/>
    <col min="11800" max="11800" width="43.6640625" style="762" customWidth="1"/>
    <col min="11801" max="11803" width="47.33203125" style="762" customWidth="1"/>
    <col min="11804" max="11804" width="44" style="762" customWidth="1"/>
    <col min="11805" max="11807" width="47.33203125" style="762" customWidth="1"/>
    <col min="11808" max="11808" width="43.6640625" style="762" customWidth="1"/>
    <col min="11809" max="11811" width="47.33203125" style="762" customWidth="1"/>
    <col min="11812" max="11812" width="43.6640625" style="762" customWidth="1"/>
    <col min="11813" max="11815" width="47.33203125" style="762" customWidth="1"/>
    <col min="11816" max="11816" width="43.6640625" style="762" customWidth="1"/>
    <col min="11817" max="11817" width="193.33203125" style="762" customWidth="1"/>
    <col min="11818" max="11833" width="56" style="762" customWidth="1"/>
    <col min="11834" max="11834" width="59" style="762" customWidth="1"/>
    <col min="11835" max="11835" width="46" style="762" customWidth="1"/>
    <col min="11836" max="12030" width="9.33203125" style="762"/>
    <col min="12031" max="12031" width="193.33203125" style="762" customWidth="1"/>
    <col min="12032" max="12032" width="47.1640625" style="762" customWidth="1"/>
    <col min="12033" max="12033" width="47.33203125" style="762" customWidth="1"/>
    <col min="12034" max="12034" width="47.1640625" style="762" customWidth="1"/>
    <col min="12035" max="12035" width="43.6640625" style="762" customWidth="1"/>
    <col min="12036" max="12037" width="47.33203125" style="762" customWidth="1"/>
    <col min="12038" max="12038" width="47.1640625" style="762" customWidth="1"/>
    <col min="12039" max="12039" width="43.6640625" style="762" customWidth="1"/>
    <col min="12040" max="12041" width="47.33203125" style="762" customWidth="1"/>
    <col min="12042" max="12042" width="47.1640625" style="762" customWidth="1"/>
    <col min="12043" max="12043" width="43.6640625" style="762" customWidth="1"/>
    <col min="12044" max="12045" width="45" style="762" customWidth="1"/>
    <col min="12046" max="12046" width="44.83203125" style="762" customWidth="1"/>
    <col min="12047" max="12047" width="45" style="762" customWidth="1"/>
    <col min="12048" max="12049" width="47.33203125" style="762" customWidth="1"/>
    <col min="12050" max="12050" width="47.1640625" style="762" customWidth="1"/>
    <col min="12051" max="12051" width="43.6640625" style="762" customWidth="1"/>
    <col min="12052" max="12052" width="193.33203125" style="762" customWidth="1"/>
    <col min="12053" max="12055" width="47.33203125" style="762" customWidth="1"/>
    <col min="12056" max="12056" width="43.6640625" style="762" customWidth="1"/>
    <col min="12057" max="12059" width="47.33203125" style="762" customWidth="1"/>
    <col min="12060" max="12060" width="44" style="762" customWidth="1"/>
    <col min="12061" max="12063" width="47.33203125" style="762" customWidth="1"/>
    <col min="12064" max="12064" width="43.6640625" style="762" customWidth="1"/>
    <col min="12065" max="12067" width="47.33203125" style="762" customWidth="1"/>
    <col min="12068" max="12068" width="43.6640625" style="762" customWidth="1"/>
    <col min="12069" max="12071" width="47.33203125" style="762" customWidth="1"/>
    <col min="12072" max="12072" width="43.6640625" style="762" customWidth="1"/>
    <col min="12073" max="12073" width="193.33203125" style="762" customWidth="1"/>
    <col min="12074" max="12089" width="56" style="762" customWidth="1"/>
    <col min="12090" max="12090" width="59" style="762" customWidth="1"/>
    <col min="12091" max="12091" width="46" style="762" customWidth="1"/>
    <col min="12092" max="12286" width="9.33203125" style="762"/>
    <col min="12287" max="12287" width="193.33203125" style="762" customWidth="1"/>
    <col min="12288" max="12288" width="47.1640625" style="762" customWidth="1"/>
    <col min="12289" max="12289" width="47.33203125" style="762" customWidth="1"/>
    <col min="12290" max="12290" width="47.1640625" style="762" customWidth="1"/>
    <col min="12291" max="12291" width="43.6640625" style="762" customWidth="1"/>
    <col min="12292" max="12293" width="47.33203125" style="762" customWidth="1"/>
    <col min="12294" max="12294" width="47.1640625" style="762" customWidth="1"/>
    <col min="12295" max="12295" width="43.6640625" style="762" customWidth="1"/>
    <col min="12296" max="12297" width="47.33203125" style="762" customWidth="1"/>
    <col min="12298" max="12298" width="47.1640625" style="762" customWidth="1"/>
    <col min="12299" max="12299" width="43.6640625" style="762" customWidth="1"/>
    <col min="12300" max="12301" width="45" style="762" customWidth="1"/>
    <col min="12302" max="12302" width="44.83203125" style="762" customWidth="1"/>
    <col min="12303" max="12303" width="45" style="762" customWidth="1"/>
    <col min="12304" max="12305" width="47.33203125" style="762" customWidth="1"/>
    <col min="12306" max="12306" width="47.1640625" style="762" customWidth="1"/>
    <col min="12307" max="12307" width="43.6640625" style="762" customWidth="1"/>
    <col min="12308" max="12308" width="193.33203125" style="762" customWidth="1"/>
    <col min="12309" max="12311" width="47.33203125" style="762" customWidth="1"/>
    <col min="12312" max="12312" width="43.6640625" style="762" customWidth="1"/>
    <col min="12313" max="12315" width="47.33203125" style="762" customWidth="1"/>
    <col min="12316" max="12316" width="44" style="762" customWidth="1"/>
    <col min="12317" max="12319" width="47.33203125" style="762" customWidth="1"/>
    <col min="12320" max="12320" width="43.6640625" style="762" customWidth="1"/>
    <col min="12321" max="12323" width="47.33203125" style="762" customWidth="1"/>
    <col min="12324" max="12324" width="43.6640625" style="762" customWidth="1"/>
    <col min="12325" max="12327" width="47.33203125" style="762" customWidth="1"/>
    <col min="12328" max="12328" width="43.6640625" style="762" customWidth="1"/>
    <col min="12329" max="12329" width="193.33203125" style="762" customWidth="1"/>
    <col min="12330" max="12345" width="56" style="762" customWidth="1"/>
    <col min="12346" max="12346" width="59" style="762" customWidth="1"/>
    <col min="12347" max="12347" width="46" style="762" customWidth="1"/>
    <col min="12348" max="12542" width="9.33203125" style="762"/>
    <col min="12543" max="12543" width="193.33203125" style="762" customWidth="1"/>
    <col min="12544" max="12544" width="47.1640625" style="762" customWidth="1"/>
    <col min="12545" max="12545" width="47.33203125" style="762" customWidth="1"/>
    <col min="12546" max="12546" width="47.1640625" style="762" customWidth="1"/>
    <col min="12547" max="12547" width="43.6640625" style="762" customWidth="1"/>
    <col min="12548" max="12549" width="47.33203125" style="762" customWidth="1"/>
    <col min="12550" max="12550" width="47.1640625" style="762" customWidth="1"/>
    <col min="12551" max="12551" width="43.6640625" style="762" customWidth="1"/>
    <col min="12552" max="12553" width="47.33203125" style="762" customWidth="1"/>
    <col min="12554" max="12554" width="47.1640625" style="762" customWidth="1"/>
    <col min="12555" max="12555" width="43.6640625" style="762" customWidth="1"/>
    <col min="12556" max="12557" width="45" style="762" customWidth="1"/>
    <col min="12558" max="12558" width="44.83203125" style="762" customWidth="1"/>
    <col min="12559" max="12559" width="45" style="762" customWidth="1"/>
    <col min="12560" max="12561" width="47.33203125" style="762" customWidth="1"/>
    <col min="12562" max="12562" width="47.1640625" style="762" customWidth="1"/>
    <col min="12563" max="12563" width="43.6640625" style="762" customWidth="1"/>
    <col min="12564" max="12564" width="193.33203125" style="762" customWidth="1"/>
    <col min="12565" max="12567" width="47.33203125" style="762" customWidth="1"/>
    <col min="12568" max="12568" width="43.6640625" style="762" customWidth="1"/>
    <col min="12569" max="12571" width="47.33203125" style="762" customWidth="1"/>
    <col min="12572" max="12572" width="44" style="762" customWidth="1"/>
    <col min="12573" max="12575" width="47.33203125" style="762" customWidth="1"/>
    <col min="12576" max="12576" width="43.6640625" style="762" customWidth="1"/>
    <col min="12577" max="12579" width="47.33203125" style="762" customWidth="1"/>
    <col min="12580" max="12580" width="43.6640625" style="762" customWidth="1"/>
    <col min="12581" max="12583" width="47.33203125" style="762" customWidth="1"/>
    <col min="12584" max="12584" width="43.6640625" style="762" customWidth="1"/>
    <col min="12585" max="12585" width="193.33203125" style="762" customWidth="1"/>
    <col min="12586" max="12601" width="56" style="762" customWidth="1"/>
    <col min="12602" max="12602" width="59" style="762" customWidth="1"/>
    <col min="12603" max="12603" width="46" style="762" customWidth="1"/>
    <col min="12604" max="12798" width="9.33203125" style="762"/>
    <col min="12799" max="12799" width="193.33203125" style="762" customWidth="1"/>
    <col min="12800" max="12800" width="47.1640625" style="762" customWidth="1"/>
    <col min="12801" max="12801" width="47.33203125" style="762" customWidth="1"/>
    <col min="12802" max="12802" width="47.1640625" style="762" customWidth="1"/>
    <col min="12803" max="12803" width="43.6640625" style="762" customWidth="1"/>
    <col min="12804" max="12805" width="47.33203125" style="762" customWidth="1"/>
    <col min="12806" max="12806" width="47.1640625" style="762" customWidth="1"/>
    <col min="12807" max="12807" width="43.6640625" style="762" customWidth="1"/>
    <col min="12808" max="12809" width="47.33203125" style="762" customWidth="1"/>
    <col min="12810" max="12810" width="47.1640625" style="762" customWidth="1"/>
    <col min="12811" max="12811" width="43.6640625" style="762" customWidth="1"/>
    <col min="12812" max="12813" width="45" style="762" customWidth="1"/>
    <col min="12814" max="12814" width="44.83203125" style="762" customWidth="1"/>
    <col min="12815" max="12815" width="45" style="762" customWidth="1"/>
    <col min="12816" max="12817" width="47.33203125" style="762" customWidth="1"/>
    <col min="12818" max="12818" width="47.1640625" style="762" customWidth="1"/>
    <col min="12819" max="12819" width="43.6640625" style="762" customWidth="1"/>
    <col min="12820" max="12820" width="193.33203125" style="762" customWidth="1"/>
    <col min="12821" max="12823" width="47.33203125" style="762" customWidth="1"/>
    <col min="12824" max="12824" width="43.6640625" style="762" customWidth="1"/>
    <col min="12825" max="12827" width="47.33203125" style="762" customWidth="1"/>
    <col min="12828" max="12828" width="44" style="762" customWidth="1"/>
    <col min="12829" max="12831" width="47.33203125" style="762" customWidth="1"/>
    <col min="12832" max="12832" width="43.6640625" style="762" customWidth="1"/>
    <col min="12833" max="12835" width="47.33203125" style="762" customWidth="1"/>
    <col min="12836" max="12836" width="43.6640625" style="762" customWidth="1"/>
    <col min="12837" max="12839" width="47.33203125" style="762" customWidth="1"/>
    <col min="12840" max="12840" width="43.6640625" style="762" customWidth="1"/>
    <col min="12841" max="12841" width="193.33203125" style="762" customWidth="1"/>
    <col min="12842" max="12857" width="56" style="762" customWidth="1"/>
    <col min="12858" max="12858" width="59" style="762" customWidth="1"/>
    <col min="12859" max="12859" width="46" style="762" customWidth="1"/>
    <col min="12860" max="13054" width="9.33203125" style="762"/>
    <col min="13055" max="13055" width="193.33203125" style="762" customWidth="1"/>
    <col min="13056" max="13056" width="47.1640625" style="762" customWidth="1"/>
    <col min="13057" max="13057" width="47.33203125" style="762" customWidth="1"/>
    <col min="13058" max="13058" width="47.1640625" style="762" customWidth="1"/>
    <col min="13059" max="13059" width="43.6640625" style="762" customWidth="1"/>
    <col min="13060" max="13061" width="47.33203125" style="762" customWidth="1"/>
    <col min="13062" max="13062" width="47.1640625" style="762" customWidth="1"/>
    <col min="13063" max="13063" width="43.6640625" style="762" customWidth="1"/>
    <col min="13064" max="13065" width="47.33203125" style="762" customWidth="1"/>
    <col min="13066" max="13066" width="47.1640625" style="762" customWidth="1"/>
    <col min="13067" max="13067" width="43.6640625" style="762" customWidth="1"/>
    <col min="13068" max="13069" width="45" style="762" customWidth="1"/>
    <col min="13070" max="13070" width="44.83203125" style="762" customWidth="1"/>
    <col min="13071" max="13071" width="45" style="762" customWidth="1"/>
    <col min="13072" max="13073" width="47.33203125" style="762" customWidth="1"/>
    <col min="13074" max="13074" width="47.1640625" style="762" customWidth="1"/>
    <col min="13075" max="13075" width="43.6640625" style="762" customWidth="1"/>
    <col min="13076" max="13076" width="193.33203125" style="762" customWidth="1"/>
    <col min="13077" max="13079" width="47.33203125" style="762" customWidth="1"/>
    <col min="13080" max="13080" width="43.6640625" style="762" customWidth="1"/>
    <col min="13081" max="13083" width="47.33203125" style="762" customWidth="1"/>
    <col min="13084" max="13084" width="44" style="762" customWidth="1"/>
    <col min="13085" max="13087" width="47.33203125" style="762" customWidth="1"/>
    <col min="13088" max="13088" width="43.6640625" style="762" customWidth="1"/>
    <col min="13089" max="13091" width="47.33203125" style="762" customWidth="1"/>
    <col min="13092" max="13092" width="43.6640625" style="762" customWidth="1"/>
    <col min="13093" max="13095" width="47.33203125" style="762" customWidth="1"/>
    <col min="13096" max="13096" width="43.6640625" style="762" customWidth="1"/>
    <col min="13097" max="13097" width="193.33203125" style="762" customWidth="1"/>
    <col min="13098" max="13113" width="56" style="762" customWidth="1"/>
    <col min="13114" max="13114" width="59" style="762" customWidth="1"/>
    <col min="13115" max="13115" width="46" style="762" customWidth="1"/>
    <col min="13116" max="13310" width="9.33203125" style="762"/>
    <col min="13311" max="13311" width="193.33203125" style="762" customWidth="1"/>
    <col min="13312" max="13312" width="47.1640625" style="762" customWidth="1"/>
    <col min="13313" max="13313" width="47.33203125" style="762" customWidth="1"/>
    <col min="13314" max="13314" width="47.1640625" style="762" customWidth="1"/>
    <col min="13315" max="13315" width="43.6640625" style="762" customWidth="1"/>
    <col min="13316" max="13317" width="47.33203125" style="762" customWidth="1"/>
    <col min="13318" max="13318" width="47.1640625" style="762" customWidth="1"/>
    <col min="13319" max="13319" width="43.6640625" style="762" customWidth="1"/>
    <col min="13320" max="13321" width="47.33203125" style="762" customWidth="1"/>
    <col min="13322" max="13322" width="47.1640625" style="762" customWidth="1"/>
    <col min="13323" max="13323" width="43.6640625" style="762" customWidth="1"/>
    <col min="13324" max="13325" width="45" style="762" customWidth="1"/>
    <col min="13326" max="13326" width="44.83203125" style="762" customWidth="1"/>
    <col min="13327" max="13327" width="45" style="762" customWidth="1"/>
    <col min="13328" max="13329" width="47.33203125" style="762" customWidth="1"/>
    <col min="13330" max="13330" width="47.1640625" style="762" customWidth="1"/>
    <col min="13331" max="13331" width="43.6640625" style="762" customWidth="1"/>
    <col min="13332" max="13332" width="193.33203125" style="762" customWidth="1"/>
    <col min="13333" max="13335" width="47.33203125" style="762" customWidth="1"/>
    <col min="13336" max="13336" width="43.6640625" style="762" customWidth="1"/>
    <col min="13337" max="13339" width="47.33203125" style="762" customWidth="1"/>
    <col min="13340" max="13340" width="44" style="762" customWidth="1"/>
    <col min="13341" max="13343" width="47.33203125" style="762" customWidth="1"/>
    <col min="13344" max="13344" width="43.6640625" style="762" customWidth="1"/>
    <col min="13345" max="13347" width="47.33203125" style="762" customWidth="1"/>
    <col min="13348" max="13348" width="43.6640625" style="762" customWidth="1"/>
    <col min="13349" max="13351" width="47.33203125" style="762" customWidth="1"/>
    <col min="13352" max="13352" width="43.6640625" style="762" customWidth="1"/>
    <col min="13353" max="13353" width="193.33203125" style="762" customWidth="1"/>
    <col min="13354" max="13369" width="56" style="762" customWidth="1"/>
    <col min="13370" max="13370" width="59" style="762" customWidth="1"/>
    <col min="13371" max="13371" width="46" style="762" customWidth="1"/>
    <col min="13372" max="13566" width="9.33203125" style="762"/>
    <col min="13567" max="13567" width="193.33203125" style="762" customWidth="1"/>
    <col min="13568" max="13568" width="47.1640625" style="762" customWidth="1"/>
    <col min="13569" max="13569" width="47.33203125" style="762" customWidth="1"/>
    <col min="13570" max="13570" width="47.1640625" style="762" customWidth="1"/>
    <col min="13571" max="13571" width="43.6640625" style="762" customWidth="1"/>
    <col min="13572" max="13573" width="47.33203125" style="762" customWidth="1"/>
    <col min="13574" max="13574" width="47.1640625" style="762" customWidth="1"/>
    <col min="13575" max="13575" width="43.6640625" style="762" customWidth="1"/>
    <col min="13576" max="13577" width="47.33203125" style="762" customWidth="1"/>
    <col min="13578" max="13578" width="47.1640625" style="762" customWidth="1"/>
    <col min="13579" max="13579" width="43.6640625" style="762" customWidth="1"/>
    <col min="13580" max="13581" width="45" style="762" customWidth="1"/>
    <col min="13582" max="13582" width="44.83203125" style="762" customWidth="1"/>
    <col min="13583" max="13583" width="45" style="762" customWidth="1"/>
    <col min="13584" max="13585" width="47.33203125" style="762" customWidth="1"/>
    <col min="13586" max="13586" width="47.1640625" style="762" customWidth="1"/>
    <col min="13587" max="13587" width="43.6640625" style="762" customWidth="1"/>
    <col min="13588" max="13588" width="193.33203125" style="762" customWidth="1"/>
    <col min="13589" max="13591" width="47.33203125" style="762" customWidth="1"/>
    <col min="13592" max="13592" width="43.6640625" style="762" customWidth="1"/>
    <col min="13593" max="13595" width="47.33203125" style="762" customWidth="1"/>
    <col min="13596" max="13596" width="44" style="762" customWidth="1"/>
    <col min="13597" max="13599" width="47.33203125" style="762" customWidth="1"/>
    <col min="13600" max="13600" width="43.6640625" style="762" customWidth="1"/>
    <col min="13601" max="13603" width="47.33203125" style="762" customWidth="1"/>
    <col min="13604" max="13604" width="43.6640625" style="762" customWidth="1"/>
    <col min="13605" max="13607" width="47.33203125" style="762" customWidth="1"/>
    <col min="13608" max="13608" width="43.6640625" style="762" customWidth="1"/>
    <col min="13609" max="13609" width="193.33203125" style="762" customWidth="1"/>
    <col min="13610" max="13625" width="56" style="762" customWidth="1"/>
    <col min="13626" max="13626" width="59" style="762" customWidth="1"/>
    <col min="13627" max="13627" width="46" style="762" customWidth="1"/>
    <col min="13628" max="13822" width="9.33203125" style="762"/>
    <col min="13823" max="13823" width="193.33203125" style="762" customWidth="1"/>
    <col min="13824" max="13824" width="47.1640625" style="762" customWidth="1"/>
    <col min="13825" max="13825" width="47.33203125" style="762" customWidth="1"/>
    <col min="13826" max="13826" width="47.1640625" style="762" customWidth="1"/>
    <col min="13827" max="13827" width="43.6640625" style="762" customWidth="1"/>
    <col min="13828" max="13829" width="47.33203125" style="762" customWidth="1"/>
    <col min="13830" max="13830" width="47.1640625" style="762" customWidth="1"/>
    <col min="13831" max="13831" width="43.6640625" style="762" customWidth="1"/>
    <col min="13832" max="13833" width="47.33203125" style="762" customWidth="1"/>
    <col min="13834" max="13834" width="47.1640625" style="762" customWidth="1"/>
    <col min="13835" max="13835" width="43.6640625" style="762" customWidth="1"/>
    <col min="13836" max="13837" width="45" style="762" customWidth="1"/>
    <col min="13838" max="13838" width="44.83203125" style="762" customWidth="1"/>
    <col min="13839" max="13839" width="45" style="762" customWidth="1"/>
    <col min="13840" max="13841" width="47.33203125" style="762" customWidth="1"/>
    <col min="13842" max="13842" width="47.1640625" style="762" customWidth="1"/>
    <col min="13843" max="13843" width="43.6640625" style="762" customWidth="1"/>
    <col min="13844" max="13844" width="193.33203125" style="762" customWidth="1"/>
    <col min="13845" max="13847" width="47.33203125" style="762" customWidth="1"/>
    <col min="13848" max="13848" width="43.6640625" style="762" customWidth="1"/>
    <col min="13849" max="13851" width="47.33203125" style="762" customWidth="1"/>
    <col min="13852" max="13852" width="44" style="762" customWidth="1"/>
    <col min="13853" max="13855" width="47.33203125" style="762" customWidth="1"/>
    <col min="13856" max="13856" width="43.6640625" style="762" customWidth="1"/>
    <col min="13857" max="13859" width="47.33203125" style="762" customWidth="1"/>
    <col min="13860" max="13860" width="43.6640625" style="762" customWidth="1"/>
    <col min="13861" max="13863" width="47.33203125" style="762" customWidth="1"/>
    <col min="13864" max="13864" width="43.6640625" style="762" customWidth="1"/>
    <col min="13865" max="13865" width="193.33203125" style="762" customWidth="1"/>
    <col min="13866" max="13881" width="56" style="762" customWidth="1"/>
    <col min="13882" max="13882" width="59" style="762" customWidth="1"/>
    <col min="13883" max="13883" width="46" style="762" customWidth="1"/>
    <col min="13884" max="14078" width="9.33203125" style="762"/>
    <col min="14079" max="14079" width="193.33203125" style="762" customWidth="1"/>
    <col min="14080" max="14080" width="47.1640625" style="762" customWidth="1"/>
    <col min="14081" max="14081" width="47.33203125" style="762" customWidth="1"/>
    <col min="14082" max="14082" width="47.1640625" style="762" customWidth="1"/>
    <col min="14083" max="14083" width="43.6640625" style="762" customWidth="1"/>
    <col min="14084" max="14085" width="47.33203125" style="762" customWidth="1"/>
    <col min="14086" max="14086" width="47.1640625" style="762" customWidth="1"/>
    <col min="14087" max="14087" width="43.6640625" style="762" customWidth="1"/>
    <col min="14088" max="14089" width="47.33203125" style="762" customWidth="1"/>
    <col min="14090" max="14090" width="47.1640625" style="762" customWidth="1"/>
    <col min="14091" max="14091" width="43.6640625" style="762" customWidth="1"/>
    <col min="14092" max="14093" width="45" style="762" customWidth="1"/>
    <col min="14094" max="14094" width="44.83203125" style="762" customWidth="1"/>
    <col min="14095" max="14095" width="45" style="762" customWidth="1"/>
    <col min="14096" max="14097" width="47.33203125" style="762" customWidth="1"/>
    <col min="14098" max="14098" width="47.1640625" style="762" customWidth="1"/>
    <col min="14099" max="14099" width="43.6640625" style="762" customWidth="1"/>
    <col min="14100" max="14100" width="193.33203125" style="762" customWidth="1"/>
    <col min="14101" max="14103" width="47.33203125" style="762" customWidth="1"/>
    <col min="14104" max="14104" width="43.6640625" style="762" customWidth="1"/>
    <col min="14105" max="14107" width="47.33203125" style="762" customWidth="1"/>
    <col min="14108" max="14108" width="44" style="762" customWidth="1"/>
    <col min="14109" max="14111" width="47.33203125" style="762" customWidth="1"/>
    <col min="14112" max="14112" width="43.6640625" style="762" customWidth="1"/>
    <col min="14113" max="14115" width="47.33203125" style="762" customWidth="1"/>
    <col min="14116" max="14116" width="43.6640625" style="762" customWidth="1"/>
    <col min="14117" max="14119" width="47.33203125" style="762" customWidth="1"/>
    <col min="14120" max="14120" width="43.6640625" style="762" customWidth="1"/>
    <col min="14121" max="14121" width="193.33203125" style="762" customWidth="1"/>
    <col min="14122" max="14137" width="56" style="762" customWidth="1"/>
    <col min="14138" max="14138" width="59" style="762" customWidth="1"/>
    <col min="14139" max="14139" width="46" style="762" customWidth="1"/>
    <col min="14140" max="14334" width="9.33203125" style="762"/>
    <col min="14335" max="14335" width="193.33203125" style="762" customWidth="1"/>
    <col min="14336" max="14336" width="47.1640625" style="762" customWidth="1"/>
    <col min="14337" max="14337" width="47.33203125" style="762" customWidth="1"/>
    <col min="14338" max="14338" width="47.1640625" style="762" customWidth="1"/>
    <col min="14339" max="14339" width="43.6640625" style="762" customWidth="1"/>
    <col min="14340" max="14341" width="47.33203125" style="762" customWidth="1"/>
    <col min="14342" max="14342" width="47.1640625" style="762" customWidth="1"/>
    <col min="14343" max="14343" width="43.6640625" style="762" customWidth="1"/>
    <col min="14344" max="14345" width="47.33203125" style="762" customWidth="1"/>
    <col min="14346" max="14346" width="47.1640625" style="762" customWidth="1"/>
    <col min="14347" max="14347" width="43.6640625" style="762" customWidth="1"/>
    <col min="14348" max="14349" width="45" style="762" customWidth="1"/>
    <col min="14350" max="14350" width="44.83203125" style="762" customWidth="1"/>
    <col min="14351" max="14351" width="45" style="762" customWidth="1"/>
    <col min="14352" max="14353" width="47.33203125" style="762" customWidth="1"/>
    <col min="14354" max="14354" width="47.1640625" style="762" customWidth="1"/>
    <col min="14355" max="14355" width="43.6640625" style="762" customWidth="1"/>
    <col min="14356" max="14356" width="193.33203125" style="762" customWidth="1"/>
    <col min="14357" max="14359" width="47.33203125" style="762" customWidth="1"/>
    <col min="14360" max="14360" width="43.6640625" style="762" customWidth="1"/>
    <col min="14361" max="14363" width="47.33203125" style="762" customWidth="1"/>
    <col min="14364" max="14364" width="44" style="762" customWidth="1"/>
    <col min="14365" max="14367" width="47.33203125" style="762" customWidth="1"/>
    <col min="14368" max="14368" width="43.6640625" style="762" customWidth="1"/>
    <col min="14369" max="14371" width="47.33203125" style="762" customWidth="1"/>
    <col min="14372" max="14372" width="43.6640625" style="762" customWidth="1"/>
    <col min="14373" max="14375" width="47.33203125" style="762" customWidth="1"/>
    <col min="14376" max="14376" width="43.6640625" style="762" customWidth="1"/>
    <col min="14377" max="14377" width="193.33203125" style="762" customWidth="1"/>
    <col min="14378" max="14393" width="56" style="762" customWidth="1"/>
    <col min="14394" max="14394" width="59" style="762" customWidth="1"/>
    <col min="14395" max="14395" width="46" style="762" customWidth="1"/>
    <col min="14396" max="14590" width="9.33203125" style="762"/>
    <col min="14591" max="14591" width="193.33203125" style="762" customWidth="1"/>
    <col min="14592" max="14592" width="47.1640625" style="762" customWidth="1"/>
    <col min="14593" max="14593" width="47.33203125" style="762" customWidth="1"/>
    <col min="14594" max="14594" width="47.1640625" style="762" customWidth="1"/>
    <col min="14595" max="14595" width="43.6640625" style="762" customWidth="1"/>
    <col min="14596" max="14597" width="47.33203125" style="762" customWidth="1"/>
    <col min="14598" max="14598" width="47.1640625" style="762" customWidth="1"/>
    <col min="14599" max="14599" width="43.6640625" style="762" customWidth="1"/>
    <col min="14600" max="14601" width="47.33203125" style="762" customWidth="1"/>
    <col min="14602" max="14602" width="47.1640625" style="762" customWidth="1"/>
    <col min="14603" max="14603" width="43.6640625" style="762" customWidth="1"/>
    <col min="14604" max="14605" width="45" style="762" customWidth="1"/>
    <col min="14606" max="14606" width="44.83203125" style="762" customWidth="1"/>
    <col min="14607" max="14607" width="45" style="762" customWidth="1"/>
    <col min="14608" max="14609" width="47.33203125" style="762" customWidth="1"/>
    <col min="14610" max="14610" width="47.1640625" style="762" customWidth="1"/>
    <col min="14611" max="14611" width="43.6640625" style="762" customWidth="1"/>
    <col min="14612" max="14612" width="193.33203125" style="762" customWidth="1"/>
    <col min="14613" max="14615" width="47.33203125" style="762" customWidth="1"/>
    <col min="14616" max="14616" width="43.6640625" style="762" customWidth="1"/>
    <col min="14617" max="14619" width="47.33203125" style="762" customWidth="1"/>
    <col min="14620" max="14620" width="44" style="762" customWidth="1"/>
    <col min="14621" max="14623" width="47.33203125" style="762" customWidth="1"/>
    <col min="14624" max="14624" width="43.6640625" style="762" customWidth="1"/>
    <col min="14625" max="14627" width="47.33203125" style="762" customWidth="1"/>
    <col min="14628" max="14628" width="43.6640625" style="762" customWidth="1"/>
    <col min="14629" max="14631" width="47.33203125" style="762" customWidth="1"/>
    <col min="14632" max="14632" width="43.6640625" style="762" customWidth="1"/>
    <col min="14633" max="14633" width="193.33203125" style="762" customWidth="1"/>
    <col min="14634" max="14649" width="56" style="762" customWidth="1"/>
    <col min="14650" max="14650" width="59" style="762" customWidth="1"/>
    <col min="14651" max="14651" width="46" style="762" customWidth="1"/>
    <col min="14652" max="14846" width="9.33203125" style="762"/>
    <col min="14847" max="14847" width="193.33203125" style="762" customWidth="1"/>
    <col min="14848" max="14848" width="47.1640625" style="762" customWidth="1"/>
    <col min="14849" max="14849" width="47.33203125" style="762" customWidth="1"/>
    <col min="14850" max="14850" width="47.1640625" style="762" customWidth="1"/>
    <col min="14851" max="14851" width="43.6640625" style="762" customWidth="1"/>
    <col min="14852" max="14853" width="47.33203125" style="762" customWidth="1"/>
    <col min="14854" max="14854" width="47.1640625" style="762" customWidth="1"/>
    <col min="14855" max="14855" width="43.6640625" style="762" customWidth="1"/>
    <col min="14856" max="14857" width="47.33203125" style="762" customWidth="1"/>
    <col min="14858" max="14858" width="47.1640625" style="762" customWidth="1"/>
    <col min="14859" max="14859" width="43.6640625" style="762" customWidth="1"/>
    <col min="14860" max="14861" width="45" style="762" customWidth="1"/>
    <col min="14862" max="14862" width="44.83203125" style="762" customWidth="1"/>
    <col min="14863" max="14863" width="45" style="762" customWidth="1"/>
    <col min="14864" max="14865" width="47.33203125" style="762" customWidth="1"/>
    <col min="14866" max="14866" width="47.1640625" style="762" customWidth="1"/>
    <col min="14867" max="14867" width="43.6640625" style="762" customWidth="1"/>
    <col min="14868" max="14868" width="193.33203125" style="762" customWidth="1"/>
    <col min="14869" max="14871" width="47.33203125" style="762" customWidth="1"/>
    <col min="14872" max="14872" width="43.6640625" style="762" customWidth="1"/>
    <col min="14873" max="14875" width="47.33203125" style="762" customWidth="1"/>
    <col min="14876" max="14876" width="44" style="762" customWidth="1"/>
    <col min="14877" max="14879" width="47.33203125" style="762" customWidth="1"/>
    <col min="14880" max="14880" width="43.6640625" style="762" customWidth="1"/>
    <col min="14881" max="14883" width="47.33203125" style="762" customWidth="1"/>
    <col min="14884" max="14884" width="43.6640625" style="762" customWidth="1"/>
    <col min="14885" max="14887" width="47.33203125" style="762" customWidth="1"/>
    <col min="14888" max="14888" width="43.6640625" style="762" customWidth="1"/>
    <col min="14889" max="14889" width="193.33203125" style="762" customWidth="1"/>
    <col min="14890" max="14905" width="56" style="762" customWidth="1"/>
    <col min="14906" max="14906" width="59" style="762" customWidth="1"/>
    <col min="14907" max="14907" width="46" style="762" customWidth="1"/>
    <col min="14908" max="15102" width="9.33203125" style="762"/>
    <col min="15103" max="15103" width="193.33203125" style="762" customWidth="1"/>
    <col min="15104" max="15104" width="47.1640625" style="762" customWidth="1"/>
    <col min="15105" max="15105" width="47.33203125" style="762" customWidth="1"/>
    <col min="15106" max="15106" width="47.1640625" style="762" customWidth="1"/>
    <col min="15107" max="15107" width="43.6640625" style="762" customWidth="1"/>
    <col min="15108" max="15109" width="47.33203125" style="762" customWidth="1"/>
    <col min="15110" max="15110" width="47.1640625" style="762" customWidth="1"/>
    <col min="15111" max="15111" width="43.6640625" style="762" customWidth="1"/>
    <col min="15112" max="15113" width="47.33203125" style="762" customWidth="1"/>
    <col min="15114" max="15114" width="47.1640625" style="762" customWidth="1"/>
    <col min="15115" max="15115" width="43.6640625" style="762" customWidth="1"/>
    <col min="15116" max="15117" width="45" style="762" customWidth="1"/>
    <col min="15118" max="15118" width="44.83203125" style="762" customWidth="1"/>
    <col min="15119" max="15119" width="45" style="762" customWidth="1"/>
    <col min="15120" max="15121" width="47.33203125" style="762" customWidth="1"/>
    <col min="15122" max="15122" width="47.1640625" style="762" customWidth="1"/>
    <col min="15123" max="15123" width="43.6640625" style="762" customWidth="1"/>
    <col min="15124" max="15124" width="193.33203125" style="762" customWidth="1"/>
    <col min="15125" max="15127" width="47.33203125" style="762" customWidth="1"/>
    <col min="15128" max="15128" width="43.6640625" style="762" customWidth="1"/>
    <col min="15129" max="15131" width="47.33203125" style="762" customWidth="1"/>
    <col min="15132" max="15132" width="44" style="762" customWidth="1"/>
    <col min="15133" max="15135" width="47.33203125" style="762" customWidth="1"/>
    <col min="15136" max="15136" width="43.6640625" style="762" customWidth="1"/>
    <col min="15137" max="15139" width="47.33203125" style="762" customWidth="1"/>
    <col min="15140" max="15140" width="43.6640625" style="762" customWidth="1"/>
    <col min="15141" max="15143" width="47.33203125" style="762" customWidth="1"/>
    <col min="15144" max="15144" width="43.6640625" style="762" customWidth="1"/>
    <col min="15145" max="15145" width="193.33203125" style="762" customWidth="1"/>
    <col min="15146" max="15161" width="56" style="762" customWidth="1"/>
    <col min="15162" max="15162" width="59" style="762" customWidth="1"/>
    <col min="15163" max="15163" width="46" style="762" customWidth="1"/>
    <col min="15164" max="15358" width="9.33203125" style="762"/>
    <col min="15359" max="15359" width="193.33203125" style="762" customWidth="1"/>
    <col min="15360" max="15360" width="47.1640625" style="762" customWidth="1"/>
    <col min="15361" max="15361" width="47.33203125" style="762" customWidth="1"/>
    <col min="15362" max="15362" width="47.1640625" style="762" customWidth="1"/>
    <col min="15363" max="15363" width="43.6640625" style="762" customWidth="1"/>
    <col min="15364" max="15365" width="47.33203125" style="762" customWidth="1"/>
    <col min="15366" max="15366" width="47.1640625" style="762" customWidth="1"/>
    <col min="15367" max="15367" width="43.6640625" style="762" customWidth="1"/>
    <col min="15368" max="15369" width="47.33203125" style="762" customWidth="1"/>
    <col min="15370" max="15370" width="47.1640625" style="762" customWidth="1"/>
    <col min="15371" max="15371" width="43.6640625" style="762" customWidth="1"/>
    <col min="15372" max="15373" width="45" style="762" customWidth="1"/>
    <col min="15374" max="15374" width="44.83203125" style="762" customWidth="1"/>
    <col min="15375" max="15375" width="45" style="762" customWidth="1"/>
    <col min="15376" max="15377" width="47.33203125" style="762" customWidth="1"/>
    <col min="15378" max="15378" width="47.1640625" style="762" customWidth="1"/>
    <col min="15379" max="15379" width="43.6640625" style="762" customWidth="1"/>
    <col min="15380" max="15380" width="193.33203125" style="762" customWidth="1"/>
    <col min="15381" max="15383" width="47.33203125" style="762" customWidth="1"/>
    <col min="15384" max="15384" width="43.6640625" style="762" customWidth="1"/>
    <col min="15385" max="15387" width="47.33203125" style="762" customWidth="1"/>
    <col min="15388" max="15388" width="44" style="762" customWidth="1"/>
    <col min="15389" max="15391" width="47.33203125" style="762" customWidth="1"/>
    <col min="15392" max="15392" width="43.6640625" style="762" customWidth="1"/>
    <col min="15393" max="15395" width="47.33203125" style="762" customWidth="1"/>
    <col min="15396" max="15396" width="43.6640625" style="762" customWidth="1"/>
    <col min="15397" max="15399" width="47.33203125" style="762" customWidth="1"/>
    <col min="15400" max="15400" width="43.6640625" style="762" customWidth="1"/>
    <col min="15401" max="15401" width="193.33203125" style="762" customWidth="1"/>
    <col min="15402" max="15417" width="56" style="762" customWidth="1"/>
    <col min="15418" max="15418" width="59" style="762" customWidth="1"/>
    <col min="15419" max="15419" width="46" style="762" customWidth="1"/>
    <col min="15420" max="15614" width="9.33203125" style="762"/>
    <col min="15615" max="15615" width="193.33203125" style="762" customWidth="1"/>
    <col min="15616" max="15616" width="47.1640625" style="762" customWidth="1"/>
    <col min="15617" max="15617" width="47.33203125" style="762" customWidth="1"/>
    <col min="15618" max="15618" width="47.1640625" style="762" customWidth="1"/>
    <col min="15619" max="15619" width="43.6640625" style="762" customWidth="1"/>
    <col min="15620" max="15621" width="47.33203125" style="762" customWidth="1"/>
    <col min="15622" max="15622" width="47.1640625" style="762" customWidth="1"/>
    <col min="15623" max="15623" width="43.6640625" style="762" customWidth="1"/>
    <col min="15624" max="15625" width="47.33203125" style="762" customWidth="1"/>
    <col min="15626" max="15626" width="47.1640625" style="762" customWidth="1"/>
    <col min="15627" max="15627" width="43.6640625" style="762" customWidth="1"/>
    <col min="15628" max="15629" width="45" style="762" customWidth="1"/>
    <col min="15630" max="15630" width="44.83203125" style="762" customWidth="1"/>
    <col min="15631" max="15631" width="45" style="762" customWidth="1"/>
    <col min="15632" max="15633" width="47.33203125" style="762" customWidth="1"/>
    <col min="15634" max="15634" width="47.1640625" style="762" customWidth="1"/>
    <col min="15635" max="15635" width="43.6640625" style="762" customWidth="1"/>
    <col min="15636" max="15636" width="193.33203125" style="762" customWidth="1"/>
    <col min="15637" max="15639" width="47.33203125" style="762" customWidth="1"/>
    <col min="15640" max="15640" width="43.6640625" style="762" customWidth="1"/>
    <col min="15641" max="15643" width="47.33203125" style="762" customWidth="1"/>
    <col min="15644" max="15644" width="44" style="762" customWidth="1"/>
    <col min="15645" max="15647" width="47.33203125" style="762" customWidth="1"/>
    <col min="15648" max="15648" width="43.6640625" style="762" customWidth="1"/>
    <col min="15649" max="15651" width="47.33203125" style="762" customWidth="1"/>
    <col min="15652" max="15652" width="43.6640625" style="762" customWidth="1"/>
    <col min="15653" max="15655" width="47.33203125" style="762" customWidth="1"/>
    <col min="15656" max="15656" width="43.6640625" style="762" customWidth="1"/>
    <col min="15657" max="15657" width="193.33203125" style="762" customWidth="1"/>
    <col min="15658" max="15673" width="56" style="762" customWidth="1"/>
    <col min="15674" max="15674" width="59" style="762" customWidth="1"/>
    <col min="15675" max="15675" width="46" style="762" customWidth="1"/>
    <col min="15676" max="15870" width="9.33203125" style="762"/>
    <col min="15871" max="15871" width="193.33203125" style="762" customWidth="1"/>
    <col min="15872" max="15872" width="47.1640625" style="762" customWidth="1"/>
    <col min="15873" max="15873" width="47.33203125" style="762" customWidth="1"/>
    <col min="15874" max="15874" width="47.1640625" style="762" customWidth="1"/>
    <col min="15875" max="15875" width="43.6640625" style="762" customWidth="1"/>
    <col min="15876" max="15877" width="47.33203125" style="762" customWidth="1"/>
    <col min="15878" max="15878" width="47.1640625" style="762" customWidth="1"/>
    <col min="15879" max="15879" width="43.6640625" style="762" customWidth="1"/>
    <col min="15880" max="15881" width="47.33203125" style="762" customWidth="1"/>
    <col min="15882" max="15882" width="47.1640625" style="762" customWidth="1"/>
    <col min="15883" max="15883" width="43.6640625" style="762" customWidth="1"/>
    <col min="15884" max="15885" width="45" style="762" customWidth="1"/>
    <col min="15886" max="15886" width="44.83203125" style="762" customWidth="1"/>
    <col min="15887" max="15887" width="45" style="762" customWidth="1"/>
    <col min="15888" max="15889" width="47.33203125" style="762" customWidth="1"/>
    <col min="15890" max="15890" width="47.1640625" style="762" customWidth="1"/>
    <col min="15891" max="15891" width="43.6640625" style="762" customWidth="1"/>
    <col min="15892" max="15892" width="193.33203125" style="762" customWidth="1"/>
    <col min="15893" max="15895" width="47.33203125" style="762" customWidth="1"/>
    <col min="15896" max="15896" width="43.6640625" style="762" customWidth="1"/>
    <col min="15897" max="15899" width="47.33203125" style="762" customWidth="1"/>
    <col min="15900" max="15900" width="44" style="762" customWidth="1"/>
    <col min="15901" max="15903" width="47.33203125" style="762" customWidth="1"/>
    <col min="15904" max="15904" width="43.6640625" style="762" customWidth="1"/>
    <col min="15905" max="15907" width="47.33203125" style="762" customWidth="1"/>
    <col min="15908" max="15908" width="43.6640625" style="762" customWidth="1"/>
    <col min="15909" max="15911" width="47.33203125" style="762" customWidth="1"/>
    <col min="15912" max="15912" width="43.6640625" style="762" customWidth="1"/>
    <col min="15913" max="15913" width="193.33203125" style="762" customWidth="1"/>
    <col min="15914" max="15929" width="56" style="762" customWidth="1"/>
    <col min="15930" max="15930" width="59" style="762" customWidth="1"/>
    <col min="15931" max="15931" width="46" style="762" customWidth="1"/>
    <col min="15932" max="16126" width="9.33203125" style="762"/>
    <col min="16127" max="16127" width="193.33203125" style="762" customWidth="1"/>
    <col min="16128" max="16128" width="47.1640625" style="762" customWidth="1"/>
    <col min="16129" max="16129" width="47.33203125" style="762" customWidth="1"/>
    <col min="16130" max="16130" width="47.1640625" style="762" customWidth="1"/>
    <col min="16131" max="16131" width="43.6640625" style="762" customWidth="1"/>
    <col min="16132" max="16133" width="47.33203125" style="762" customWidth="1"/>
    <col min="16134" max="16134" width="47.1640625" style="762" customWidth="1"/>
    <col min="16135" max="16135" width="43.6640625" style="762" customWidth="1"/>
    <col min="16136" max="16137" width="47.33203125" style="762" customWidth="1"/>
    <col min="16138" max="16138" width="47.1640625" style="762" customWidth="1"/>
    <col min="16139" max="16139" width="43.6640625" style="762" customWidth="1"/>
    <col min="16140" max="16141" width="45" style="762" customWidth="1"/>
    <col min="16142" max="16142" width="44.83203125" style="762" customWidth="1"/>
    <col min="16143" max="16143" width="45" style="762" customWidth="1"/>
    <col min="16144" max="16145" width="47.33203125" style="762" customWidth="1"/>
    <col min="16146" max="16146" width="47.1640625" style="762" customWidth="1"/>
    <col min="16147" max="16147" width="43.6640625" style="762" customWidth="1"/>
    <col min="16148" max="16148" width="193.33203125" style="762" customWidth="1"/>
    <col min="16149" max="16151" width="47.33203125" style="762" customWidth="1"/>
    <col min="16152" max="16152" width="43.6640625" style="762" customWidth="1"/>
    <col min="16153" max="16155" width="47.33203125" style="762" customWidth="1"/>
    <col min="16156" max="16156" width="44" style="762" customWidth="1"/>
    <col min="16157" max="16159" width="47.33203125" style="762" customWidth="1"/>
    <col min="16160" max="16160" width="43.6640625" style="762" customWidth="1"/>
    <col min="16161" max="16163" width="47.33203125" style="762" customWidth="1"/>
    <col min="16164" max="16164" width="43.6640625" style="762" customWidth="1"/>
    <col min="16165" max="16167" width="47.33203125" style="762" customWidth="1"/>
    <col min="16168" max="16168" width="43.6640625" style="762" customWidth="1"/>
    <col min="16169" max="16169" width="193.33203125" style="762" customWidth="1"/>
    <col min="16170" max="16185" width="56" style="762" customWidth="1"/>
    <col min="16186" max="16186" width="59" style="762" customWidth="1"/>
    <col min="16187" max="16187" width="46" style="762" customWidth="1"/>
    <col min="16188" max="16384" width="9.33203125" style="762"/>
  </cols>
  <sheetData>
    <row r="1" spans="1:65" ht="29.25" customHeight="1" x14ac:dyDescent="0.7">
      <c r="A1" s="758"/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  <c r="U1" s="759"/>
      <c r="V1" s="760"/>
      <c r="W1" s="759"/>
      <c r="X1" s="759"/>
      <c r="Y1" s="759"/>
      <c r="Z1" s="759"/>
      <c r="AA1" s="759"/>
      <c r="AB1" s="759"/>
      <c r="AC1" s="759"/>
      <c r="AD1" s="759"/>
      <c r="AE1" s="759"/>
      <c r="AF1" s="759"/>
      <c r="AG1" s="759"/>
      <c r="AH1" s="759"/>
      <c r="AI1" s="759"/>
      <c r="AJ1" s="759"/>
      <c r="AK1" s="759"/>
      <c r="AL1" s="759"/>
      <c r="AM1" s="758"/>
      <c r="AN1" s="758"/>
      <c r="AO1" s="758"/>
      <c r="AP1" s="758"/>
      <c r="AQ1" s="760"/>
      <c r="AR1" s="758"/>
      <c r="AS1" s="758"/>
      <c r="AT1" s="758"/>
      <c r="AU1" s="758"/>
      <c r="AV1" s="758"/>
      <c r="AW1" s="758"/>
      <c r="AX1" s="758"/>
      <c r="AY1" s="758"/>
      <c r="AZ1" s="758"/>
      <c r="BA1" s="758"/>
      <c r="BB1" s="761"/>
      <c r="BC1" s="761"/>
      <c r="BD1" s="761"/>
      <c r="BE1" s="761"/>
      <c r="BF1" s="759"/>
      <c r="BG1" s="759"/>
      <c r="BH1" s="758"/>
      <c r="BI1" s="758"/>
      <c r="BJ1" s="758"/>
      <c r="BK1" s="758"/>
      <c r="BL1" s="758"/>
      <c r="BM1" s="758"/>
    </row>
    <row r="2" spans="1:65" ht="24.75" customHeight="1" x14ac:dyDescent="0.7">
      <c r="A2" s="758"/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  <c r="S2" s="759"/>
      <c r="T2" s="759"/>
      <c r="U2" s="759"/>
      <c r="V2" s="760"/>
      <c r="W2" s="759"/>
      <c r="X2" s="759"/>
      <c r="Y2" s="759"/>
      <c r="Z2" s="759"/>
      <c r="AA2" s="759"/>
      <c r="AB2" s="759"/>
      <c r="AC2" s="759"/>
      <c r="AD2" s="759"/>
      <c r="AE2" s="759"/>
      <c r="AF2" s="759"/>
      <c r="AG2" s="759"/>
      <c r="AH2" s="759"/>
      <c r="AI2" s="759"/>
      <c r="AJ2" s="759"/>
      <c r="AK2" s="759"/>
      <c r="AL2" s="759"/>
      <c r="AM2" s="758"/>
      <c r="AN2" s="758"/>
      <c r="AO2" s="758"/>
      <c r="AP2" s="758"/>
      <c r="AQ2" s="760"/>
      <c r="AR2" s="758"/>
      <c r="AS2" s="758"/>
      <c r="AT2" s="758"/>
      <c r="AU2" s="758"/>
      <c r="AV2" s="758"/>
      <c r="AW2" s="758"/>
      <c r="AX2" s="758"/>
      <c r="AY2" s="758"/>
      <c r="AZ2" s="758"/>
      <c r="BA2" s="758"/>
      <c r="BB2" s="761"/>
      <c r="BC2" s="761"/>
      <c r="BD2" s="761"/>
      <c r="BE2" s="761"/>
      <c r="BF2" s="759"/>
      <c r="BG2" s="759"/>
      <c r="BH2" s="758"/>
      <c r="BI2" s="758"/>
      <c r="BJ2" s="758"/>
      <c r="BK2" s="758"/>
      <c r="BL2" s="758"/>
      <c r="BM2" s="758"/>
    </row>
    <row r="3" spans="1:65" s="763" customFormat="1" ht="78" customHeight="1" x14ac:dyDescent="0.9">
      <c r="A3" s="1904" t="s">
        <v>658</v>
      </c>
      <c r="B3" s="1904"/>
      <c r="C3" s="1904"/>
      <c r="D3" s="1904"/>
      <c r="E3" s="1904"/>
      <c r="F3" s="1904"/>
      <c r="G3" s="1904"/>
      <c r="H3" s="1904"/>
      <c r="I3" s="1904"/>
      <c r="J3" s="1904"/>
      <c r="K3" s="1904"/>
      <c r="L3" s="1904"/>
      <c r="M3" s="1904"/>
      <c r="N3" s="1904"/>
      <c r="O3" s="1904"/>
      <c r="P3" s="1904"/>
      <c r="Q3" s="1904"/>
      <c r="R3" s="1904"/>
      <c r="S3" s="1904"/>
      <c r="T3" s="1904"/>
      <c r="U3" s="1904"/>
      <c r="V3" s="1905" t="s">
        <v>658</v>
      </c>
      <c r="W3" s="1905"/>
      <c r="X3" s="1905"/>
      <c r="Y3" s="1905"/>
      <c r="Z3" s="1905"/>
      <c r="AA3" s="1905"/>
      <c r="AB3" s="1905"/>
      <c r="AC3" s="1905"/>
      <c r="AD3" s="1905"/>
      <c r="AE3" s="1905"/>
      <c r="AF3" s="1905"/>
      <c r="AG3" s="1905"/>
      <c r="AH3" s="1905"/>
      <c r="AI3" s="1905"/>
      <c r="AJ3" s="1905"/>
      <c r="AK3" s="1905"/>
      <c r="AL3" s="1905"/>
      <c r="AM3" s="1905"/>
      <c r="AN3" s="1905"/>
      <c r="AO3" s="1905"/>
      <c r="AP3" s="1905"/>
      <c r="AQ3" s="1905" t="s">
        <v>658</v>
      </c>
      <c r="AR3" s="1905"/>
      <c r="AS3" s="1905"/>
      <c r="AT3" s="1905"/>
      <c r="AU3" s="1905"/>
      <c r="AV3" s="1905"/>
      <c r="AW3" s="1905"/>
      <c r="AX3" s="1905"/>
      <c r="AY3" s="1905"/>
      <c r="AZ3" s="1905"/>
      <c r="BA3" s="1905"/>
      <c r="BB3" s="1905"/>
      <c r="BC3" s="1905"/>
      <c r="BD3" s="1905"/>
      <c r="BE3" s="1905"/>
      <c r="BF3" s="1905"/>
      <c r="BG3" s="1905"/>
      <c r="BH3" s="1905"/>
      <c r="BI3" s="1905"/>
      <c r="BJ3" s="1905"/>
      <c r="BK3" s="1905"/>
      <c r="BL3" s="1905"/>
      <c r="BM3" s="1905"/>
    </row>
    <row r="4" spans="1:65" s="763" customFormat="1" ht="66" customHeight="1" x14ac:dyDescent="0.9">
      <c r="A4" s="1906" t="s">
        <v>1210</v>
      </c>
      <c r="B4" s="1906"/>
      <c r="C4" s="1906"/>
      <c r="D4" s="1906"/>
      <c r="E4" s="1906"/>
      <c r="F4" s="1906"/>
      <c r="G4" s="1906"/>
      <c r="H4" s="1906"/>
      <c r="I4" s="1906"/>
      <c r="J4" s="1906"/>
      <c r="K4" s="1906"/>
      <c r="L4" s="1906"/>
      <c r="M4" s="1906"/>
      <c r="N4" s="1906"/>
      <c r="O4" s="1906"/>
      <c r="P4" s="1906"/>
      <c r="Q4" s="1906"/>
      <c r="R4" s="1906"/>
      <c r="S4" s="1906"/>
      <c r="T4" s="1906"/>
      <c r="U4" s="1906"/>
      <c r="V4" s="1905" t="s">
        <v>1210</v>
      </c>
      <c r="W4" s="1905"/>
      <c r="X4" s="1905"/>
      <c r="Y4" s="1905"/>
      <c r="Z4" s="1905"/>
      <c r="AA4" s="1905"/>
      <c r="AB4" s="1905"/>
      <c r="AC4" s="1905"/>
      <c r="AD4" s="1905"/>
      <c r="AE4" s="1905"/>
      <c r="AF4" s="1905"/>
      <c r="AG4" s="1905"/>
      <c r="AH4" s="1905"/>
      <c r="AI4" s="1905"/>
      <c r="AJ4" s="1905"/>
      <c r="AK4" s="1905"/>
      <c r="AL4" s="1905"/>
      <c r="AM4" s="1905"/>
      <c r="AN4" s="1905"/>
      <c r="AO4" s="1905"/>
      <c r="AP4" s="1905"/>
      <c r="AQ4" s="1905" t="s">
        <v>1210</v>
      </c>
      <c r="AR4" s="1905"/>
      <c r="AS4" s="1905"/>
      <c r="AT4" s="1905"/>
      <c r="AU4" s="1905"/>
      <c r="AV4" s="1905"/>
      <c r="AW4" s="1905"/>
      <c r="AX4" s="1905"/>
      <c r="AY4" s="1905"/>
      <c r="AZ4" s="1905"/>
      <c r="BA4" s="1905"/>
      <c r="BB4" s="1905"/>
      <c r="BC4" s="1905"/>
      <c r="BD4" s="1905"/>
      <c r="BE4" s="1905"/>
      <c r="BF4" s="1905"/>
      <c r="BG4" s="1905"/>
      <c r="BH4" s="1905"/>
      <c r="BI4" s="1905"/>
      <c r="BJ4" s="1905"/>
      <c r="BK4" s="1905"/>
      <c r="BL4" s="1905"/>
      <c r="BM4" s="1905"/>
    </row>
    <row r="5" spans="1:65" ht="62.25" customHeight="1" thickBot="1" x14ac:dyDescent="0.75">
      <c r="A5" s="758"/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  <c r="P5" s="759"/>
      <c r="Q5" s="759"/>
      <c r="R5" s="759"/>
      <c r="S5" s="759"/>
      <c r="T5" s="759"/>
      <c r="U5" s="759"/>
      <c r="V5" s="760"/>
      <c r="W5" s="759"/>
      <c r="X5" s="759"/>
      <c r="Y5" s="759"/>
      <c r="Z5" s="759"/>
      <c r="AA5" s="759"/>
      <c r="AB5" s="759"/>
      <c r="AC5" s="759"/>
      <c r="AD5" s="759"/>
      <c r="AE5" s="759"/>
      <c r="AF5" s="759"/>
      <c r="AG5" s="759"/>
      <c r="AH5" s="759"/>
      <c r="AI5" s="759"/>
      <c r="AJ5" s="759"/>
      <c r="AK5" s="759"/>
      <c r="AL5" s="759"/>
      <c r="AM5" s="758"/>
      <c r="AN5" s="758"/>
      <c r="AO5" s="758"/>
      <c r="AP5" s="758"/>
      <c r="AQ5" s="760"/>
      <c r="AR5" s="758"/>
      <c r="AS5" s="758"/>
      <c r="AT5" s="758"/>
      <c r="AU5" s="758"/>
      <c r="AV5" s="758"/>
      <c r="AW5" s="758"/>
      <c r="AX5" s="758"/>
      <c r="AY5" s="758"/>
      <c r="AZ5" s="758"/>
      <c r="BA5" s="758"/>
      <c r="BB5" s="761"/>
      <c r="BC5" s="761"/>
      <c r="BD5" s="761"/>
      <c r="BE5" s="761"/>
      <c r="BF5" s="759"/>
      <c r="BG5" s="759"/>
      <c r="BH5" s="758"/>
      <c r="BI5" s="758"/>
      <c r="BJ5" s="758"/>
      <c r="BK5" s="758"/>
      <c r="BL5" s="758"/>
      <c r="BM5" s="758"/>
    </row>
    <row r="6" spans="1:65" s="1853" customFormat="1" ht="81.75" customHeight="1" thickBot="1" x14ac:dyDescent="0.9">
      <c r="A6" s="1852"/>
      <c r="B6" s="1898" t="s">
        <v>1211</v>
      </c>
      <c r="C6" s="1899"/>
      <c r="D6" s="1899"/>
      <c r="E6" s="1900"/>
      <c r="F6" s="1907" t="s">
        <v>673</v>
      </c>
      <c r="G6" s="1908"/>
      <c r="H6" s="1908"/>
      <c r="I6" s="1909"/>
      <c r="J6" s="1898" t="s">
        <v>1212</v>
      </c>
      <c r="K6" s="1899"/>
      <c r="L6" s="1899"/>
      <c r="M6" s="1900"/>
      <c r="N6" s="1898" t="s">
        <v>83</v>
      </c>
      <c r="O6" s="1899"/>
      <c r="P6" s="1899"/>
      <c r="Q6" s="1900"/>
      <c r="R6" s="1907" t="s">
        <v>688</v>
      </c>
      <c r="S6" s="1908"/>
      <c r="T6" s="1908"/>
      <c r="U6" s="1909"/>
      <c r="V6" s="1852"/>
      <c r="W6" s="1898" t="s">
        <v>158</v>
      </c>
      <c r="X6" s="1899"/>
      <c r="Y6" s="1899"/>
      <c r="Z6" s="1900"/>
      <c r="AA6" s="1907" t="s">
        <v>153</v>
      </c>
      <c r="AB6" s="1908"/>
      <c r="AC6" s="1908"/>
      <c r="AD6" s="1909"/>
      <c r="AE6" s="1898" t="s">
        <v>697</v>
      </c>
      <c r="AF6" s="1899"/>
      <c r="AG6" s="1899"/>
      <c r="AH6" s="1900"/>
      <c r="AI6" s="1907" t="s">
        <v>700</v>
      </c>
      <c r="AJ6" s="1908"/>
      <c r="AK6" s="1908"/>
      <c r="AL6" s="1909"/>
      <c r="AM6" s="1916" t="s">
        <v>1213</v>
      </c>
      <c r="AN6" s="1917"/>
      <c r="AO6" s="1917"/>
      <c r="AP6" s="1918"/>
      <c r="AQ6" s="1852"/>
      <c r="AR6" s="1913" t="s">
        <v>1214</v>
      </c>
      <c r="AS6" s="1914"/>
      <c r="AT6" s="1914"/>
      <c r="AU6" s="1914"/>
      <c r="AV6" s="1914"/>
      <c r="AW6" s="1914"/>
      <c r="AX6" s="1914"/>
      <c r="AY6" s="1915"/>
      <c r="AZ6" s="1907" t="s">
        <v>1215</v>
      </c>
      <c r="BA6" s="1908"/>
      <c r="BB6" s="1908"/>
      <c r="BC6" s="1909"/>
      <c r="BD6" s="1898" t="s">
        <v>1216</v>
      </c>
      <c r="BE6" s="1899"/>
      <c r="BF6" s="1899"/>
      <c r="BG6" s="1900"/>
      <c r="BH6" s="1746"/>
      <c r="BI6" s="1746"/>
      <c r="BJ6" s="1746"/>
      <c r="BK6" s="1746"/>
      <c r="BL6" s="1746"/>
      <c r="BM6" s="1746"/>
    </row>
    <row r="7" spans="1:65" s="1836" customFormat="1" ht="81.75" customHeight="1" thickBot="1" x14ac:dyDescent="0.9">
      <c r="A7" s="1854" t="s">
        <v>1217</v>
      </c>
      <c r="B7" s="1901"/>
      <c r="C7" s="1902"/>
      <c r="D7" s="1902"/>
      <c r="E7" s="1903"/>
      <c r="F7" s="1910"/>
      <c r="G7" s="1911"/>
      <c r="H7" s="1911"/>
      <c r="I7" s="1912"/>
      <c r="J7" s="1901"/>
      <c r="K7" s="1902"/>
      <c r="L7" s="1902"/>
      <c r="M7" s="1903"/>
      <c r="N7" s="1901"/>
      <c r="O7" s="1902"/>
      <c r="P7" s="1902"/>
      <c r="Q7" s="1903"/>
      <c r="R7" s="1910"/>
      <c r="S7" s="1911"/>
      <c r="T7" s="1911"/>
      <c r="U7" s="1912"/>
      <c r="V7" s="1854" t="s">
        <v>1217</v>
      </c>
      <c r="W7" s="1901"/>
      <c r="X7" s="1902"/>
      <c r="Y7" s="1902"/>
      <c r="Z7" s="1903"/>
      <c r="AA7" s="1910"/>
      <c r="AB7" s="1911"/>
      <c r="AC7" s="1911"/>
      <c r="AD7" s="1912"/>
      <c r="AE7" s="1901"/>
      <c r="AF7" s="1902"/>
      <c r="AG7" s="1902"/>
      <c r="AH7" s="1903"/>
      <c r="AI7" s="1910"/>
      <c r="AJ7" s="1911"/>
      <c r="AK7" s="1911"/>
      <c r="AL7" s="1912"/>
      <c r="AM7" s="1919"/>
      <c r="AN7" s="1920"/>
      <c r="AO7" s="1920"/>
      <c r="AP7" s="1921"/>
      <c r="AQ7" s="1854" t="s">
        <v>1217</v>
      </c>
      <c r="AR7" s="1913" t="s">
        <v>1218</v>
      </c>
      <c r="AS7" s="1914"/>
      <c r="AT7" s="1914"/>
      <c r="AU7" s="1915"/>
      <c r="AV7" s="1913" t="s">
        <v>1219</v>
      </c>
      <c r="AW7" s="1914"/>
      <c r="AX7" s="1914"/>
      <c r="AY7" s="1915"/>
      <c r="AZ7" s="1910"/>
      <c r="BA7" s="1911"/>
      <c r="BB7" s="1911"/>
      <c r="BC7" s="1912"/>
      <c r="BD7" s="1901"/>
      <c r="BE7" s="1902"/>
      <c r="BF7" s="1902"/>
      <c r="BG7" s="1903"/>
      <c r="BH7" s="1835"/>
      <c r="BI7" s="1835"/>
      <c r="BJ7" s="1835"/>
      <c r="BK7" s="1835"/>
      <c r="BL7" s="1835"/>
      <c r="BM7" s="1835"/>
    </row>
    <row r="8" spans="1:65" s="1853" customFormat="1" ht="212.25" customHeight="1" thickBot="1" x14ac:dyDescent="0.9">
      <c r="A8" s="1855">
        <v>2023</v>
      </c>
      <c r="B8" s="1856" t="s">
        <v>1220</v>
      </c>
      <c r="C8" s="1856" t="s">
        <v>1221</v>
      </c>
      <c r="D8" s="1856" t="s">
        <v>90</v>
      </c>
      <c r="E8" s="1856" t="s">
        <v>1222</v>
      </c>
      <c r="F8" s="1856" t="s">
        <v>1220</v>
      </c>
      <c r="G8" s="1856" t="s">
        <v>1221</v>
      </c>
      <c r="H8" s="1856" t="s">
        <v>90</v>
      </c>
      <c r="I8" s="1856" t="s">
        <v>1222</v>
      </c>
      <c r="J8" s="1856" t="s">
        <v>1220</v>
      </c>
      <c r="K8" s="1856" t="s">
        <v>1221</v>
      </c>
      <c r="L8" s="1856" t="s">
        <v>90</v>
      </c>
      <c r="M8" s="1856" t="s">
        <v>1222</v>
      </c>
      <c r="N8" s="1856" t="s">
        <v>1220</v>
      </c>
      <c r="O8" s="1856" t="s">
        <v>1221</v>
      </c>
      <c r="P8" s="1856" t="s">
        <v>90</v>
      </c>
      <c r="Q8" s="1856" t="s">
        <v>1222</v>
      </c>
      <c r="R8" s="1856" t="s">
        <v>1220</v>
      </c>
      <c r="S8" s="1856" t="s">
        <v>1221</v>
      </c>
      <c r="T8" s="1856" t="s">
        <v>90</v>
      </c>
      <c r="U8" s="1856" t="s">
        <v>1222</v>
      </c>
      <c r="V8" s="1857">
        <v>2023</v>
      </c>
      <c r="W8" s="1856" t="s">
        <v>1220</v>
      </c>
      <c r="X8" s="1856" t="s">
        <v>1221</v>
      </c>
      <c r="Y8" s="1856" t="s">
        <v>90</v>
      </c>
      <c r="Z8" s="1856" t="s">
        <v>1222</v>
      </c>
      <c r="AA8" s="1856" t="s">
        <v>1220</v>
      </c>
      <c r="AB8" s="1856" t="s">
        <v>1221</v>
      </c>
      <c r="AC8" s="1856" t="s">
        <v>90</v>
      </c>
      <c r="AD8" s="1856" t="s">
        <v>1222</v>
      </c>
      <c r="AE8" s="1856" t="s">
        <v>1220</v>
      </c>
      <c r="AF8" s="1856" t="s">
        <v>1221</v>
      </c>
      <c r="AG8" s="1856" t="s">
        <v>90</v>
      </c>
      <c r="AH8" s="1856" t="s">
        <v>1222</v>
      </c>
      <c r="AI8" s="1856" t="s">
        <v>1220</v>
      </c>
      <c r="AJ8" s="1856" t="s">
        <v>1221</v>
      </c>
      <c r="AK8" s="1856" t="s">
        <v>90</v>
      </c>
      <c r="AL8" s="1856" t="s">
        <v>1222</v>
      </c>
      <c r="AM8" s="1856" t="s">
        <v>1220</v>
      </c>
      <c r="AN8" s="1856" t="s">
        <v>1221</v>
      </c>
      <c r="AO8" s="1856" t="s">
        <v>90</v>
      </c>
      <c r="AP8" s="1856" t="s">
        <v>1222</v>
      </c>
      <c r="AQ8" s="1857">
        <v>2023</v>
      </c>
      <c r="AR8" s="1856" t="s">
        <v>1220</v>
      </c>
      <c r="AS8" s="1856" t="s">
        <v>1221</v>
      </c>
      <c r="AT8" s="1856" t="s">
        <v>90</v>
      </c>
      <c r="AU8" s="1856" t="s">
        <v>1222</v>
      </c>
      <c r="AV8" s="1856" t="s">
        <v>1220</v>
      </c>
      <c r="AW8" s="1856" t="s">
        <v>1221</v>
      </c>
      <c r="AX8" s="1856" t="s">
        <v>90</v>
      </c>
      <c r="AY8" s="1856" t="s">
        <v>1222</v>
      </c>
      <c r="AZ8" s="1856" t="s">
        <v>1220</v>
      </c>
      <c r="BA8" s="1856" t="s">
        <v>1221</v>
      </c>
      <c r="BB8" s="1856" t="s">
        <v>90</v>
      </c>
      <c r="BC8" s="1856" t="s">
        <v>1222</v>
      </c>
      <c r="BD8" s="1856" t="s">
        <v>1220</v>
      </c>
      <c r="BE8" s="1856" t="s">
        <v>1221</v>
      </c>
      <c r="BF8" s="1856" t="s">
        <v>90</v>
      </c>
      <c r="BG8" s="1856" t="s">
        <v>1222</v>
      </c>
      <c r="BH8" s="1746"/>
      <c r="BI8" s="1746"/>
      <c r="BJ8" s="1746"/>
      <c r="BK8" s="1746"/>
      <c r="BL8" s="1746"/>
      <c r="BM8" s="1746"/>
    </row>
    <row r="9" spans="1:65" ht="84" customHeight="1" x14ac:dyDescent="0.7">
      <c r="A9" s="765" t="s">
        <v>1223</v>
      </c>
      <c r="B9" s="766"/>
      <c r="C9" s="766"/>
      <c r="D9" s="766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  <c r="U9" s="766"/>
      <c r="V9" s="765" t="s">
        <v>1223</v>
      </c>
      <c r="W9" s="766"/>
      <c r="X9" s="766"/>
      <c r="Y9" s="766"/>
      <c r="Z9" s="766"/>
      <c r="AA9" s="766"/>
      <c r="AB9" s="766"/>
      <c r="AC9" s="766"/>
      <c r="AD9" s="766"/>
      <c r="AE9" s="766"/>
      <c r="AF9" s="766"/>
      <c r="AG9" s="766"/>
      <c r="AH9" s="766"/>
      <c r="AI9" s="766"/>
      <c r="AJ9" s="766"/>
      <c r="AK9" s="766"/>
      <c r="AL9" s="766"/>
      <c r="AM9" s="765"/>
      <c r="AN9" s="765"/>
      <c r="AO9" s="765"/>
      <c r="AP9" s="765"/>
      <c r="AQ9" s="765" t="s">
        <v>1223</v>
      </c>
      <c r="AR9" s="765"/>
      <c r="AS9" s="765"/>
      <c r="AT9" s="765"/>
      <c r="AU9" s="765"/>
      <c r="AV9" s="765"/>
      <c r="AW9" s="765"/>
      <c r="AX9" s="765"/>
      <c r="AY9" s="765"/>
      <c r="AZ9" s="765"/>
      <c r="BA9" s="765"/>
      <c r="BB9" s="767"/>
      <c r="BC9" s="767"/>
      <c r="BD9" s="767"/>
      <c r="BE9" s="767"/>
      <c r="BF9" s="766"/>
      <c r="BG9" s="766"/>
      <c r="BH9" s="758"/>
      <c r="BI9" s="758"/>
      <c r="BJ9" s="758"/>
      <c r="BK9" s="758"/>
      <c r="BL9" s="758"/>
      <c r="BM9" s="758"/>
    </row>
    <row r="10" spans="1:65" s="763" customFormat="1" ht="75" customHeight="1" x14ac:dyDescent="0.85">
      <c r="A10" s="1800" t="s">
        <v>1224</v>
      </c>
      <c r="B10" s="1801">
        <f>'[4]int.bevételek RM I'!B10</f>
        <v>1240</v>
      </c>
      <c r="C10" s="1801">
        <f>'[4]int.bevételek RM III'!D10</f>
        <v>2896</v>
      </c>
      <c r="D10" s="1801">
        <v>2895</v>
      </c>
      <c r="E10" s="1802">
        <f t="shared" ref="E10:E30" si="0">D10/C10</f>
        <v>0.99965469613259672</v>
      </c>
      <c r="F10" s="1801">
        <f>'[4]int.bevételek RM I'!E10</f>
        <v>0</v>
      </c>
      <c r="G10" s="1801">
        <f>'[4]int.bevételek RM III'!G10</f>
        <v>0</v>
      </c>
      <c r="H10" s="1801"/>
      <c r="I10" s="1802"/>
      <c r="J10" s="1801">
        <f>'[4]int.bevételek RM I'!$H$10</f>
        <v>0</v>
      </c>
      <c r="K10" s="1801">
        <f>'[4]int.bevételek RM III'!J10</f>
        <v>0</v>
      </c>
      <c r="L10" s="1801"/>
      <c r="M10" s="1802"/>
      <c r="N10" s="1801">
        <f>'[4]int.bevételek RM I'!K10</f>
        <v>0</v>
      </c>
      <c r="O10" s="1801">
        <f>'[4]int.bevételek RM III'!M10</f>
        <v>0</v>
      </c>
      <c r="P10" s="1801"/>
      <c r="Q10" s="1802"/>
      <c r="R10" s="1803">
        <f>B10+F10+J10+N10</f>
        <v>1240</v>
      </c>
      <c r="S10" s="1803">
        <f>C10+G10+K10+O10</f>
        <v>2896</v>
      </c>
      <c r="T10" s="1803">
        <f>D10+H10+L10+P10</f>
        <v>2895</v>
      </c>
      <c r="U10" s="1804">
        <f t="shared" ref="U10:U30" si="1">T10/S10</f>
        <v>0.99965469613259672</v>
      </c>
      <c r="V10" s="1800" t="s">
        <v>1224</v>
      </c>
      <c r="W10" s="1801">
        <f>'[4]int.bevételek RM I'!R10</f>
        <v>0</v>
      </c>
      <c r="X10" s="1801">
        <f>'[4]int.bevételek RM III'!T10</f>
        <v>0</v>
      </c>
      <c r="Y10" s="1801"/>
      <c r="Z10" s="1802"/>
      <c r="AA10" s="1801">
        <f>'[4]int.bevételek RM I'!U10</f>
        <v>0</v>
      </c>
      <c r="AB10" s="1801">
        <f>'[4]int.bevételek RM III'!W10</f>
        <v>0</v>
      </c>
      <c r="AC10" s="1801"/>
      <c r="AD10" s="1802"/>
      <c r="AE10" s="1801">
        <f>'[4]int.bevételek RM I'!X10</f>
        <v>0</v>
      </c>
      <c r="AF10" s="1801">
        <f>'[4]int.bevételek RM III'!Z10</f>
        <v>0</v>
      </c>
      <c r="AG10" s="1801"/>
      <c r="AH10" s="1802"/>
      <c r="AI10" s="1803">
        <f t="shared" ref="AI10:AI27" si="2">W10+AA10+AE10</f>
        <v>0</v>
      </c>
      <c r="AJ10" s="1803">
        <f t="shared" ref="AJ10:AJ27" si="3">X10+AB10+AF10</f>
        <v>0</v>
      </c>
      <c r="AK10" s="1803">
        <f t="shared" ref="AK10:AK27" si="4">Y10+AC10+AG10</f>
        <v>0</v>
      </c>
      <c r="AL10" s="1804"/>
      <c r="AM10" s="1801"/>
      <c r="AN10" s="1801">
        <f>'[4]int.bevételek RM III'!AJ10</f>
        <v>4288</v>
      </c>
      <c r="AO10" s="1801">
        <v>4288</v>
      </c>
      <c r="AP10" s="1802">
        <f t="shared" ref="AP10:AP30" si="5">AO10/AN10</f>
        <v>1</v>
      </c>
      <c r="AQ10" s="1800" t="s">
        <v>1224</v>
      </c>
      <c r="AR10" s="1801">
        <f>'[4]int.bevételek RM I'!AK10</f>
        <v>199383</v>
      </c>
      <c r="AS10" s="1801">
        <f>'[4]int.bevételek RM III'!AM10</f>
        <v>203331</v>
      </c>
      <c r="AT10" s="1801">
        <f>201721-1488</f>
        <v>200233</v>
      </c>
      <c r="AU10" s="1802">
        <f t="shared" ref="AU10:AU30" si="6">AT10/AS10</f>
        <v>0.98476375958412643</v>
      </c>
      <c r="AV10" s="1801">
        <f>'[4]int.bevételek RM I'!AN10</f>
        <v>0</v>
      </c>
      <c r="AW10" s="1801">
        <f>'[4]int.bevételek RM III'!AP10</f>
        <v>2948</v>
      </c>
      <c r="AX10" s="1801">
        <v>1488</v>
      </c>
      <c r="AY10" s="1802">
        <f t="shared" ref="AY10:AY26" si="7">AX10/AW10</f>
        <v>0.50474898236092269</v>
      </c>
      <c r="AZ10" s="1803">
        <f t="shared" ref="AZ10:BB27" si="8">AR10+AV10</f>
        <v>199383</v>
      </c>
      <c r="BA10" s="1803">
        <f t="shared" si="8"/>
        <v>206279</v>
      </c>
      <c r="BB10" s="1803">
        <f t="shared" si="8"/>
        <v>201721</v>
      </c>
      <c r="BC10" s="1804">
        <f t="shared" ref="BC10:BC30" si="9">BB10/BA10</f>
        <v>0.97790371293248468</v>
      </c>
      <c r="BD10" s="1803">
        <f t="shared" ref="BD10:BD27" si="10">R10+AI10+AM10+AZ10</f>
        <v>200623</v>
      </c>
      <c r="BE10" s="1803">
        <f t="shared" ref="BE10:BE27" si="11">S10+AJ10+AN10+BA10</f>
        <v>213463</v>
      </c>
      <c r="BF10" s="1803">
        <f t="shared" ref="BF10:BF27" si="12">T10+AK10+AO10+BB10</f>
        <v>208904</v>
      </c>
      <c r="BG10" s="1804">
        <f t="shared" ref="BG10:BG30" si="13">BF10/BE10</f>
        <v>0.97864266875289863</v>
      </c>
      <c r="BH10" s="1805"/>
      <c r="BI10" s="1805"/>
      <c r="BJ10" s="1805"/>
      <c r="BK10" s="1805"/>
      <c r="BL10" s="1805"/>
      <c r="BM10" s="1805"/>
    </row>
    <row r="11" spans="1:65" s="763" customFormat="1" ht="75" customHeight="1" x14ac:dyDescent="0.85">
      <c r="A11" s="1800" t="s">
        <v>1225</v>
      </c>
      <c r="B11" s="1801">
        <f>'[4]int.bevételek RM I'!B11</f>
        <v>1936</v>
      </c>
      <c r="C11" s="1801">
        <f>'[4]int.bevételek RM III'!D11</f>
        <v>1245</v>
      </c>
      <c r="D11" s="1801">
        <v>1245</v>
      </c>
      <c r="E11" s="1802">
        <f t="shared" si="0"/>
        <v>1</v>
      </c>
      <c r="F11" s="1801">
        <f>'[4]int.bevételek RM I'!E11</f>
        <v>0</v>
      </c>
      <c r="G11" s="1801">
        <f>'[4]int.bevételek RM III'!G11</f>
        <v>0</v>
      </c>
      <c r="H11" s="1801"/>
      <c r="I11" s="1802"/>
      <c r="J11" s="1801">
        <f>'[4]int.bevételek RM I'!$H$10</f>
        <v>0</v>
      </c>
      <c r="K11" s="1801">
        <f>'[4]int.bevételek RM III'!J11</f>
        <v>0</v>
      </c>
      <c r="L11" s="1801"/>
      <c r="M11" s="1802"/>
      <c r="N11" s="1801">
        <f>'[4]int.bevételek RM I'!K11</f>
        <v>0</v>
      </c>
      <c r="O11" s="1801">
        <f>'[4]int.bevételek RM III'!M11</f>
        <v>0</v>
      </c>
      <c r="P11" s="1801"/>
      <c r="Q11" s="1802"/>
      <c r="R11" s="1803">
        <f t="shared" ref="R11:T27" si="14">B11+F11+J11+N11</f>
        <v>1936</v>
      </c>
      <c r="S11" s="1803">
        <f t="shared" si="14"/>
        <v>1245</v>
      </c>
      <c r="T11" s="1803">
        <f t="shared" si="14"/>
        <v>1245</v>
      </c>
      <c r="U11" s="1804">
        <f t="shared" si="1"/>
        <v>1</v>
      </c>
      <c r="V11" s="1800" t="s">
        <v>1225</v>
      </c>
      <c r="W11" s="1801">
        <f>'[4]int.bevételek RM I'!R11</f>
        <v>0</v>
      </c>
      <c r="X11" s="1801">
        <f>'[4]int.bevételek RM III'!T11</f>
        <v>0</v>
      </c>
      <c r="Y11" s="1801"/>
      <c r="Z11" s="1802"/>
      <c r="AA11" s="1801">
        <f>'[4]int.bevételek RM I'!U11</f>
        <v>0</v>
      </c>
      <c r="AB11" s="1801">
        <f>'[4]int.bevételek RM III'!W11</f>
        <v>0</v>
      </c>
      <c r="AC11" s="1801"/>
      <c r="AD11" s="1802"/>
      <c r="AE11" s="1801">
        <f>'[4]int.bevételek RM I'!X11</f>
        <v>0</v>
      </c>
      <c r="AF11" s="1801">
        <f>'[4]int.bevételek RM III'!Z11</f>
        <v>0</v>
      </c>
      <c r="AG11" s="1801"/>
      <c r="AH11" s="1802"/>
      <c r="AI11" s="1803">
        <f t="shared" si="2"/>
        <v>0</v>
      </c>
      <c r="AJ11" s="1803">
        <f t="shared" si="3"/>
        <v>0</v>
      </c>
      <c r="AK11" s="1803">
        <f t="shared" si="4"/>
        <v>0</v>
      </c>
      <c r="AL11" s="1804"/>
      <c r="AM11" s="1801"/>
      <c r="AN11" s="1801">
        <f>'[4]int.bevételek RM III'!AJ11</f>
        <v>2007</v>
      </c>
      <c r="AO11" s="1801">
        <v>2007</v>
      </c>
      <c r="AP11" s="1802">
        <f t="shared" si="5"/>
        <v>1</v>
      </c>
      <c r="AQ11" s="1800" t="s">
        <v>1225</v>
      </c>
      <c r="AR11" s="1801">
        <f>'[4]int.bevételek RM I'!AK11</f>
        <v>138781</v>
      </c>
      <c r="AS11" s="1801">
        <f>'[4]int.bevételek RM III'!AM11</f>
        <v>148542</v>
      </c>
      <c r="AT11" s="1801">
        <f>145486-3622</f>
        <v>141864</v>
      </c>
      <c r="AU11" s="1802">
        <f t="shared" si="6"/>
        <v>0.95504301813628467</v>
      </c>
      <c r="AV11" s="1801">
        <f>'[4]int.bevételek RM I'!AN11</f>
        <v>0</v>
      </c>
      <c r="AW11" s="1801">
        <f>'[4]int.bevételek RM III'!AP11</f>
        <v>3622</v>
      </c>
      <c r="AX11" s="1801">
        <v>3622</v>
      </c>
      <c r="AY11" s="1802">
        <f t="shared" si="7"/>
        <v>1</v>
      </c>
      <c r="AZ11" s="1803">
        <f t="shared" si="8"/>
        <v>138781</v>
      </c>
      <c r="BA11" s="1803">
        <f t="shared" si="8"/>
        <v>152164</v>
      </c>
      <c r="BB11" s="1803">
        <f t="shared" si="8"/>
        <v>145486</v>
      </c>
      <c r="BC11" s="1804">
        <f t="shared" si="9"/>
        <v>0.9561131410846192</v>
      </c>
      <c r="BD11" s="1803">
        <f t="shared" si="10"/>
        <v>140717</v>
      </c>
      <c r="BE11" s="1803">
        <f t="shared" si="11"/>
        <v>155416</v>
      </c>
      <c r="BF11" s="1803">
        <f t="shared" si="12"/>
        <v>148738</v>
      </c>
      <c r="BG11" s="1804">
        <f t="shared" si="13"/>
        <v>0.95703145107324861</v>
      </c>
      <c r="BH11" s="1805"/>
      <c r="BI11" s="1805"/>
      <c r="BJ11" s="1805"/>
      <c r="BK11" s="1805"/>
      <c r="BL11" s="1805"/>
      <c r="BM11" s="1805"/>
    </row>
    <row r="12" spans="1:65" s="763" customFormat="1" ht="75" customHeight="1" x14ac:dyDescent="0.85">
      <c r="A12" s="1800" t="s">
        <v>1226</v>
      </c>
      <c r="B12" s="1801">
        <f>'[4]int.bevételek RM I'!B12</f>
        <v>2376</v>
      </c>
      <c r="C12" s="1801">
        <f>'[4]int.bevételek RM III'!D12</f>
        <v>1990</v>
      </c>
      <c r="D12" s="1801">
        <v>1990</v>
      </c>
      <c r="E12" s="1802">
        <f t="shared" si="0"/>
        <v>1</v>
      </c>
      <c r="F12" s="1801">
        <f>'[4]int.bevételek RM I'!E12</f>
        <v>0</v>
      </c>
      <c r="G12" s="1801">
        <f>'[4]int.bevételek RM III'!G12</f>
        <v>200</v>
      </c>
      <c r="H12" s="1801">
        <v>200</v>
      </c>
      <c r="I12" s="1802">
        <f>H12/G12</f>
        <v>1</v>
      </c>
      <c r="J12" s="1801">
        <f>'[4]int.bevételek RM I'!$H$10</f>
        <v>0</v>
      </c>
      <c r="K12" s="1801">
        <f>'[4]int.bevételek RM III'!J12</f>
        <v>0</v>
      </c>
      <c r="L12" s="1801"/>
      <c r="M12" s="1802"/>
      <c r="N12" s="1801">
        <f>'[4]int.bevételek RM I'!K12</f>
        <v>0</v>
      </c>
      <c r="O12" s="1801">
        <f>'[4]int.bevételek RM III'!M12</f>
        <v>0</v>
      </c>
      <c r="P12" s="1801"/>
      <c r="Q12" s="1802"/>
      <c r="R12" s="1803">
        <f t="shared" si="14"/>
        <v>2376</v>
      </c>
      <c r="S12" s="1803">
        <f t="shared" si="14"/>
        <v>2190</v>
      </c>
      <c r="T12" s="1803">
        <f t="shared" si="14"/>
        <v>2190</v>
      </c>
      <c r="U12" s="1804">
        <f t="shared" si="1"/>
        <v>1</v>
      </c>
      <c r="V12" s="1800" t="s">
        <v>1226</v>
      </c>
      <c r="W12" s="1801">
        <f>'[4]int.bevételek RM I'!R12</f>
        <v>0</v>
      </c>
      <c r="X12" s="1801">
        <f>'[4]int.bevételek RM III'!T12</f>
        <v>0</v>
      </c>
      <c r="Y12" s="1801"/>
      <c r="Z12" s="1802"/>
      <c r="AA12" s="1801">
        <f>'[4]int.bevételek RM I'!U12</f>
        <v>0</v>
      </c>
      <c r="AB12" s="1801">
        <f>'[4]int.bevételek RM III'!W12</f>
        <v>0</v>
      </c>
      <c r="AC12" s="1801"/>
      <c r="AD12" s="1802"/>
      <c r="AE12" s="1801">
        <f>'[4]int.bevételek RM I'!X12</f>
        <v>0</v>
      </c>
      <c r="AF12" s="1801">
        <f>'[4]int.bevételek RM III'!Z12</f>
        <v>0</v>
      </c>
      <c r="AG12" s="1801"/>
      <c r="AH12" s="1802"/>
      <c r="AI12" s="1803">
        <f t="shared" si="2"/>
        <v>0</v>
      </c>
      <c r="AJ12" s="1803">
        <f t="shared" si="3"/>
        <v>0</v>
      </c>
      <c r="AK12" s="1803">
        <f t="shared" si="4"/>
        <v>0</v>
      </c>
      <c r="AL12" s="1804"/>
      <c r="AM12" s="1801"/>
      <c r="AN12" s="1801">
        <f>'[4]int.bevételek RM III'!AJ12</f>
        <v>2046</v>
      </c>
      <c r="AO12" s="1801">
        <v>2046</v>
      </c>
      <c r="AP12" s="1802">
        <f t="shared" si="5"/>
        <v>1</v>
      </c>
      <c r="AQ12" s="1800" t="s">
        <v>1226</v>
      </c>
      <c r="AR12" s="1801">
        <f>'[4]int.bevételek RM I'!AK12</f>
        <v>135580</v>
      </c>
      <c r="AS12" s="1801">
        <f>'[4]int.bevételek RM III'!AM12</f>
        <v>140042</v>
      </c>
      <c r="AT12" s="1801">
        <f>141087-1-6508</f>
        <v>134578</v>
      </c>
      <c r="AU12" s="1802">
        <f t="shared" si="6"/>
        <v>0.96098313363133914</v>
      </c>
      <c r="AV12" s="1801">
        <f>'[4]int.bevételek RM I'!AN12</f>
        <v>0</v>
      </c>
      <c r="AW12" s="1801">
        <f>'[4]int.bevételek RM III'!AP12</f>
        <v>6509</v>
      </c>
      <c r="AX12" s="1801">
        <v>6508</v>
      </c>
      <c r="AY12" s="1802">
        <f t="shared" si="7"/>
        <v>0.99984636656936554</v>
      </c>
      <c r="AZ12" s="1803">
        <f t="shared" si="8"/>
        <v>135580</v>
      </c>
      <c r="BA12" s="1803">
        <f t="shared" si="8"/>
        <v>146551</v>
      </c>
      <c r="BB12" s="1803">
        <f t="shared" si="8"/>
        <v>141086</v>
      </c>
      <c r="BC12" s="1804">
        <f t="shared" si="9"/>
        <v>0.96270922750441823</v>
      </c>
      <c r="BD12" s="1803">
        <f t="shared" si="10"/>
        <v>137956</v>
      </c>
      <c r="BE12" s="1803">
        <f t="shared" si="11"/>
        <v>150787</v>
      </c>
      <c r="BF12" s="1803">
        <f t="shared" si="12"/>
        <v>145322</v>
      </c>
      <c r="BG12" s="1804">
        <f t="shared" si="13"/>
        <v>0.96375682253775197</v>
      </c>
      <c r="BH12" s="1805"/>
      <c r="BI12" s="1805"/>
      <c r="BJ12" s="1805"/>
      <c r="BK12" s="1805"/>
      <c r="BL12" s="1805"/>
      <c r="BM12" s="1805"/>
    </row>
    <row r="13" spans="1:65" s="763" customFormat="1" ht="75" customHeight="1" x14ac:dyDescent="0.85">
      <c r="A13" s="1800" t="s">
        <v>1227</v>
      </c>
      <c r="B13" s="1801">
        <f>'[4]int.bevételek RM I'!B13</f>
        <v>1120</v>
      </c>
      <c r="C13" s="1801">
        <f>'[4]int.bevételek RM III'!D13</f>
        <v>1430</v>
      </c>
      <c r="D13" s="1801">
        <v>1430</v>
      </c>
      <c r="E13" s="1802">
        <f t="shared" si="0"/>
        <v>1</v>
      </c>
      <c r="F13" s="1801">
        <f>'[4]int.bevételek RM I'!E13</f>
        <v>0</v>
      </c>
      <c r="G13" s="1801">
        <f>'[4]int.bevételek RM III'!G13</f>
        <v>0</v>
      </c>
      <c r="H13" s="1801"/>
      <c r="I13" s="1802"/>
      <c r="J13" s="1801">
        <f>'[4]int.bevételek RM I'!$H$10</f>
        <v>0</v>
      </c>
      <c r="K13" s="1801">
        <f>'[4]int.bevételek RM III'!J13</f>
        <v>0</v>
      </c>
      <c r="L13" s="1801"/>
      <c r="M13" s="1802"/>
      <c r="N13" s="1801">
        <f>'[4]int.bevételek RM I'!K13</f>
        <v>0</v>
      </c>
      <c r="O13" s="1801">
        <f>'[4]int.bevételek RM III'!M13</f>
        <v>0</v>
      </c>
      <c r="P13" s="1801"/>
      <c r="Q13" s="1802"/>
      <c r="R13" s="1803">
        <f t="shared" si="14"/>
        <v>1120</v>
      </c>
      <c r="S13" s="1803">
        <f t="shared" si="14"/>
        <v>1430</v>
      </c>
      <c r="T13" s="1803">
        <f t="shared" si="14"/>
        <v>1430</v>
      </c>
      <c r="U13" s="1804">
        <f t="shared" si="1"/>
        <v>1</v>
      </c>
      <c r="V13" s="1800" t="s">
        <v>1227</v>
      </c>
      <c r="W13" s="1801">
        <f>'[4]int.bevételek RM I'!R13</f>
        <v>0</v>
      </c>
      <c r="X13" s="1801">
        <f>'[4]int.bevételek RM III'!T13</f>
        <v>0</v>
      </c>
      <c r="Y13" s="1801"/>
      <c r="Z13" s="1802"/>
      <c r="AA13" s="1801">
        <f>'[4]int.bevételek RM I'!U13</f>
        <v>0</v>
      </c>
      <c r="AB13" s="1801">
        <f>'[4]int.bevételek RM III'!W13</f>
        <v>0</v>
      </c>
      <c r="AC13" s="1801"/>
      <c r="AD13" s="1802"/>
      <c r="AE13" s="1801">
        <f>'[4]int.bevételek RM I'!X13</f>
        <v>0</v>
      </c>
      <c r="AF13" s="1801">
        <f>'[4]int.bevételek RM III'!Z13</f>
        <v>0</v>
      </c>
      <c r="AG13" s="1801"/>
      <c r="AH13" s="1802"/>
      <c r="AI13" s="1803">
        <f t="shared" si="2"/>
        <v>0</v>
      </c>
      <c r="AJ13" s="1803">
        <f t="shared" si="3"/>
        <v>0</v>
      </c>
      <c r="AK13" s="1803">
        <f t="shared" si="4"/>
        <v>0</v>
      </c>
      <c r="AL13" s="1804"/>
      <c r="AM13" s="1801"/>
      <c r="AN13" s="1801">
        <f>'[4]int.bevételek RM III'!AJ13</f>
        <v>1084</v>
      </c>
      <c r="AO13" s="1801">
        <v>1084</v>
      </c>
      <c r="AP13" s="1802">
        <f t="shared" si="5"/>
        <v>1</v>
      </c>
      <c r="AQ13" s="1800" t="s">
        <v>1227</v>
      </c>
      <c r="AR13" s="1801">
        <f>'[4]int.bevételek RM I'!AK13</f>
        <v>166616</v>
      </c>
      <c r="AS13" s="1801">
        <f>'[4]int.bevételek RM III'!AM13</f>
        <v>168030</v>
      </c>
      <c r="AT13" s="1801">
        <f>164872-1-1102</f>
        <v>163769</v>
      </c>
      <c r="AU13" s="1802">
        <f t="shared" si="6"/>
        <v>0.97464143307742668</v>
      </c>
      <c r="AV13" s="1801">
        <f>'[4]int.bevételek RM I'!AN13</f>
        <v>0</v>
      </c>
      <c r="AW13" s="1801">
        <f>'[4]int.bevételek RM III'!AP13</f>
        <v>1102</v>
      </c>
      <c r="AX13" s="1801">
        <v>1102</v>
      </c>
      <c r="AY13" s="1802">
        <f t="shared" si="7"/>
        <v>1</v>
      </c>
      <c r="AZ13" s="1803">
        <f t="shared" si="8"/>
        <v>166616</v>
      </c>
      <c r="BA13" s="1803">
        <f t="shared" si="8"/>
        <v>169132</v>
      </c>
      <c r="BB13" s="1803">
        <f t="shared" si="8"/>
        <v>164871</v>
      </c>
      <c r="BC13" s="1804">
        <f t="shared" si="9"/>
        <v>0.97480665988695225</v>
      </c>
      <c r="BD13" s="1803">
        <f t="shared" si="10"/>
        <v>167736</v>
      </c>
      <c r="BE13" s="1803">
        <f t="shared" si="11"/>
        <v>171646</v>
      </c>
      <c r="BF13" s="1803">
        <f t="shared" si="12"/>
        <v>167385</v>
      </c>
      <c r="BG13" s="1804">
        <f t="shared" si="13"/>
        <v>0.97517565221444136</v>
      </c>
      <c r="BH13" s="1805"/>
      <c r="BI13" s="1805"/>
      <c r="BJ13" s="1805"/>
      <c r="BK13" s="1805"/>
      <c r="BL13" s="1805"/>
      <c r="BM13" s="1805"/>
    </row>
    <row r="14" spans="1:65" s="763" customFormat="1" ht="75" customHeight="1" x14ac:dyDescent="0.85">
      <c r="A14" s="1800" t="s">
        <v>1228</v>
      </c>
      <c r="B14" s="1801">
        <f>'[4]int.bevételek RM I'!B14</f>
        <v>1352</v>
      </c>
      <c r="C14" s="1801">
        <f>'[4]int.bevételek RM III'!D14</f>
        <v>1430</v>
      </c>
      <c r="D14" s="1801">
        <v>1428</v>
      </c>
      <c r="E14" s="1802">
        <f t="shared" si="0"/>
        <v>0.99860139860139863</v>
      </c>
      <c r="F14" s="1801">
        <f>'[4]int.bevételek RM I'!E14</f>
        <v>0</v>
      </c>
      <c r="G14" s="1801">
        <f>'[4]int.bevételek RM III'!G14</f>
        <v>0</v>
      </c>
      <c r="H14" s="1801"/>
      <c r="I14" s="1802"/>
      <c r="J14" s="1801">
        <f>'[4]int.bevételek RM I'!$H$10</f>
        <v>0</v>
      </c>
      <c r="K14" s="1801">
        <f>'[4]int.bevételek RM III'!J14</f>
        <v>3</v>
      </c>
      <c r="L14" s="1801">
        <v>3</v>
      </c>
      <c r="M14" s="1802">
        <f>L14/K14</f>
        <v>1</v>
      </c>
      <c r="N14" s="1801">
        <f>'[4]int.bevételek RM I'!K14</f>
        <v>0</v>
      </c>
      <c r="O14" s="1801">
        <f>'[4]int.bevételek RM III'!M14</f>
        <v>0</v>
      </c>
      <c r="P14" s="1801"/>
      <c r="Q14" s="1802"/>
      <c r="R14" s="1803">
        <f t="shared" si="14"/>
        <v>1352</v>
      </c>
      <c r="S14" s="1803">
        <f t="shared" si="14"/>
        <v>1433</v>
      </c>
      <c r="T14" s="1803">
        <f t="shared" si="14"/>
        <v>1431</v>
      </c>
      <c r="U14" s="1804">
        <f t="shared" si="1"/>
        <v>0.99860432658757847</v>
      </c>
      <c r="V14" s="1800" t="s">
        <v>1228</v>
      </c>
      <c r="W14" s="1801">
        <f>'[4]int.bevételek RM I'!R14</f>
        <v>0</v>
      </c>
      <c r="X14" s="1801">
        <f>'[4]int.bevételek RM III'!T14</f>
        <v>0</v>
      </c>
      <c r="Y14" s="1801"/>
      <c r="Z14" s="1802"/>
      <c r="AA14" s="1801">
        <f>'[4]int.bevételek RM I'!U14</f>
        <v>0</v>
      </c>
      <c r="AB14" s="1801">
        <f>'[4]int.bevételek RM III'!W14</f>
        <v>0</v>
      </c>
      <c r="AC14" s="1801"/>
      <c r="AD14" s="1802"/>
      <c r="AE14" s="1801">
        <f>'[4]int.bevételek RM I'!X14</f>
        <v>0</v>
      </c>
      <c r="AF14" s="1801">
        <f>'[4]int.bevételek RM III'!Z14</f>
        <v>0</v>
      </c>
      <c r="AG14" s="1801"/>
      <c r="AH14" s="1802"/>
      <c r="AI14" s="1803">
        <f t="shared" si="2"/>
        <v>0</v>
      </c>
      <c r="AJ14" s="1803">
        <f t="shared" si="3"/>
        <v>0</v>
      </c>
      <c r="AK14" s="1803">
        <f t="shared" si="4"/>
        <v>0</v>
      </c>
      <c r="AL14" s="1804"/>
      <c r="AM14" s="1801"/>
      <c r="AN14" s="1801">
        <f>'[4]int.bevételek RM III'!AJ14</f>
        <v>2666</v>
      </c>
      <c r="AO14" s="1801">
        <v>2666</v>
      </c>
      <c r="AP14" s="1802">
        <f t="shared" si="5"/>
        <v>1</v>
      </c>
      <c r="AQ14" s="1800" t="s">
        <v>1228</v>
      </c>
      <c r="AR14" s="1801">
        <f>'[4]int.bevételek RM I'!AK14</f>
        <v>160496</v>
      </c>
      <c r="AS14" s="1801">
        <f>'[4]int.bevételek RM III'!AM14</f>
        <v>163260</v>
      </c>
      <c r="AT14" s="1801">
        <f>164178-8588</f>
        <v>155590</v>
      </c>
      <c r="AU14" s="1802">
        <f t="shared" si="6"/>
        <v>0.95301972314100203</v>
      </c>
      <c r="AV14" s="1801">
        <f>'[4]int.bevételek RM I'!AN14</f>
        <v>0</v>
      </c>
      <c r="AW14" s="1801">
        <f>'[4]int.bevételek RM III'!AP14</f>
        <v>8782</v>
      </c>
      <c r="AX14" s="1801">
        <v>8588</v>
      </c>
      <c r="AY14" s="1802">
        <f t="shared" si="7"/>
        <v>0.97790936005465723</v>
      </c>
      <c r="AZ14" s="1803">
        <f t="shared" si="8"/>
        <v>160496</v>
      </c>
      <c r="BA14" s="1803">
        <f t="shared" si="8"/>
        <v>172042</v>
      </c>
      <c r="BB14" s="1803">
        <f t="shared" si="8"/>
        <v>164178</v>
      </c>
      <c r="BC14" s="1804">
        <f t="shared" si="9"/>
        <v>0.95429023145510983</v>
      </c>
      <c r="BD14" s="1803">
        <f t="shared" si="10"/>
        <v>161848</v>
      </c>
      <c r="BE14" s="1803">
        <f t="shared" si="11"/>
        <v>176141</v>
      </c>
      <c r="BF14" s="1803">
        <f t="shared" si="12"/>
        <v>168275</v>
      </c>
      <c r="BG14" s="1804">
        <f t="shared" si="13"/>
        <v>0.95534259485298711</v>
      </c>
      <c r="BH14" s="1805"/>
      <c r="BI14" s="1805"/>
      <c r="BJ14" s="1805"/>
      <c r="BK14" s="1805"/>
      <c r="BL14" s="1805"/>
      <c r="BM14" s="1805"/>
    </row>
    <row r="15" spans="1:65" s="763" customFormat="1" ht="75" customHeight="1" x14ac:dyDescent="0.85">
      <c r="A15" s="1800" t="s">
        <v>1229</v>
      </c>
      <c r="B15" s="1801">
        <f>'[4]int.bevételek RM I'!B15</f>
        <v>1048</v>
      </c>
      <c r="C15" s="1801">
        <f>'[4]int.bevételek RM III'!D15</f>
        <v>1817</v>
      </c>
      <c r="D15" s="1801">
        <v>1816</v>
      </c>
      <c r="E15" s="1802">
        <f t="shared" si="0"/>
        <v>0.9994496422674739</v>
      </c>
      <c r="F15" s="1801">
        <f>'[4]int.bevételek RM I'!E15</f>
        <v>0</v>
      </c>
      <c r="G15" s="1801">
        <f>'[4]int.bevételek RM III'!G15</f>
        <v>0</v>
      </c>
      <c r="H15" s="1801"/>
      <c r="I15" s="1802"/>
      <c r="J15" s="1801">
        <f>'[4]int.bevételek RM I'!$H$10</f>
        <v>0</v>
      </c>
      <c r="K15" s="1801">
        <f>'[4]int.bevételek RM III'!J15</f>
        <v>728</v>
      </c>
      <c r="L15" s="1801">
        <v>728</v>
      </c>
      <c r="M15" s="1802">
        <f>L15/K15</f>
        <v>1</v>
      </c>
      <c r="N15" s="1801">
        <f>'[4]int.bevételek RM I'!K15</f>
        <v>0</v>
      </c>
      <c r="O15" s="1801">
        <f>'[4]int.bevételek RM III'!M15</f>
        <v>0</v>
      </c>
      <c r="P15" s="1801"/>
      <c r="Q15" s="1802"/>
      <c r="R15" s="1803">
        <f t="shared" si="14"/>
        <v>1048</v>
      </c>
      <c r="S15" s="1803">
        <f t="shared" si="14"/>
        <v>2545</v>
      </c>
      <c r="T15" s="1803">
        <f t="shared" si="14"/>
        <v>2544</v>
      </c>
      <c r="U15" s="1804">
        <f t="shared" si="1"/>
        <v>0.99960707269155202</v>
      </c>
      <c r="V15" s="1800" t="s">
        <v>1229</v>
      </c>
      <c r="W15" s="1801">
        <f>'[4]int.bevételek RM I'!R15</f>
        <v>0</v>
      </c>
      <c r="X15" s="1801">
        <f>'[4]int.bevételek RM III'!T15</f>
        <v>0</v>
      </c>
      <c r="Y15" s="1801"/>
      <c r="Z15" s="1802"/>
      <c r="AA15" s="1801">
        <f>'[4]int.bevételek RM I'!U15</f>
        <v>0</v>
      </c>
      <c r="AB15" s="1801">
        <f>'[4]int.bevételek RM III'!W15</f>
        <v>0</v>
      </c>
      <c r="AC15" s="1801"/>
      <c r="AD15" s="1802"/>
      <c r="AE15" s="1801">
        <f>'[4]int.bevételek RM I'!X15</f>
        <v>0</v>
      </c>
      <c r="AF15" s="1801">
        <f>'[4]int.bevételek RM III'!Z15</f>
        <v>0</v>
      </c>
      <c r="AG15" s="1801"/>
      <c r="AH15" s="1802"/>
      <c r="AI15" s="1803">
        <f t="shared" si="2"/>
        <v>0</v>
      </c>
      <c r="AJ15" s="1803">
        <f t="shared" si="3"/>
        <v>0</v>
      </c>
      <c r="AK15" s="1803">
        <f t="shared" si="4"/>
        <v>0</v>
      </c>
      <c r="AL15" s="1804"/>
      <c r="AM15" s="1801"/>
      <c r="AN15" s="1801">
        <f>'[4]int.bevételek RM III'!AJ15</f>
        <v>1916</v>
      </c>
      <c r="AO15" s="1801">
        <v>1916</v>
      </c>
      <c r="AP15" s="1802">
        <f t="shared" si="5"/>
        <v>1</v>
      </c>
      <c r="AQ15" s="1800" t="s">
        <v>1229</v>
      </c>
      <c r="AR15" s="1801">
        <f>'[4]int.bevételek RM I'!AK15</f>
        <v>134973</v>
      </c>
      <c r="AS15" s="1801">
        <f>'[4]int.bevételek RM III'!AM15</f>
        <v>137838</v>
      </c>
      <c r="AT15" s="1801">
        <f>134051-4022</f>
        <v>130029</v>
      </c>
      <c r="AU15" s="1802">
        <f t="shared" si="6"/>
        <v>0.9433465372393679</v>
      </c>
      <c r="AV15" s="1801">
        <f>'[4]int.bevételek RM I'!AN15</f>
        <v>0</v>
      </c>
      <c r="AW15" s="1801">
        <f>'[4]int.bevételek RM III'!AP15</f>
        <v>4022</v>
      </c>
      <c r="AX15" s="1801">
        <v>4022</v>
      </c>
      <c r="AY15" s="1802">
        <f t="shared" si="7"/>
        <v>1</v>
      </c>
      <c r="AZ15" s="1803">
        <f t="shared" si="8"/>
        <v>134973</v>
      </c>
      <c r="BA15" s="1803">
        <f t="shared" si="8"/>
        <v>141860</v>
      </c>
      <c r="BB15" s="1803">
        <f t="shared" si="8"/>
        <v>134051</v>
      </c>
      <c r="BC15" s="1804">
        <f t="shared" si="9"/>
        <v>0.94495277033695191</v>
      </c>
      <c r="BD15" s="1803">
        <f t="shared" si="10"/>
        <v>136021</v>
      </c>
      <c r="BE15" s="1803">
        <f t="shared" si="11"/>
        <v>146321</v>
      </c>
      <c r="BF15" s="1803">
        <f t="shared" si="12"/>
        <v>138511</v>
      </c>
      <c r="BG15" s="1804">
        <f t="shared" si="13"/>
        <v>0.94662420295104599</v>
      </c>
      <c r="BH15" s="1805"/>
      <c r="BI15" s="1805"/>
      <c r="BJ15" s="1805"/>
      <c r="BK15" s="1805"/>
      <c r="BL15" s="1805"/>
      <c r="BM15" s="1805"/>
    </row>
    <row r="16" spans="1:65" s="763" customFormat="1" ht="75" customHeight="1" x14ac:dyDescent="0.85">
      <c r="A16" s="1800" t="s">
        <v>1230</v>
      </c>
      <c r="B16" s="1801">
        <f>'[4]int.bevételek RM I'!B16</f>
        <v>2040</v>
      </c>
      <c r="C16" s="1801">
        <f>'[4]int.bevételek RM III'!D16</f>
        <v>1963</v>
      </c>
      <c r="D16" s="1801">
        <v>1963</v>
      </c>
      <c r="E16" s="1802">
        <f t="shared" si="0"/>
        <v>1</v>
      </c>
      <c r="F16" s="1801">
        <f>'[4]int.bevételek RM I'!E16</f>
        <v>0</v>
      </c>
      <c r="G16" s="1801">
        <f>'[4]int.bevételek RM III'!G16</f>
        <v>0</v>
      </c>
      <c r="H16" s="1801"/>
      <c r="I16" s="1802"/>
      <c r="J16" s="1801">
        <f>'[4]int.bevételek RM I'!$H$10</f>
        <v>0</v>
      </c>
      <c r="K16" s="1801">
        <f>'[4]int.bevételek RM III'!J16</f>
        <v>0</v>
      </c>
      <c r="L16" s="1801"/>
      <c r="M16" s="1802"/>
      <c r="N16" s="1801">
        <f>'[4]int.bevételek RM I'!K16</f>
        <v>0</v>
      </c>
      <c r="O16" s="1801">
        <f>'[4]int.bevételek RM III'!M16</f>
        <v>0</v>
      </c>
      <c r="P16" s="1801"/>
      <c r="Q16" s="1802"/>
      <c r="R16" s="1803">
        <f t="shared" si="14"/>
        <v>2040</v>
      </c>
      <c r="S16" s="1803">
        <f t="shared" si="14"/>
        <v>1963</v>
      </c>
      <c r="T16" s="1803">
        <f t="shared" si="14"/>
        <v>1963</v>
      </c>
      <c r="U16" s="1804">
        <f t="shared" si="1"/>
        <v>1</v>
      </c>
      <c r="V16" s="1800" t="s">
        <v>1230</v>
      </c>
      <c r="W16" s="1801">
        <f>'[4]int.bevételek RM I'!R16</f>
        <v>0</v>
      </c>
      <c r="X16" s="1801">
        <f>'[4]int.bevételek RM III'!T16</f>
        <v>0</v>
      </c>
      <c r="Y16" s="1801"/>
      <c r="Z16" s="1802"/>
      <c r="AA16" s="1801">
        <f>'[4]int.bevételek RM I'!U16</f>
        <v>0</v>
      </c>
      <c r="AB16" s="1801">
        <f>'[4]int.bevételek RM III'!W16</f>
        <v>0</v>
      </c>
      <c r="AC16" s="1801"/>
      <c r="AD16" s="1802"/>
      <c r="AE16" s="1801">
        <f>'[4]int.bevételek RM I'!X16</f>
        <v>0</v>
      </c>
      <c r="AF16" s="1801">
        <f>'[4]int.bevételek RM III'!Z16</f>
        <v>0</v>
      </c>
      <c r="AG16" s="1801"/>
      <c r="AH16" s="1802"/>
      <c r="AI16" s="1803">
        <f t="shared" si="2"/>
        <v>0</v>
      </c>
      <c r="AJ16" s="1803">
        <f t="shared" si="3"/>
        <v>0</v>
      </c>
      <c r="AK16" s="1803">
        <f t="shared" si="4"/>
        <v>0</v>
      </c>
      <c r="AL16" s="1804"/>
      <c r="AM16" s="1801"/>
      <c r="AN16" s="1801">
        <f>'[4]int.bevételek RM III'!AJ16</f>
        <v>1531</v>
      </c>
      <c r="AO16" s="1801">
        <v>1531</v>
      </c>
      <c r="AP16" s="1802">
        <f t="shared" si="5"/>
        <v>1</v>
      </c>
      <c r="AQ16" s="1800" t="s">
        <v>1230</v>
      </c>
      <c r="AR16" s="1801">
        <f>'[4]int.bevételek RM I'!AK16</f>
        <v>103112</v>
      </c>
      <c r="AS16" s="1801">
        <f>'[4]int.bevételek RM III'!AM16</f>
        <v>104517</v>
      </c>
      <c r="AT16" s="1801">
        <f>104334-2384</f>
        <v>101950</v>
      </c>
      <c r="AU16" s="1802">
        <f t="shared" si="6"/>
        <v>0.97543940220251246</v>
      </c>
      <c r="AV16" s="1801">
        <f>'[4]int.bevételek RM I'!AN16</f>
        <v>0</v>
      </c>
      <c r="AW16" s="1801">
        <f>'[4]int.bevételek RM III'!AP16</f>
        <v>2385</v>
      </c>
      <c r="AX16" s="1801">
        <v>2384</v>
      </c>
      <c r="AY16" s="1802">
        <f t="shared" si="7"/>
        <v>0.99958071278826</v>
      </c>
      <c r="AZ16" s="1803">
        <f t="shared" si="8"/>
        <v>103112</v>
      </c>
      <c r="BA16" s="1803">
        <f t="shared" si="8"/>
        <v>106902</v>
      </c>
      <c r="BB16" s="1803">
        <f t="shared" si="8"/>
        <v>104334</v>
      </c>
      <c r="BC16" s="1804">
        <f t="shared" si="9"/>
        <v>0.97597799854071954</v>
      </c>
      <c r="BD16" s="1803">
        <f t="shared" si="10"/>
        <v>105152</v>
      </c>
      <c r="BE16" s="1803">
        <f t="shared" si="11"/>
        <v>110396</v>
      </c>
      <c r="BF16" s="1803">
        <f t="shared" si="12"/>
        <v>107828</v>
      </c>
      <c r="BG16" s="1804">
        <f t="shared" si="13"/>
        <v>0.97673828761911663</v>
      </c>
      <c r="BH16" s="1805"/>
      <c r="BI16" s="1805"/>
      <c r="BJ16" s="1805"/>
      <c r="BK16" s="1805"/>
      <c r="BL16" s="1805"/>
      <c r="BM16" s="1805"/>
    </row>
    <row r="17" spans="1:65" s="763" customFormat="1" ht="75" customHeight="1" x14ac:dyDescent="0.85">
      <c r="A17" s="1800" t="s">
        <v>1231</v>
      </c>
      <c r="B17" s="1801">
        <f>'[4]int.bevételek RM I'!B17</f>
        <v>1696</v>
      </c>
      <c r="C17" s="1801">
        <f>'[4]int.bevételek RM III'!D17</f>
        <v>1397</v>
      </c>
      <c r="D17" s="1801">
        <v>1395</v>
      </c>
      <c r="E17" s="1802">
        <f t="shared" si="0"/>
        <v>0.9985683607730852</v>
      </c>
      <c r="F17" s="1801">
        <f>'[4]int.bevételek RM I'!E17</f>
        <v>0</v>
      </c>
      <c r="G17" s="1801">
        <f>'[4]int.bevételek RM III'!G17</f>
        <v>0</v>
      </c>
      <c r="H17" s="1801"/>
      <c r="I17" s="1802"/>
      <c r="J17" s="1801">
        <f>'[4]int.bevételek RM I'!$H$10</f>
        <v>0</v>
      </c>
      <c r="K17" s="1801">
        <f>'[4]int.bevételek RM III'!J17</f>
        <v>0</v>
      </c>
      <c r="L17" s="1801"/>
      <c r="M17" s="1802"/>
      <c r="N17" s="1801">
        <f>'[4]int.bevételek RM I'!K17</f>
        <v>0</v>
      </c>
      <c r="O17" s="1801">
        <f>'[4]int.bevételek RM III'!M17</f>
        <v>0</v>
      </c>
      <c r="P17" s="1801"/>
      <c r="Q17" s="1802"/>
      <c r="R17" s="1803">
        <f t="shared" si="14"/>
        <v>1696</v>
      </c>
      <c r="S17" s="1803">
        <f t="shared" si="14"/>
        <v>1397</v>
      </c>
      <c r="T17" s="1803">
        <f t="shared" si="14"/>
        <v>1395</v>
      </c>
      <c r="U17" s="1804">
        <f t="shared" si="1"/>
        <v>0.9985683607730852</v>
      </c>
      <c r="V17" s="1800" t="s">
        <v>1231</v>
      </c>
      <c r="W17" s="1801">
        <f>'[4]int.bevételek RM I'!R17</f>
        <v>0</v>
      </c>
      <c r="X17" s="1801">
        <f>'[4]int.bevételek RM III'!T17</f>
        <v>0</v>
      </c>
      <c r="Y17" s="1801"/>
      <c r="Z17" s="1802"/>
      <c r="AA17" s="1801">
        <f>'[4]int.bevételek RM I'!U17</f>
        <v>0</v>
      </c>
      <c r="AB17" s="1801">
        <f>'[4]int.bevételek RM III'!W17</f>
        <v>0</v>
      </c>
      <c r="AC17" s="1801"/>
      <c r="AD17" s="1802"/>
      <c r="AE17" s="1801">
        <f>'[4]int.bevételek RM I'!X17</f>
        <v>0</v>
      </c>
      <c r="AF17" s="1801">
        <f>'[4]int.bevételek RM III'!Z17</f>
        <v>0</v>
      </c>
      <c r="AG17" s="1801"/>
      <c r="AH17" s="1802"/>
      <c r="AI17" s="1803">
        <f t="shared" si="2"/>
        <v>0</v>
      </c>
      <c r="AJ17" s="1803">
        <f t="shared" si="3"/>
        <v>0</v>
      </c>
      <c r="AK17" s="1803">
        <f t="shared" si="4"/>
        <v>0</v>
      </c>
      <c r="AL17" s="1804"/>
      <c r="AM17" s="1801"/>
      <c r="AN17" s="1801">
        <f>'[4]int.bevételek RM III'!AJ17</f>
        <v>2713</v>
      </c>
      <c r="AO17" s="1801">
        <v>2713</v>
      </c>
      <c r="AP17" s="1802">
        <f t="shared" si="5"/>
        <v>1</v>
      </c>
      <c r="AQ17" s="1800" t="s">
        <v>1231</v>
      </c>
      <c r="AR17" s="1801">
        <f>'[4]int.bevételek RM I'!AK17</f>
        <v>109178</v>
      </c>
      <c r="AS17" s="1801">
        <f>'[4]int.bevételek RM III'!AM17</f>
        <v>111822</v>
      </c>
      <c r="AT17" s="1801">
        <f>112066-7365</f>
        <v>104701</v>
      </c>
      <c r="AU17" s="1802">
        <f t="shared" si="6"/>
        <v>0.9363184346550768</v>
      </c>
      <c r="AV17" s="1801">
        <f>'[4]int.bevételek RM I'!AN17</f>
        <v>0</v>
      </c>
      <c r="AW17" s="1801">
        <f>'[4]int.bevételek RM III'!AP17</f>
        <v>7367</v>
      </c>
      <c r="AX17" s="1801">
        <v>7365</v>
      </c>
      <c r="AY17" s="1802">
        <f t="shared" si="7"/>
        <v>0.99972851907153526</v>
      </c>
      <c r="AZ17" s="1803">
        <f t="shared" si="8"/>
        <v>109178</v>
      </c>
      <c r="BA17" s="1803">
        <f t="shared" si="8"/>
        <v>119189</v>
      </c>
      <c r="BB17" s="1803">
        <f t="shared" si="8"/>
        <v>112066</v>
      </c>
      <c r="BC17" s="1804">
        <f t="shared" si="9"/>
        <v>0.94023777362004879</v>
      </c>
      <c r="BD17" s="1803">
        <f t="shared" si="10"/>
        <v>110874</v>
      </c>
      <c r="BE17" s="1803">
        <f t="shared" si="11"/>
        <v>123299</v>
      </c>
      <c r="BF17" s="1803">
        <f t="shared" si="12"/>
        <v>116174</v>
      </c>
      <c r="BG17" s="1804">
        <f t="shared" si="13"/>
        <v>0.94221364325744739</v>
      </c>
      <c r="BH17" s="1805"/>
      <c r="BI17" s="1805"/>
      <c r="BJ17" s="1805"/>
      <c r="BK17" s="1805"/>
      <c r="BL17" s="1805"/>
      <c r="BM17" s="1805"/>
    </row>
    <row r="18" spans="1:65" s="763" customFormat="1" ht="75" customHeight="1" x14ac:dyDescent="0.85">
      <c r="A18" s="1800" t="s">
        <v>1232</v>
      </c>
      <c r="B18" s="1801">
        <f>'[4]int.bevételek RM I'!B18</f>
        <v>1576</v>
      </c>
      <c r="C18" s="1801">
        <f>'[4]int.bevételek RM III'!D18</f>
        <v>1306</v>
      </c>
      <c r="D18" s="1801">
        <v>1305</v>
      </c>
      <c r="E18" s="1802">
        <f t="shared" si="0"/>
        <v>0.99923430321592654</v>
      </c>
      <c r="F18" s="1801">
        <f>'[4]int.bevételek RM I'!E18</f>
        <v>0</v>
      </c>
      <c r="G18" s="1801">
        <f>'[4]int.bevételek RM III'!G18</f>
        <v>0</v>
      </c>
      <c r="H18" s="1801"/>
      <c r="I18" s="1802"/>
      <c r="J18" s="1801">
        <f>'[4]int.bevételek RM I'!$H$10</f>
        <v>0</v>
      </c>
      <c r="K18" s="1801">
        <f>'[4]int.bevételek RM III'!J18</f>
        <v>0</v>
      </c>
      <c r="L18" s="1801"/>
      <c r="M18" s="1802"/>
      <c r="N18" s="1801">
        <f>'[4]int.bevételek RM I'!K18</f>
        <v>0</v>
      </c>
      <c r="O18" s="1801">
        <f>'[4]int.bevételek RM III'!M18</f>
        <v>0</v>
      </c>
      <c r="P18" s="1801"/>
      <c r="Q18" s="1802"/>
      <c r="R18" s="1803">
        <f t="shared" si="14"/>
        <v>1576</v>
      </c>
      <c r="S18" s="1803">
        <f t="shared" si="14"/>
        <v>1306</v>
      </c>
      <c r="T18" s="1803">
        <f t="shared" si="14"/>
        <v>1305</v>
      </c>
      <c r="U18" s="1804">
        <f t="shared" si="1"/>
        <v>0.99923430321592654</v>
      </c>
      <c r="V18" s="1800" t="s">
        <v>1232</v>
      </c>
      <c r="W18" s="1801">
        <f>'[4]int.bevételek RM I'!R18</f>
        <v>0</v>
      </c>
      <c r="X18" s="1801">
        <f>'[4]int.bevételek RM III'!T18</f>
        <v>0</v>
      </c>
      <c r="Y18" s="1801"/>
      <c r="Z18" s="1802"/>
      <c r="AA18" s="1801">
        <f>'[4]int.bevételek RM I'!U18</f>
        <v>0</v>
      </c>
      <c r="AB18" s="1801">
        <f>'[4]int.bevételek RM III'!W18</f>
        <v>0</v>
      </c>
      <c r="AC18" s="1801"/>
      <c r="AD18" s="1802"/>
      <c r="AE18" s="1801">
        <f>'[4]int.bevételek RM I'!X18</f>
        <v>0</v>
      </c>
      <c r="AF18" s="1801">
        <f>'[4]int.bevételek RM III'!Z18</f>
        <v>0</v>
      </c>
      <c r="AG18" s="1801"/>
      <c r="AH18" s="1802"/>
      <c r="AI18" s="1803">
        <f t="shared" si="2"/>
        <v>0</v>
      </c>
      <c r="AJ18" s="1803">
        <f t="shared" si="3"/>
        <v>0</v>
      </c>
      <c r="AK18" s="1803">
        <f t="shared" si="4"/>
        <v>0</v>
      </c>
      <c r="AL18" s="1804"/>
      <c r="AM18" s="1801"/>
      <c r="AN18" s="1801">
        <f>'[4]int.bevételek RM III'!AJ18</f>
        <v>2890</v>
      </c>
      <c r="AO18" s="1801">
        <v>2890</v>
      </c>
      <c r="AP18" s="1802">
        <f t="shared" si="5"/>
        <v>1</v>
      </c>
      <c r="AQ18" s="1800" t="s">
        <v>1232</v>
      </c>
      <c r="AR18" s="1801">
        <f>'[4]int.bevételek RM I'!AK18</f>
        <v>154321</v>
      </c>
      <c r="AS18" s="1801">
        <f>'[4]int.bevételek RM III'!AM18</f>
        <v>159811</v>
      </c>
      <c r="AT18" s="1801">
        <f>156491-1610</f>
        <v>154881</v>
      </c>
      <c r="AU18" s="1802">
        <f t="shared" si="6"/>
        <v>0.96915105968925797</v>
      </c>
      <c r="AV18" s="1801">
        <f>'[4]int.bevételek RM I'!AN18</f>
        <v>0</v>
      </c>
      <c r="AW18" s="1801">
        <f>'[4]int.bevételek RM III'!AP18</f>
        <v>3163</v>
      </c>
      <c r="AX18" s="1801">
        <v>1610</v>
      </c>
      <c r="AY18" s="1802">
        <f t="shared" si="7"/>
        <v>0.50901043313310146</v>
      </c>
      <c r="AZ18" s="1803">
        <f t="shared" si="8"/>
        <v>154321</v>
      </c>
      <c r="BA18" s="1803">
        <f t="shared" si="8"/>
        <v>162974</v>
      </c>
      <c r="BB18" s="1803">
        <f t="shared" si="8"/>
        <v>156491</v>
      </c>
      <c r="BC18" s="1804">
        <f t="shared" si="9"/>
        <v>0.96022064869242951</v>
      </c>
      <c r="BD18" s="1803">
        <f t="shared" si="10"/>
        <v>155897</v>
      </c>
      <c r="BE18" s="1803">
        <f t="shared" si="11"/>
        <v>167170</v>
      </c>
      <c r="BF18" s="1803">
        <f t="shared" si="12"/>
        <v>160686</v>
      </c>
      <c r="BG18" s="1804">
        <f t="shared" si="13"/>
        <v>0.96121313632828853</v>
      </c>
      <c r="BH18" s="1805"/>
      <c r="BI18" s="1805"/>
      <c r="BJ18" s="1805"/>
      <c r="BK18" s="1805"/>
      <c r="BL18" s="1805"/>
      <c r="BM18" s="1805"/>
    </row>
    <row r="19" spans="1:65" s="763" customFormat="1" ht="75" customHeight="1" x14ac:dyDescent="0.85">
      <c r="A19" s="1800" t="s">
        <v>1233</v>
      </c>
      <c r="B19" s="1801">
        <f>'[4]int.bevételek RM I'!B19</f>
        <v>880</v>
      </c>
      <c r="C19" s="1801">
        <f>'[4]int.bevételek RM III'!D19</f>
        <v>4248</v>
      </c>
      <c r="D19" s="1801">
        <v>4247</v>
      </c>
      <c r="E19" s="1802">
        <f t="shared" si="0"/>
        <v>0.99976459510357818</v>
      </c>
      <c r="F19" s="1801">
        <f>'[4]int.bevételek RM I'!E19</f>
        <v>0</v>
      </c>
      <c r="G19" s="1801">
        <f>'[4]int.bevételek RM III'!G19</f>
        <v>0</v>
      </c>
      <c r="H19" s="1801"/>
      <c r="I19" s="1802"/>
      <c r="J19" s="1801">
        <f>'[4]int.bevételek RM I'!$H$10</f>
        <v>0</v>
      </c>
      <c r="K19" s="1801">
        <f>'[4]int.bevételek RM III'!J19</f>
        <v>0</v>
      </c>
      <c r="L19" s="1801"/>
      <c r="M19" s="1802"/>
      <c r="N19" s="1801">
        <f>'[4]int.bevételek RM I'!K19</f>
        <v>0</v>
      </c>
      <c r="O19" s="1801">
        <f>'[4]int.bevételek RM III'!M19</f>
        <v>0</v>
      </c>
      <c r="P19" s="1801"/>
      <c r="Q19" s="1802"/>
      <c r="R19" s="1803">
        <f t="shared" si="14"/>
        <v>880</v>
      </c>
      <c r="S19" s="1803">
        <f t="shared" si="14"/>
        <v>4248</v>
      </c>
      <c r="T19" s="1803">
        <f t="shared" si="14"/>
        <v>4247</v>
      </c>
      <c r="U19" s="1804">
        <f t="shared" si="1"/>
        <v>0.99976459510357818</v>
      </c>
      <c r="V19" s="1800" t="s">
        <v>1233</v>
      </c>
      <c r="W19" s="1801">
        <f>'[4]int.bevételek RM I'!R19</f>
        <v>0</v>
      </c>
      <c r="X19" s="1801">
        <f>'[4]int.bevételek RM III'!T19</f>
        <v>0</v>
      </c>
      <c r="Y19" s="1801"/>
      <c r="Z19" s="1802"/>
      <c r="AA19" s="1801">
        <f>'[4]int.bevételek RM I'!U19</f>
        <v>0</v>
      </c>
      <c r="AB19" s="1801">
        <f>'[4]int.bevételek RM III'!W19</f>
        <v>0</v>
      </c>
      <c r="AC19" s="1801"/>
      <c r="AD19" s="1802"/>
      <c r="AE19" s="1801">
        <f>'[4]int.bevételek RM I'!X19</f>
        <v>0</v>
      </c>
      <c r="AF19" s="1801">
        <f>'[4]int.bevételek RM III'!Z19</f>
        <v>0</v>
      </c>
      <c r="AG19" s="1801"/>
      <c r="AH19" s="1802"/>
      <c r="AI19" s="1803">
        <f t="shared" si="2"/>
        <v>0</v>
      </c>
      <c r="AJ19" s="1803">
        <f t="shared" si="3"/>
        <v>0</v>
      </c>
      <c r="AK19" s="1803">
        <f t="shared" si="4"/>
        <v>0</v>
      </c>
      <c r="AL19" s="1804"/>
      <c r="AM19" s="1801"/>
      <c r="AN19" s="1801">
        <f>'[4]int.bevételek RM III'!AJ19</f>
        <v>3273</v>
      </c>
      <c r="AO19" s="1801">
        <v>3273</v>
      </c>
      <c r="AP19" s="1802">
        <f t="shared" si="5"/>
        <v>1</v>
      </c>
      <c r="AQ19" s="1800" t="s">
        <v>1233</v>
      </c>
      <c r="AR19" s="1801">
        <f>'[4]int.bevételek RM I'!AK19</f>
        <v>174472</v>
      </c>
      <c r="AS19" s="1801">
        <f>'[4]int.bevételek RM III'!AM19</f>
        <v>181769</v>
      </c>
      <c r="AT19" s="1801">
        <f>178799-4383</f>
        <v>174416</v>
      </c>
      <c r="AU19" s="1802">
        <f t="shared" si="6"/>
        <v>0.95954755761433463</v>
      </c>
      <c r="AV19" s="1801">
        <f>'[4]int.bevételek RM I'!AN19</f>
        <v>0</v>
      </c>
      <c r="AW19" s="1801">
        <f>'[4]int.bevételek RM III'!AP19</f>
        <v>4383</v>
      </c>
      <c r="AX19" s="1801">
        <v>4383</v>
      </c>
      <c r="AY19" s="1802">
        <f t="shared" si="7"/>
        <v>1</v>
      </c>
      <c r="AZ19" s="1803">
        <f t="shared" si="8"/>
        <v>174472</v>
      </c>
      <c r="BA19" s="1803">
        <f t="shared" si="8"/>
        <v>186152</v>
      </c>
      <c r="BB19" s="1803">
        <f t="shared" si="8"/>
        <v>178799</v>
      </c>
      <c r="BC19" s="1804">
        <f t="shared" si="9"/>
        <v>0.96050002148781644</v>
      </c>
      <c r="BD19" s="1803">
        <f t="shared" si="10"/>
        <v>175352</v>
      </c>
      <c r="BE19" s="1803">
        <f t="shared" si="11"/>
        <v>193673</v>
      </c>
      <c r="BF19" s="1803">
        <f t="shared" si="12"/>
        <v>186319</v>
      </c>
      <c r="BG19" s="1804">
        <f t="shared" si="13"/>
        <v>0.96202878047017393</v>
      </c>
      <c r="BH19" s="1805"/>
      <c r="BI19" s="1805"/>
      <c r="BJ19" s="1805"/>
      <c r="BK19" s="1805"/>
      <c r="BL19" s="1805"/>
      <c r="BM19" s="1805"/>
    </row>
    <row r="20" spans="1:65" s="763" customFormat="1" ht="75" customHeight="1" x14ac:dyDescent="0.85">
      <c r="A20" s="1800" t="s">
        <v>1234</v>
      </c>
      <c r="B20" s="1801">
        <f>'[4]int.bevételek RM I'!B20</f>
        <v>600</v>
      </c>
      <c r="C20" s="1801">
        <f>'[4]int.bevételek RM III'!D20</f>
        <v>775</v>
      </c>
      <c r="D20" s="1801">
        <v>774</v>
      </c>
      <c r="E20" s="1802">
        <f t="shared" si="0"/>
        <v>0.99870967741935479</v>
      </c>
      <c r="F20" s="1801">
        <f>'[4]int.bevételek RM I'!E20</f>
        <v>0</v>
      </c>
      <c r="G20" s="1801">
        <f>'[4]int.bevételek RM III'!G20</f>
        <v>0</v>
      </c>
      <c r="H20" s="1801"/>
      <c r="I20" s="1802"/>
      <c r="J20" s="1801">
        <f>'[4]int.bevételek RM I'!$H$10</f>
        <v>0</v>
      </c>
      <c r="K20" s="1801">
        <f>'[4]int.bevételek RM III'!J20</f>
        <v>0</v>
      </c>
      <c r="L20" s="1801"/>
      <c r="M20" s="1802"/>
      <c r="N20" s="1801">
        <f>'[4]int.bevételek RM I'!K20</f>
        <v>0</v>
      </c>
      <c r="O20" s="1801">
        <f>'[4]int.bevételek RM III'!M20</f>
        <v>0</v>
      </c>
      <c r="P20" s="1801"/>
      <c r="Q20" s="1802"/>
      <c r="R20" s="1803">
        <f t="shared" si="14"/>
        <v>600</v>
      </c>
      <c r="S20" s="1803">
        <f t="shared" si="14"/>
        <v>775</v>
      </c>
      <c r="T20" s="1803">
        <f t="shared" si="14"/>
        <v>774</v>
      </c>
      <c r="U20" s="1804">
        <f t="shared" si="1"/>
        <v>0.99870967741935479</v>
      </c>
      <c r="V20" s="1800" t="s">
        <v>1234</v>
      </c>
      <c r="W20" s="1801">
        <f>'[4]int.bevételek RM I'!R20</f>
        <v>0</v>
      </c>
      <c r="X20" s="1801">
        <f>'[4]int.bevételek RM III'!T20</f>
        <v>0</v>
      </c>
      <c r="Y20" s="1801"/>
      <c r="Z20" s="1802"/>
      <c r="AA20" s="1801">
        <f>'[4]int.bevételek RM I'!U20</f>
        <v>0</v>
      </c>
      <c r="AB20" s="1801">
        <f>'[4]int.bevételek RM III'!W20</f>
        <v>0</v>
      </c>
      <c r="AC20" s="1801"/>
      <c r="AD20" s="1802"/>
      <c r="AE20" s="1801">
        <f>'[4]int.bevételek RM I'!X20</f>
        <v>0</v>
      </c>
      <c r="AF20" s="1801">
        <f>'[4]int.bevételek RM III'!Z20</f>
        <v>0</v>
      </c>
      <c r="AG20" s="1801"/>
      <c r="AH20" s="1802"/>
      <c r="AI20" s="1803">
        <f t="shared" si="2"/>
        <v>0</v>
      </c>
      <c r="AJ20" s="1803">
        <f t="shared" si="3"/>
        <v>0</v>
      </c>
      <c r="AK20" s="1803">
        <f t="shared" si="4"/>
        <v>0</v>
      </c>
      <c r="AL20" s="1804"/>
      <c r="AM20" s="1801"/>
      <c r="AN20" s="1801">
        <f>'[4]int.bevételek RM III'!AJ20</f>
        <v>1578</v>
      </c>
      <c r="AO20" s="1801">
        <v>1577</v>
      </c>
      <c r="AP20" s="1802">
        <f t="shared" si="5"/>
        <v>0.99936628643852976</v>
      </c>
      <c r="AQ20" s="1800" t="s">
        <v>1234</v>
      </c>
      <c r="AR20" s="1801">
        <f>'[4]int.bevételek RM I'!AK20</f>
        <v>94615</v>
      </c>
      <c r="AS20" s="1801">
        <f>'[4]int.bevételek RM III'!AM20</f>
        <v>98521</v>
      </c>
      <c r="AT20" s="1801">
        <f>90291-1300</f>
        <v>88991</v>
      </c>
      <c r="AU20" s="1802">
        <f t="shared" si="6"/>
        <v>0.90326935374184181</v>
      </c>
      <c r="AV20" s="1801">
        <f>'[4]int.bevételek RM I'!AN20</f>
        <v>0</v>
      </c>
      <c r="AW20" s="1801">
        <f>'[4]int.bevételek RM III'!AP20</f>
        <v>1607</v>
      </c>
      <c r="AX20" s="1801">
        <v>1300</v>
      </c>
      <c r="AY20" s="1802">
        <f t="shared" si="7"/>
        <v>0.80896079651524577</v>
      </c>
      <c r="AZ20" s="1803">
        <f t="shared" si="8"/>
        <v>94615</v>
      </c>
      <c r="BA20" s="1803">
        <f t="shared" si="8"/>
        <v>100128</v>
      </c>
      <c r="BB20" s="1803">
        <f t="shared" si="8"/>
        <v>90291</v>
      </c>
      <c r="BC20" s="1804">
        <f t="shared" si="9"/>
        <v>0.90175575263662511</v>
      </c>
      <c r="BD20" s="1803">
        <f t="shared" si="10"/>
        <v>95215</v>
      </c>
      <c r="BE20" s="1803">
        <f t="shared" si="11"/>
        <v>102481</v>
      </c>
      <c r="BF20" s="1803">
        <f t="shared" si="12"/>
        <v>92642</v>
      </c>
      <c r="BG20" s="1804">
        <f t="shared" si="13"/>
        <v>0.90399195948517286</v>
      </c>
      <c r="BH20" s="1805"/>
      <c r="BI20" s="1805"/>
      <c r="BJ20" s="1805"/>
      <c r="BK20" s="1805"/>
      <c r="BL20" s="1805"/>
      <c r="BM20" s="1805"/>
    </row>
    <row r="21" spans="1:65" s="763" customFormat="1" ht="75" customHeight="1" x14ac:dyDescent="0.85">
      <c r="A21" s="1800" t="s">
        <v>1235</v>
      </c>
      <c r="B21" s="1801">
        <f>'[4]int.bevételek RM I'!B21</f>
        <v>960</v>
      </c>
      <c r="C21" s="1801">
        <f>'[4]int.bevételek RM III'!D21</f>
        <v>1722</v>
      </c>
      <c r="D21" s="1801">
        <v>1721</v>
      </c>
      <c r="E21" s="1802">
        <f t="shared" si="0"/>
        <v>0.99941927990708479</v>
      </c>
      <c r="F21" s="1801">
        <f>'[4]int.bevételek RM I'!E21</f>
        <v>0</v>
      </c>
      <c r="G21" s="1801">
        <f>'[4]int.bevételek RM III'!G21</f>
        <v>0</v>
      </c>
      <c r="H21" s="1801"/>
      <c r="I21" s="1802"/>
      <c r="J21" s="1801">
        <f>'[4]int.bevételek RM I'!$H$10</f>
        <v>0</v>
      </c>
      <c r="K21" s="1801">
        <f>'[4]int.bevételek RM III'!J21</f>
        <v>0</v>
      </c>
      <c r="L21" s="1801"/>
      <c r="M21" s="1802"/>
      <c r="N21" s="1801">
        <f>'[4]int.bevételek RM I'!K21</f>
        <v>0</v>
      </c>
      <c r="O21" s="1801">
        <f>'[4]int.bevételek RM III'!M21</f>
        <v>0</v>
      </c>
      <c r="P21" s="1801"/>
      <c r="Q21" s="1802"/>
      <c r="R21" s="1803">
        <f t="shared" si="14"/>
        <v>960</v>
      </c>
      <c r="S21" s="1803">
        <f t="shared" si="14"/>
        <v>1722</v>
      </c>
      <c r="T21" s="1803">
        <f t="shared" si="14"/>
        <v>1721</v>
      </c>
      <c r="U21" s="1804">
        <f t="shared" si="1"/>
        <v>0.99941927990708479</v>
      </c>
      <c r="V21" s="1800" t="s">
        <v>1235</v>
      </c>
      <c r="W21" s="1801">
        <f>'[4]int.bevételek RM I'!R21</f>
        <v>0</v>
      </c>
      <c r="X21" s="1801">
        <f>'[4]int.bevételek RM III'!T21</f>
        <v>0</v>
      </c>
      <c r="Y21" s="1801"/>
      <c r="Z21" s="1802"/>
      <c r="AA21" s="1801">
        <f>'[4]int.bevételek RM I'!U21</f>
        <v>0</v>
      </c>
      <c r="AB21" s="1801">
        <f>'[4]int.bevételek RM III'!W21</f>
        <v>0</v>
      </c>
      <c r="AC21" s="1801"/>
      <c r="AD21" s="1802"/>
      <c r="AE21" s="1801">
        <f>'[4]int.bevételek RM I'!X21</f>
        <v>0</v>
      </c>
      <c r="AF21" s="1801">
        <f>'[4]int.bevételek RM III'!Z21</f>
        <v>0</v>
      </c>
      <c r="AG21" s="1801"/>
      <c r="AH21" s="1802"/>
      <c r="AI21" s="1803">
        <f t="shared" si="2"/>
        <v>0</v>
      </c>
      <c r="AJ21" s="1803">
        <f t="shared" si="3"/>
        <v>0</v>
      </c>
      <c r="AK21" s="1803">
        <f t="shared" si="4"/>
        <v>0</v>
      </c>
      <c r="AL21" s="1804"/>
      <c r="AM21" s="1801"/>
      <c r="AN21" s="1801">
        <f>'[4]int.bevételek RM III'!AJ21</f>
        <v>1560</v>
      </c>
      <c r="AO21" s="1801">
        <v>1560</v>
      </c>
      <c r="AP21" s="1802">
        <f t="shared" si="5"/>
        <v>1</v>
      </c>
      <c r="AQ21" s="1800" t="s">
        <v>1235</v>
      </c>
      <c r="AR21" s="1801">
        <f>'[4]int.bevételek RM I'!AK21</f>
        <v>83005</v>
      </c>
      <c r="AS21" s="1801">
        <f>'[4]int.bevételek RM III'!AM21</f>
        <v>85731</v>
      </c>
      <c r="AT21" s="1801">
        <f>85433-2374</f>
        <v>83059</v>
      </c>
      <c r="AU21" s="1802">
        <f t="shared" si="6"/>
        <v>0.96883274428153177</v>
      </c>
      <c r="AV21" s="1801">
        <f>'[4]int.bevételek RM I'!AN21</f>
        <v>0</v>
      </c>
      <c r="AW21" s="1801">
        <f>'[4]int.bevételek RM III'!AP21</f>
        <v>2374</v>
      </c>
      <c r="AX21" s="1801">
        <v>2374</v>
      </c>
      <c r="AY21" s="1802">
        <f t="shared" si="7"/>
        <v>1</v>
      </c>
      <c r="AZ21" s="1803">
        <f t="shared" si="8"/>
        <v>83005</v>
      </c>
      <c r="BA21" s="1803">
        <f t="shared" si="8"/>
        <v>88105</v>
      </c>
      <c r="BB21" s="1803">
        <f t="shared" si="8"/>
        <v>85433</v>
      </c>
      <c r="BC21" s="1804">
        <f t="shared" si="9"/>
        <v>0.96967254979853579</v>
      </c>
      <c r="BD21" s="1803">
        <f t="shared" si="10"/>
        <v>83965</v>
      </c>
      <c r="BE21" s="1803">
        <f t="shared" si="11"/>
        <v>91387</v>
      </c>
      <c r="BF21" s="1803">
        <f t="shared" si="12"/>
        <v>88714</v>
      </c>
      <c r="BG21" s="1804">
        <f t="shared" si="13"/>
        <v>0.97075076323765963</v>
      </c>
      <c r="BH21" s="1805"/>
      <c r="BI21" s="1805"/>
      <c r="BJ21" s="1805"/>
      <c r="BK21" s="1805"/>
      <c r="BL21" s="1805"/>
      <c r="BM21" s="1805"/>
    </row>
    <row r="22" spans="1:65" s="763" customFormat="1" ht="75" customHeight="1" x14ac:dyDescent="0.85">
      <c r="A22" s="1800" t="s">
        <v>1236</v>
      </c>
      <c r="B22" s="1801">
        <f>'[4]int.bevételek RM I'!B22</f>
        <v>1688</v>
      </c>
      <c r="C22" s="1801">
        <f>'[4]int.bevételek RM III'!D22</f>
        <v>1860</v>
      </c>
      <c r="D22" s="1801">
        <v>1859</v>
      </c>
      <c r="E22" s="1802">
        <f t="shared" si="0"/>
        <v>0.99946236559139789</v>
      </c>
      <c r="F22" s="1801">
        <f>'[4]int.bevételek RM I'!E22</f>
        <v>0</v>
      </c>
      <c r="G22" s="1801">
        <f>'[4]int.bevételek RM III'!G22</f>
        <v>0</v>
      </c>
      <c r="H22" s="1801"/>
      <c r="I22" s="1802"/>
      <c r="J22" s="1801">
        <f>'[4]int.bevételek RM I'!$H$10</f>
        <v>0</v>
      </c>
      <c r="K22" s="1801">
        <f>'[4]int.bevételek RM III'!J22</f>
        <v>0</v>
      </c>
      <c r="L22" s="1801"/>
      <c r="M22" s="1802"/>
      <c r="N22" s="1801">
        <f>'[4]int.bevételek RM I'!K22</f>
        <v>0</v>
      </c>
      <c r="O22" s="1801">
        <f>'[4]int.bevételek RM III'!M22</f>
        <v>0</v>
      </c>
      <c r="P22" s="1801"/>
      <c r="Q22" s="1802"/>
      <c r="R22" s="1803">
        <f t="shared" si="14"/>
        <v>1688</v>
      </c>
      <c r="S22" s="1803">
        <f t="shared" si="14"/>
        <v>1860</v>
      </c>
      <c r="T22" s="1803">
        <f t="shared" si="14"/>
        <v>1859</v>
      </c>
      <c r="U22" s="1804">
        <f t="shared" si="1"/>
        <v>0.99946236559139789</v>
      </c>
      <c r="V22" s="1800" t="s">
        <v>1236</v>
      </c>
      <c r="W22" s="1801">
        <f>'[4]int.bevételek RM I'!R22</f>
        <v>0</v>
      </c>
      <c r="X22" s="1801">
        <f>'[4]int.bevételek RM III'!T22</f>
        <v>0</v>
      </c>
      <c r="Y22" s="1801"/>
      <c r="Z22" s="1802"/>
      <c r="AA22" s="1801">
        <f>'[4]int.bevételek RM I'!U22</f>
        <v>0</v>
      </c>
      <c r="AB22" s="1801">
        <f>'[4]int.bevételek RM III'!W22</f>
        <v>0</v>
      </c>
      <c r="AC22" s="1801"/>
      <c r="AD22" s="1802"/>
      <c r="AE22" s="1801">
        <f>'[4]int.bevételek RM I'!X22</f>
        <v>0</v>
      </c>
      <c r="AF22" s="1801">
        <f>'[4]int.bevételek RM III'!Z22</f>
        <v>0</v>
      </c>
      <c r="AG22" s="1801"/>
      <c r="AH22" s="1802"/>
      <c r="AI22" s="1803">
        <f t="shared" si="2"/>
        <v>0</v>
      </c>
      <c r="AJ22" s="1803">
        <f t="shared" si="3"/>
        <v>0</v>
      </c>
      <c r="AK22" s="1803">
        <f t="shared" si="4"/>
        <v>0</v>
      </c>
      <c r="AL22" s="1804"/>
      <c r="AM22" s="1801"/>
      <c r="AN22" s="1801">
        <f>'[4]int.bevételek RM III'!AJ22</f>
        <v>2869</v>
      </c>
      <c r="AO22" s="1801">
        <v>2869</v>
      </c>
      <c r="AP22" s="1802">
        <f t="shared" si="5"/>
        <v>1</v>
      </c>
      <c r="AQ22" s="1800" t="s">
        <v>1236</v>
      </c>
      <c r="AR22" s="1801">
        <f>'[4]int.bevételek RM I'!AK22</f>
        <v>110370</v>
      </c>
      <c r="AS22" s="1801">
        <f>'[4]int.bevételek RM III'!AM22</f>
        <v>117901</v>
      </c>
      <c r="AT22" s="1801">
        <f>114981-1318</f>
        <v>113663</v>
      </c>
      <c r="AU22" s="1802">
        <f t="shared" si="6"/>
        <v>0.96405458817143197</v>
      </c>
      <c r="AV22" s="1801">
        <f>'[4]int.bevételek RM I'!AN22</f>
        <v>0</v>
      </c>
      <c r="AW22" s="1801">
        <f>'[4]int.bevételek RM III'!AP22</f>
        <v>4434</v>
      </c>
      <c r="AX22" s="1801">
        <v>1318</v>
      </c>
      <c r="AY22" s="1802">
        <f t="shared" si="7"/>
        <v>0.29724853405502932</v>
      </c>
      <c r="AZ22" s="1803">
        <f t="shared" si="8"/>
        <v>110370</v>
      </c>
      <c r="BA22" s="1803">
        <f t="shared" si="8"/>
        <v>122335</v>
      </c>
      <c r="BB22" s="1803">
        <f t="shared" si="8"/>
        <v>114981</v>
      </c>
      <c r="BC22" s="1804">
        <f t="shared" si="9"/>
        <v>0.93988637756978788</v>
      </c>
      <c r="BD22" s="1803">
        <f t="shared" si="10"/>
        <v>112058</v>
      </c>
      <c r="BE22" s="1803">
        <f t="shared" si="11"/>
        <v>127064</v>
      </c>
      <c r="BF22" s="1803">
        <f t="shared" si="12"/>
        <v>119709</v>
      </c>
      <c r="BG22" s="1804">
        <f t="shared" si="13"/>
        <v>0.94211578417175601</v>
      </c>
      <c r="BH22" s="1805"/>
      <c r="BI22" s="1805"/>
      <c r="BJ22" s="1805"/>
      <c r="BK22" s="1805"/>
      <c r="BL22" s="1805"/>
      <c r="BM22" s="1805"/>
    </row>
    <row r="23" spans="1:65" s="763" customFormat="1" ht="75" customHeight="1" x14ac:dyDescent="0.85">
      <c r="A23" s="1800" t="s">
        <v>1237</v>
      </c>
      <c r="B23" s="1801">
        <f>'[4]int.bevételek RM I'!B23</f>
        <v>1240</v>
      </c>
      <c r="C23" s="1801">
        <f>'[4]int.bevételek RM III'!D23</f>
        <v>1214</v>
      </c>
      <c r="D23" s="1801">
        <v>1214</v>
      </c>
      <c r="E23" s="1802">
        <f t="shared" si="0"/>
        <v>1</v>
      </c>
      <c r="F23" s="1801">
        <f>'[4]int.bevételek RM I'!E23</f>
        <v>0</v>
      </c>
      <c r="G23" s="1801">
        <f>'[4]int.bevételek RM III'!G23</f>
        <v>200</v>
      </c>
      <c r="H23" s="1801">
        <v>200</v>
      </c>
      <c r="I23" s="1802">
        <f>H23/G23</f>
        <v>1</v>
      </c>
      <c r="J23" s="1801">
        <f>'[4]int.bevételek RM I'!$H$10</f>
        <v>0</v>
      </c>
      <c r="K23" s="1801">
        <f>'[4]int.bevételek RM III'!J23</f>
        <v>0</v>
      </c>
      <c r="L23" s="1801"/>
      <c r="M23" s="1802"/>
      <c r="N23" s="1801">
        <f>'[4]int.bevételek RM I'!K23</f>
        <v>0</v>
      </c>
      <c r="O23" s="1801">
        <f>'[4]int.bevételek RM III'!M23</f>
        <v>0</v>
      </c>
      <c r="P23" s="1801"/>
      <c r="Q23" s="1802"/>
      <c r="R23" s="1803">
        <f t="shared" si="14"/>
        <v>1240</v>
      </c>
      <c r="S23" s="1803">
        <f t="shared" si="14"/>
        <v>1414</v>
      </c>
      <c r="T23" s="1803">
        <f t="shared" si="14"/>
        <v>1414</v>
      </c>
      <c r="U23" s="1804">
        <f t="shared" si="1"/>
        <v>1</v>
      </c>
      <c r="V23" s="1800" t="s">
        <v>1237</v>
      </c>
      <c r="W23" s="1801">
        <f>'[4]int.bevételek RM I'!R23</f>
        <v>0</v>
      </c>
      <c r="X23" s="1801">
        <f>'[4]int.bevételek RM III'!T23</f>
        <v>0</v>
      </c>
      <c r="Y23" s="1801"/>
      <c r="Z23" s="1802"/>
      <c r="AA23" s="1801">
        <f>'[4]int.bevételek RM I'!U23</f>
        <v>0</v>
      </c>
      <c r="AB23" s="1801">
        <f>'[4]int.bevételek RM III'!W23</f>
        <v>0</v>
      </c>
      <c r="AC23" s="1801"/>
      <c r="AD23" s="1802"/>
      <c r="AE23" s="1801">
        <f>'[4]int.bevételek RM I'!X23</f>
        <v>0</v>
      </c>
      <c r="AF23" s="1801">
        <f>'[4]int.bevételek RM III'!Z23</f>
        <v>0</v>
      </c>
      <c r="AG23" s="1801"/>
      <c r="AH23" s="1802"/>
      <c r="AI23" s="1803">
        <f t="shared" si="2"/>
        <v>0</v>
      </c>
      <c r="AJ23" s="1803">
        <f t="shared" si="3"/>
        <v>0</v>
      </c>
      <c r="AK23" s="1803">
        <f t="shared" si="4"/>
        <v>0</v>
      </c>
      <c r="AL23" s="1804"/>
      <c r="AM23" s="1801"/>
      <c r="AN23" s="1801">
        <f>'[4]int.bevételek RM III'!AJ23</f>
        <v>3242</v>
      </c>
      <c r="AO23" s="1801">
        <v>3242</v>
      </c>
      <c r="AP23" s="1802">
        <f t="shared" si="5"/>
        <v>1</v>
      </c>
      <c r="AQ23" s="1800" t="s">
        <v>1237</v>
      </c>
      <c r="AR23" s="1801">
        <f>'[4]int.bevételek RM I'!AK23</f>
        <v>121884</v>
      </c>
      <c r="AS23" s="1801">
        <f>'[4]int.bevételek RM III'!AM23</f>
        <v>129164</v>
      </c>
      <c r="AT23" s="1801">
        <f>118460-2889</f>
        <v>115571</v>
      </c>
      <c r="AU23" s="1802">
        <f t="shared" si="6"/>
        <v>0.89476169830602958</v>
      </c>
      <c r="AV23" s="1801">
        <f>'[4]int.bevételek RM I'!AN23</f>
        <v>0</v>
      </c>
      <c r="AW23" s="1801">
        <f>'[4]int.bevételek RM III'!AP23</f>
        <v>2891</v>
      </c>
      <c r="AX23" s="1801">
        <v>2889</v>
      </c>
      <c r="AY23" s="1802">
        <f t="shared" si="7"/>
        <v>0.99930819785541336</v>
      </c>
      <c r="AZ23" s="1803">
        <f t="shared" si="8"/>
        <v>121884</v>
      </c>
      <c r="BA23" s="1803">
        <f t="shared" si="8"/>
        <v>132055</v>
      </c>
      <c r="BB23" s="1803">
        <f t="shared" si="8"/>
        <v>118460</v>
      </c>
      <c r="BC23" s="1804">
        <f t="shared" si="9"/>
        <v>0.89705047139449468</v>
      </c>
      <c r="BD23" s="1803">
        <f t="shared" si="10"/>
        <v>123124</v>
      </c>
      <c r="BE23" s="1803">
        <f t="shared" si="11"/>
        <v>136711</v>
      </c>
      <c r="BF23" s="1803">
        <f t="shared" si="12"/>
        <v>123116</v>
      </c>
      <c r="BG23" s="1804">
        <f t="shared" si="13"/>
        <v>0.90055664869688612</v>
      </c>
      <c r="BH23" s="1805"/>
      <c r="BI23" s="1805"/>
      <c r="BJ23" s="1805"/>
      <c r="BK23" s="1805"/>
      <c r="BL23" s="1805"/>
      <c r="BM23" s="1805"/>
    </row>
    <row r="24" spans="1:65" s="763" customFormat="1" ht="75" customHeight="1" x14ac:dyDescent="0.85">
      <c r="A24" s="1800" t="s">
        <v>1238</v>
      </c>
      <c r="B24" s="1801">
        <f>'[4]int.bevételek RM I'!B24</f>
        <v>2088</v>
      </c>
      <c r="C24" s="1801">
        <f>'[4]int.bevételek RM III'!D24</f>
        <v>2426</v>
      </c>
      <c r="D24" s="1801">
        <v>2426</v>
      </c>
      <c r="E24" s="1802">
        <f t="shared" si="0"/>
        <v>1</v>
      </c>
      <c r="F24" s="1801">
        <f>'[4]int.bevételek RM I'!E24</f>
        <v>0</v>
      </c>
      <c r="G24" s="1801">
        <f>'[4]int.bevételek RM III'!G24</f>
        <v>0</v>
      </c>
      <c r="H24" s="1801"/>
      <c r="I24" s="1802"/>
      <c r="J24" s="1801">
        <f>'[4]int.bevételek RM I'!$H$10</f>
        <v>0</v>
      </c>
      <c r="K24" s="1801">
        <f>'[4]int.bevételek RM III'!J24</f>
        <v>0</v>
      </c>
      <c r="L24" s="1801"/>
      <c r="M24" s="1802"/>
      <c r="N24" s="1801">
        <f>'[4]int.bevételek RM I'!K24</f>
        <v>0</v>
      </c>
      <c r="O24" s="1801">
        <f>'[4]int.bevételek RM III'!M24</f>
        <v>0</v>
      </c>
      <c r="P24" s="1801"/>
      <c r="Q24" s="1802"/>
      <c r="R24" s="1803">
        <f t="shared" si="14"/>
        <v>2088</v>
      </c>
      <c r="S24" s="1803">
        <f t="shared" si="14"/>
        <v>2426</v>
      </c>
      <c r="T24" s="1803">
        <f t="shared" si="14"/>
        <v>2426</v>
      </c>
      <c r="U24" s="1804">
        <f t="shared" si="1"/>
        <v>1</v>
      </c>
      <c r="V24" s="1800" t="s">
        <v>1238</v>
      </c>
      <c r="W24" s="1801">
        <f>'[4]int.bevételek RM I'!R24</f>
        <v>0</v>
      </c>
      <c r="X24" s="1801">
        <f>'[4]int.bevételek RM III'!T24</f>
        <v>0</v>
      </c>
      <c r="Y24" s="1801"/>
      <c r="Z24" s="1802"/>
      <c r="AA24" s="1801">
        <f>'[4]int.bevételek RM I'!U24</f>
        <v>0</v>
      </c>
      <c r="AB24" s="1801">
        <f>'[4]int.bevételek RM III'!W24</f>
        <v>0</v>
      </c>
      <c r="AC24" s="1801"/>
      <c r="AD24" s="1802"/>
      <c r="AE24" s="1801">
        <f>'[4]int.bevételek RM I'!X24</f>
        <v>0</v>
      </c>
      <c r="AF24" s="1801">
        <f>'[4]int.bevételek RM III'!Z24</f>
        <v>0</v>
      </c>
      <c r="AG24" s="1801"/>
      <c r="AH24" s="1802"/>
      <c r="AI24" s="1803">
        <f t="shared" si="2"/>
        <v>0</v>
      </c>
      <c r="AJ24" s="1803">
        <f t="shared" si="3"/>
        <v>0</v>
      </c>
      <c r="AK24" s="1803">
        <f t="shared" si="4"/>
        <v>0</v>
      </c>
      <c r="AL24" s="1804"/>
      <c r="AM24" s="1801"/>
      <c r="AN24" s="1801">
        <f>'[4]int.bevételek RM III'!AJ24</f>
        <v>3082</v>
      </c>
      <c r="AO24" s="1801">
        <v>3082</v>
      </c>
      <c r="AP24" s="1802">
        <f t="shared" si="5"/>
        <v>1</v>
      </c>
      <c r="AQ24" s="1800" t="s">
        <v>1238</v>
      </c>
      <c r="AR24" s="1801">
        <f>'[4]int.bevételek RM I'!AK24</f>
        <v>180838</v>
      </c>
      <c r="AS24" s="1801">
        <f>'[4]int.bevételek RM III'!AM24</f>
        <v>185625</v>
      </c>
      <c r="AT24" s="1801">
        <f>184580-3233</f>
        <v>181347</v>
      </c>
      <c r="AU24" s="1802">
        <f t="shared" si="6"/>
        <v>0.97695353535353535</v>
      </c>
      <c r="AV24" s="1801">
        <f>'[4]int.bevételek RM I'!AN24</f>
        <v>0</v>
      </c>
      <c r="AW24" s="1801">
        <f>'[4]int.bevételek RM III'!AP24</f>
        <v>3234</v>
      </c>
      <c r="AX24" s="1801">
        <v>3233</v>
      </c>
      <c r="AY24" s="1802">
        <f t="shared" si="7"/>
        <v>0.99969078540507117</v>
      </c>
      <c r="AZ24" s="1803">
        <f t="shared" si="8"/>
        <v>180838</v>
      </c>
      <c r="BA24" s="1803">
        <f t="shared" si="8"/>
        <v>188859</v>
      </c>
      <c r="BB24" s="1803">
        <f t="shared" si="8"/>
        <v>184580</v>
      </c>
      <c r="BC24" s="1804">
        <f t="shared" si="9"/>
        <v>0.97734288543304793</v>
      </c>
      <c r="BD24" s="1803">
        <f t="shared" si="10"/>
        <v>182926</v>
      </c>
      <c r="BE24" s="1803">
        <f t="shared" si="11"/>
        <v>194367</v>
      </c>
      <c r="BF24" s="1803">
        <f t="shared" si="12"/>
        <v>190088</v>
      </c>
      <c r="BG24" s="1804">
        <f t="shared" si="13"/>
        <v>0.97798494600420849</v>
      </c>
      <c r="BH24" s="1805"/>
      <c r="BI24" s="1805"/>
      <c r="BJ24" s="1805"/>
      <c r="BK24" s="1805"/>
      <c r="BL24" s="1805"/>
      <c r="BM24" s="1805"/>
    </row>
    <row r="25" spans="1:65" s="763" customFormat="1" ht="75" customHeight="1" x14ac:dyDescent="0.85">
      <c r="A25" s="1800" t="s">
        <v>1239</v>
      </c>
      <c r="B25" s="1801">
        <f>'[4]int.bevételek RM I'!B25</f>
        <v>1040</v>
      </c>
      <c r="C25" s="1801">
        <f>'[4]int.bevételek RM III'!D25</f>
        <v>914</v>
      </c>
      <c r="D25" s="1801">
        <v>913</v>
      </c>
      <c r="E25" s="1802">
        <f t="shared" si="0"/>
        <v>0.9989059080962801</v>
      </c>
      <c r="F25" s="1801">
        <f>'[4]int.bevételek RM I'!E25</f>
        <v>0</v>
      </c>
      <c r="G25" s="1801">
        <f>'[4]int.bevételek RM III'!G25</f>
        <v>0</v>
      </c>
      <c r="H25" s="1801"/>
      <c r="I25" s="1802"/>
      <c r="J25" s="1801">
        <f>'[4]int.bevételek RM I'!$H$10</f>
        <v>0</v>
      </c>
      <c r="K25" s="1801">
        <f>'[4]int.bevételek RM III'!J25</f>
        <v>0</v>
      </c>
      <c r="L25" s="1801"/>
      <c r="M25" s="1802"/>
      <c r="N25" s="1801">
        <f>'[4]int.bevételek RM I'!K25</f>
        <v>0</v>
      </c>
      <c r="O25" s="1801">
        <f>'[4]int.bevételek RM III'!M25</f>
        <v>0</v>
      </c>
      <c r="P25" s="1801"/>
      <c r="Q25" s="1802"/>
      <c r="R25" s="1803">
        <f t="shared" si="14"/>
        <v>1040</v>
      </c>
      <c r="S25" s="1803">
        <f t="shared" si="14"/>
        <v>914</v>
      </c>
      <c r="T25" s="1803">
        <f t="shared" si="14"/>
        <v>913</v>
      </c>
      <c r="U25" s="1804">
        <f t="shared" si="1"/>
        <v>0.9989059080962801</v>
      </c>
      <c r="V25" s="1800" t="s">
        <v>1239</v>
      </c>
      <c r="W25" s="1801">
        <f>'[4]int.bevételek RM I'!R25</f>
        <v>0</v>
      </c>
      <c r="X25" s="1801">
        <f>'[4]int.bevételek RM III'!T25</f>
        <v>0</v>
      </c>
      <c r="Y25" s="1801"/>
      <c r="Z25" s="1802"/>
      <c r="AA25" s="1801">
        <f>'[4]int.bevételek RM I'!U25</f>
        <v>0</v>
      </c>
      <c r="AB25" s="1801">
        <f>'[4]int.bevételek RM III'!W25</f>
        <v>0</v>
      </c>
      <c r="AC25" s="1801"/>
      <c r="AD25" s="1802"/>
      <c r="AE25" s="1801">
        <f>'[4]int.bevételek RM I'!X25</f>
        <v>0</v>
      </c>
      <c r="AF25" s="1801">
        <f>'[4]int.bevételek RM III'!Z25</f>
        <v>0</v>
      </c>
      <c r="AG25" s="1801"/>
      <c r="AH25" s="1802"/>
      <c r="AI25" s="1803">
        <f t="shared" si="2"/>
        <v>0</v>
      </c>
      <c r="AJ25" s="1803">
        <f t="shared" si="3"/>
        <v>0</v>
      </c>
      <c r="AK25" s="1803">
        <f t="shared" si="4"/>
        <v>0</v>
      </c>
      <c r="AL25" s="1804"/>
      <c r="AM25" s="1801"/>
      <c r="AN25" s="1801">
        <f>'[4]int.bevételek RM III'!AJ25</f>
        <v>2523</v>
      </c>
      <c r="AO25" s="1801">
        <v>2523</v>
      </c>
      <c r="AP25" s="1802">
        <f t="shared" si="5"/>
        <v>1</v>
      </c>
      <c r="AQ25" s="1800" t="s">
        <v>1239</v>
      </c>
      <c r="AR25" s="1801">
        <f>'[4]int.bevételek RM I'!AK25</f>
        <v>148431</v>
      </c>
      <c r="AS25" s="1801">
        <f>'[4]int.bevételek RM III'!AM25</f>
        <v>153037</v>
      </c>
      <c r="AT25" s="1801">
        <f>134789-3344</f>
        <v>131445</v>
      </c>
      <c r="AU25" s="1802">
        <f t="shared" si="6"/>
        <v>0.85890993681266625</v>
      </c>
      <c r="AV25" s="1801">
        <f>'[4]int.bevételek RM I'!AN25</f>
        <v>0</v>
      </c>
      <c r="AW25" s="1801">
        <f>'[4]int.bevételek RM III'!AP25</f>
        <v>3345</v>
      </c>
      <c r="AX25" s="1801">
        <v>3344</v>
      </c>
      <c r="AY25" s="1802">
        <f t="shared" si="7"/>
        <v>0.99970104633781764</v>
      </c>
      <c r="AZ25" s="1803">
        <f t="shared" si="8"/>
        <v>148431</v>
      </c>
      <c r="BA25" s="1803">
        <f t="shared" si="8"/>
        <v>156382</v>
      </c>
      <c r="BB25" s="1803">
        <f t="shared" si="8"/>
        <v>134789</v>
      </c>
      <c r="BC25" s="1804">
        <f t="shared" si="9"/>
        <v>0.86192144876008747</v>
      </c>
      <c r="BD25" s="1803">
        <f t="shared" si="10"/>
        <v>149471</v>
      </c>
      <c r="BE25" s="1803">
        <f t="shared" si="11"/>
        <v>159819</v>
      </c>
      <c r="BF25" s="1803">
        <f t="shared" si="12"/>
        <v>138225</v>
      </c>
      <c r="BG25" s="1804">
        <f t="shared" si="13"/>
        <v>0.8648846507611736</v>
      </c>
      <c r="BH25" s="1805"/>
      <c r="BI25" s="1805"/>
      <c r="BJ25" s="1805"/>
      <c r="BK25" s="1805"/>
      <c r="BL25" s="1805"/>
      <c r="BM25" s="1805"/>
    </row>
    <row r="26" spans="1:65" s="763" customFormat="1" ht="75" customHeight="1" x14ac:dyDescent="0.85">
      <c r="A26" s="1800" t="s">
        <v>1240</v>
      </c>
      <c r="B26" s="1801">
        <f>'[4]int.bevételek RM I'!B26</f>
        <v>360</v>
      </c>
      <c r="C26" s="1801">
        <f>'[4]int.bevételek RM III'!D26</f>
        <v>1383</v>
      </c>
      <c r="D26" s="1801">
        <v>1381</v>
      </c>
      <c r="E26" s="1802">
        <f t="shared" si="0"/>
        <v>0.99855386840202454</v>
      </c>
      <c r="F26" s="1801">
        <f>'[4]int.bevételek RM I'!E26</f>
        <v>0</v>
      </c>
      <c r="G26" s="1801">
        <f>'[4]int.bevételek RM III'!G26</f>
        <v>0</v>
      </c>
      <c r="H26" s="1806"/>
      <c r="I26" s="1802"/>
      <c r="J26" s="1801">
        <f>'[4]int.bevételek RM I'!$H$10</f>
        <v>0</v>
      </c>
      <c r="K26" s="1801">
        <f>'[4]int.bevételek RM III'!J26</f>
        <v>0</v>
      </c>
      <c r="L26" s="1801"/>
      <c r="M26" s="1802"/>
      <c r="N26" s="1801">
        <f>'[4]int.bevételek RM I'!K26</f>
        <v>0</v>
      </c>
      <c r="O26" s="1801">
        <f>'[4]int.bevételek RM III'!M26</f>
        <v>0</v>
      </c>
      <c r="P26" s="1801"/>
      <c r="Q26" s="1802"/>
      <c r="R26" s="1803">
        <f t="shared" si="14"/>
        <v>360</v>
      </c>
      <c r="S26" s="1803">
        <f t="shared" si="14"/>
        <v>1383</v>
      </c>
      <c r="T26" s="1803">
        <f t="shared" si="14"/>
        <v>1381</v>
      </c>
      <c r="U26" s="1804">
        <f t="shared" si="1"/>
        <v>0.99855386840202454</v>
      </c>
      <c r="V26" s="1800" t="s">
        <v>1240</v>
      </c>
      <c r="W26" s="1801">
        <f>'[4]int.bevételek RM I'!R26</f>
        <v>0</v>
      </c>
      <c r="X26" s="1801">
        <f>'[4]int.bevételek RM III'!T26</f>
        <v>0</v>
      </c>
      <c r="Y26" s="1801"/>
      <c r="Z26" s="1802"/>
      <c r="AA26" s="1801">
        <f>'[4]int.bevételek RM I'!U26</f>
        <v>0</v>
      </c>
      <c r="AB26" s="1801">
        <f>'[4]int.bevételek RM III'!W26</f>
        <v>0</v>
      </c>
      <c r="AC26" s="1801"/>
      <c r="AD26" s="1802"/>
      <c r="AE26" s="1801">
        <f>'[4]int.bevételek RM I'!X26</f>
        <v>0</v>
      </c>
      <c r="AF26" s="1801">
        <f>'[4]int.bevételek RM III'!Z26</f>
        <v>0</v>
      </c>
      <c r="AG26" s="1801"/>
      <c r="AH26" s="1802"/>
      <c r="AI26" s="1803">
        <f t="shared" si="2"/>
        <v>0</v>
      </c>
      <c r="AJ26" s="1803">
        <f t="shared" si="3"/>
        <v>0</v>
      </c>
      <c r="AK26" s="1803">
        <f t="shared" si="4"/>
        <v>0</v>
      </c>
      <c r="AL26" s="1804"/>
      <c r="AM26" s="1801"/>
      <c r="AN26" s="1801">
        <f>'[4]int.bevételek RM III'!AJ26</f>
        <v>2066</v>
      </c>
      <c r="AO26" s="1801">
        <v>2066</v>
      </c>
      <c r="AP26" s="1802">
        <f t="shared" si="5"/>
        <v>1</v>
      </c>
      <c r="AQ26" s="1800" t="s">
        <v>1240</v>
      </c>
      <c r="AR26" s="1801">
        <f>'[4]int.bevételek RM I'!AK26</f>
        <v>98228</v>
      </c>
      <c r="AS26" s="1801">
        <f>'[4]int.bevételek RM III'!AM26</f>
        <v>100220</v>
      </c>
      <c r="AT26" s="1801">
        <f>97869-297</f>
        <v>97572</v>
      </c>
      <c r="AU26" s="1802">
        <f t="shared" si="6"/>
        <v>0.97357812811814004</v>
      </c>
      <c r="AV26" s="1801">
        <f>'[4]int.bevételek RM I'!AN26</f>
        <v>0</v>
      </c>
      <c r="AW26" s="1801">
        <f>'[4]int.bevételek RM III'!AP26</f>
        <v>2780</v>
      </c>
      <c r="AX26" s="1801">
        <v>297</v>
      </c>
      <c r="AY26" s="1802">
        <f t="shared" si="7"/>
        <v>0.10683453237410072</v>
      </c>
      <c r="AZ26" s="1803">
        <f t="shared" si="8"/>
        <v>98228</v>
      </c>
      <c r="BA26" s="1803">
        <f t="shared" si="8"/>
        <v>103000</v>
      </c>
      <c r="BB26" s="1803">
        <f t="shared" si="8"/>
        <v>97869</v>
      </c>
      <c r="BC26" s="1804">
        <f t="shared" si="9"/>
        <v>0.95018446601941753</v>
      </c>
      <c r="BD26" s="1803">
        <f t="shared" si="10"/>
        <v>98588</v>
      </c>
      <c r="BE26" s="1803">
        <f t="shared" si="11"/>
        <v>106449</v>
      </c>
      <c r="BF26" s="1803">
        <f t="shared" si="12"/>
        <v>101316</v>
      </c>
      <c r="BG26" s="1804">
        <f t="shared" si="13"/>
        <v>0.95177972550235324</v>
      </c>
      <c r="BH26" s="1805"/>
      <c r="BI26" s="1805"/>
      <c r="BJ26" s="1805"/>
      <c r="BK26" s="1805"/>
      <c r="BL26" s="1805"/>
      <c r="BM26" s="1805"/>
    </row>
    <row r="27" spans="1:65" s="763" customFormat="1" ht="75" customHeight="1" thickBot="1" x14ac:dyDescent="0.9">
      <c r="A27" s="1807" t="s">
        <v>1241</v>
      </c>
      <c r="B27" s="1808">
        <f>'[4]int.bevételek RM I'!B27</f>
        <v>680</v>
      </c>
      <c r="C27" s="1801">
        <f>'[4]int.bevételek RM III'!D27</f>
        <v>1544</v>
      </c>
      <c r="D27" s="1808">
        <v>1544</v>
      </c>
      <c r="E27" s="1809">
        <f t="shared" si="0"/>
        <v>1</v>
      </c>
      <c r="F27" s="1808">
        <f>'[4]int.bevételek RM I'!E27</f>
        <v>0</v>
      </c>
      <c r="G27" s="1801">
        <f>'[4]int.bevételek RM III'!G27</f>
        <v>0</v>
      </c>
      <c r="H27" s="1808"/>
      <c r="I27" s="1809"/>
      <c r="J27" s="1808">
        <f>'[4]int.bevételek RM I'!$H$10</f>
        <v>0</v>
      </c>
      <c r="K27" s="1801">
        <f>'[4]int.bevételek RM III'!J27</f>
        <v>0</v>
      </c>
      <c r="L27" s="1808"/>
      <c r="M27" s="1809"/>
      <c r="N27" s="1808">
        <f>'[4]int.bevételek RM I'!K27</f>
        <v>0</v>
      </c>
      <c r="O27" s="1808">
        <f>'[4]int.bevételek RM III'!M27</f>
        <v>0</v>
      </c>
      <c r="P27" s="1801"/>
      <c r="Q27" s="1809"/>
      <c r="R27" s="1803">
        <f t="shared" si="14"/>
        <v>680</v>
      </c>
      <c r="S27" s="1803">
        <f t="shared" si="14"/>
        <v>1544</v>
      </c>
      <c r="T27" s="1803">
        <f t="shared" si="14"/>
        <v>1544</v>
      </c>
      <c r="U27" s="1810">
        <f t="shared" si="1"/>
        <v>1</v>
      </c>
      <c r="V27" s="1807" t="s">
        <v>1241</v>
      </c>
      <c r="W27" s="1808">
        <f>'[4]int.bevételek RM I'!R27</f>
        <v>0</v>
      </c>
      <c r="X27" s="1808">
        <f>'[4]int.bevételek RM III'!T27</f>
        <v>0</v>
      </c>
      <c r="Y27" s="1808"/>
      <c r="Z27" s="1809"/>
      <c r="AA27" s="1808">
        <f>'[4]int.bevételek RM I'!U27</f>
        <v>0</v>
      </c>
      <c r="AB27" s="1808">
        <f>'[4]int.bevételek RM III'!W27</f>
        <v>0</v>
      </c>
      <c r="AC27" s="1801"/>
      <c r="AD27" s="1809"/>
      <c r="AE27" s="1808">
        <f>'[4]int.bevételek RM I'!X27</f>
        <v>0</v>
      </c>
      <c r="AF27" s="1808">
        <f>'[4]int.bevételek RM III'!Z27</f>
        <v>0</v>
      </c>
      <c r="AG27" s="1808"/>
      <c r="AH27" s="1811"/>
      <c r="AI27" s="1803">
        <f t="shared" si="2"/>
        <v>0</v>
      </c>
      <c r="AJ27" s="1803">
        <f t="shared" si="3"/>
        <v>0</v>
      </c>
      <c r="AK27" s="1803">
        <f t="shared" si="4"/>
        <v>0</v>
      </c>
      <c r="AL27" s="1810"/>
      <c r="AM27" s="1808"/>
      <c r="AN27" s="1801">
        <f>'[4]int.bevételek RM III'!AJ27</f>
        <v>1446</v>
      </c>
      <c r="AO27" s="1808">
        <v>1446</v>
      </c>
      <c r="AP27" s="1809">
        <f t="shared" si="5"/>
        <v>1</v>
      </c>
      <c r="AQ27" s="1807" t="s">
        <v>1241</v>
      </c>
      <c r="AR27" s="1808">
        <f>'[4]int.bevételek RM I'!AK27</f>
        <v>75472</v>
      </c>
      <c r="AS27" s="1801">
        <f>'[4]int.bevételek RM III'!AM27</f>
        <v>78170</v>
      </c>
      <c r="AT27" s="1808">
        <f>75786-524</f>
        <v>75262</v>
      </c>
      <c r="AU27" s="1809">
        <f t="shared" si="6"/>
        <v>0.96279902776001025</v>
      </c>
      <c r="AV27" s="1808">
        <f>'[4]int.bevételek RM I'!AN27</f>
        <v>0</v>
      </c>
      <c r="AW27" s="1801">
        <f>'[4]int.bevételek RM III'!AP27</f>
        <v>524</v>
      </c>
      <c r="AX27" s="1808">
        <v>524</v>
      </c>
      <c r="AY27" s="1809">
        <f>AX27/AW27</f>
        <v>1</v>
      </c>
      <c r="AZ27" s="1803">
        <f t="shared" si="8"/>
        <v>75472</v>
      </c>
      <c r="BA27" s="1803">
        <f t="shared" si="8"/>
        <v>78694</v>
      </c>
      <c r="BB27" s="1803">
        <f t="shared" si="8"/>
        <v>75786</v>
      </c>
      <c r="BC27" s="1810">
        <f t="shared" si="9"/>
        <v>0.96304673799781437</v>
      </c>
      <c r="BD27" s="1803">
        <f t="shared" si="10"/>
        <v>76152</v>
      </c>
      <c r="BE27" s="1803">
        <f t="shared" si="11"/>
        <v>81684</v>
      </c>
      <c r="BF27" s="1803">
        <f t="shared" si="12"/>
        <v>78776</v>
      </c>
      <c r="BG27" s="1810">
        <f t="shared" si="13"/>
        <v>0.9643993927819402</v>
      </c>
      <c r="BH27" s="1805"/>
      <c r="BI27" s="1805"/>
      <c r="BJ27" s="1805"/>
      <c r="BK27" s="1805"/>
      <c r="BL27" s="1805"/>
      <c r="BM27" s="1805"/>
    </row>
    <row r="28" spans="1:65" s="763" customFormat="1" ht="75" customHeight="1" thickBot="1" x14ac:dyDescent="0.9">
      <c r="A28" s="1812" t="s">
        <v>1242</v>
      </c>
      <c r="B28" s="1813">
        <f>SUM(B10:B27)</f>
        <v>23920</v>
      </c>
      <c r="C28" s="1813">
        <f>SUM(C10:C27)</f>
        <v>31560</v>
      </c>
      <c r="D28" s="1813">
        <f>SUM(D10:D27)</f>
        <v>31546</v>
      </c>
      <c r="E28" s="1814">
        <f t="shared" si="0"/>
        <v>0.99955640050697081</v>
      </c>
      <c r="F28" s="1813">
        <f>SUM(F10:F27)</f>
        <v>0</v>
      </c>
      <c r="G28" s="1813">
        <f>SUM(G10:G27)</f>
        <v>400</v>
      </c>
      <c r="H28" s="1813">
        <f>SUM(H10:H27)</f>
        <v>400</v>
      </c>
      <c r="I28" s="1814">
        <f>H28/G28</f>
        <v>1</v>
      </c>
      <c r="J28" s="1813">
        <f>SUM(J10:J27)</f>
        <v>0</v>
      </c>
      <c r="K28" s="1813">
        <f>SUM(K10:K27)</f>
        <v>731</v>
      </c>
      <c r="L28" s="1813">
        <f>SUM(L10:L27)</f>
        <v>731</v>
      </c>
      <c r="M28" s="1814">
        <f>L28/K28</f>
        <v>1</v>
      </c>
      <c r="N28" s="1813">
        <f>SUM(N10:N27)</f>
        <v>0</v>
      </c>
      <c r="O28" s="1813">
        <f>SUM(O10:O27)</f>
        <v>0</v>
      </c>
      <c r="P28" s="1813">
        <f>SUM(P10:P27)</f>
        <v>0</v>
      </c>
      <c r="Q28" s="1814"/>
      <c r="R28" s="1813">
        <f>SUM(R10:R27)</f>
        <v>23920</v>
      </c>
      <c r="S28" s="1813">
        <f>SUM(S10:S27)</f>
        <v>32691</v>
      </c>
      <c r="T28" s="1813">
        <f>SUM(T10:T27)</f>
        <v>32677</v>
      </c>
      <c r="U28" s="1814">
        <f t="shared" si="1"/>
        <v>0.99957174757578537</v>
      </c>
      <c r="V28" s="1812" t="s">
        <v>1242</v>
      </c>
      <c r="W28" s="1813">
        <f>SUM(W10:W27)</f>
        <v>0</v>
      </c>
      <c r="X28" s="1813">
        <f>SUM(X10:X27)</f>
        <v>0</v>
      </c>
      <c r="Y28" s="1813">
        <f>SUM(Y10:Y27)</f>
        <v>0</v>
      </c>
      <c r="Z28" s="1814"/>
      <c r="AA28" s="1813">
        <f>SUM(AA10:AA27)</f>
        <v>0</v>
      </c>
      <c r="AB28" s="1813">
        <f>SUM(AB10:AB27)</f>
        <v>0</v>
      </c>
      <c r="AC28" s="1813">
        <f>SUM(AC10:AC27)</f>
        <v>0</v>
      </c>
      <c r="AD28" s="1814"/>
      <c r="AE28" s="1813">
        <f>SUM(AE10:AE27)</f>
        <v>0</v>
      </c>
      <c r="AF28" s="1813">
        <f>SUM(AF10:AF27)</f>
        <v>0</v>
      </c>
      <c r="AG28" s="1813">
        <f>SUM(AG10:AG27)</f>
        <v>0</v>
      </c>
      <c r="AH28" s="1814"/>
      <c r="AI28" s="1813">
        <f>SUM(AI10:AI27)</f>
        <v>0</v>
      </c>
      <c r="AJ28" s="1813">
        <f>SUM(AJ10:AJ27)</f>
        <v>0</v>
      </c>
      <c r="AK28" s="1813">
        <f>SUM(AK10:AK27)</f>
        <v>0</v>
      </c>
      <c r="AL28" s="1814"/>
      <c r="AM28" s="1813">
        <f>SUM(AM10:AM27)</f>
        <v>0</v>
      </c>
      <c r="AN28" s="1813">
        <f>SUM(AN10:AN27)</f>
        <v>42780</v>
      </c>
      <c r="AO28" s="1813">
        <f>SUM(AO10:AO27)</f>
        <v>42779</v>
      </c>
      <c r="AP28" s="1814">
        <f t="shared" si="5"/>
        <v>0.9999766245909304</v>
      </c>
      <c r="AQ28" s="1812" t="s">
        <v>1242</v>
      </c>
      <c r="AR28" s="1813">
        <f>SUM(AR10:AR27)</f>
        <v>2389755</v>
      </c>
      <c r="AS28" s="1813">
        <f>SUM(AS10:AS27)</f>
        <v>2467331</v>
      </c>
      <c r="AT28" s="1813">
        <f>SUM(AT10:AT27)</f>
        <v>2348921</v>
      </c>
      <c r="AU28" s="1814">
        <f t="shared" si="6"/>
        <v>0.95200887112430399</v>
      </c>
      <c r="AV28" s="1813">
        <f>SUM(AV10:AV27)</f>
        <v>0</v>
      </c>
      <c r="AW28" s="1813">
        <f>SUM(AW10:AW27)</f>
        <v>65472</v>
      </c>
      <c r="AX28" s="1813">
        <f>SUM(AX10:AX27)</f>
        <v>56351</v>
      </c>
      <c r="AY28" s="1814">
        <f>AX28/AW28</f>
        <v>0.86068853861192574</v>
      </c>
      <c r="AZ28" s="1813">
        <f>SUM(AZ10:AZ27)</f>
        <v>2389755</v>
      </c>
      <c r="BA28" s="1813">
        <f>SUM(BA10:BA27)</f>
        <v>2532803</v>
      </c>
      <c r="BB28" s="1813">
        <f>SUM(BB10:BB27)</f>
        <v>2405272</v>
      </c>
      <c r="BC28" s="1814">
        <f t="shared" si="9"/>
        <v>0.94964827505336968</v>
      </c>
      <c r="BD28" s="1813">
        <f>SUM(BD10:BD27)</f>
        <v>2413675</v>
      </c>
      <c r="BE28" s="1813">
        <f>SUM(BE10:BE27)</f>
        <v>2608274</v>
      </c>
      <c r="BF28" s="1813">
        <f>SUM(BF10:BF27)</f>
        <v>2480728</v>
      </c>
      <c r="BG28" s="1814">
        <f t="shared" si="13"/>
        <v>0.95109946270982271</v>
      </c>
      <c r="BH28" s="1805"/>
      <c r="BI28" s="1805"/>
      <c r="BJ28" s="1805"/>
      <c r="BK28" s="1805"/>
      <c r="BL28" s="1805"/>
      <c r="BM28" s="1805"/>
    </row>
    <row r="29" spans="1:65" s="763" customFormat="1" ht="75" customHeight="1" thickBot="1" x14ac:dyDescent="0.9">
      <c r="A29" s="1815" t="s">
        <v>122</v>
      </c>
      <c r="B29" s="1816">
        <f>'[4]int.bevételek RM I'!B29</f>
        <v>545990</v>
      </c>
      <c r="C29" s="1801">
        <f>'[4]int.bevételek RM III'!D29</f>
        <v>566536</v>
      </c>
      <c r="D29" s="1816">
        <v>566536</v>
      </c>
      <c r="E29" s="1817">
        <f t="shared" si="0"/>
        <v>1</v>
      </c>
      <c r="F29" s="1816">
        <f>'[4]int.bevételek RM I'!E29</f>
        <v>0</v>
      </c>
      <c r="G29" s="1801">
        <f>'[4]int.bevételek RM III'!G29</f>
        <v>5519</v>
      </c>
      <c r="H29" s="1816">
        <v>5519</v>
      </c>
      <c r="I29" s="1817">
        <f>H29/G29</f>
        <v>1</v>
      </c>
      <c r="J29" s="1816">
        <f>'[4]int.bevételek RM I'!$H$10</f>
        <v>0</v>
      </c>
      <c r="K29" s="1801">
        <f>'[4]int.bevételek RM III'!J29</f>
        <v>0</v>
      </c>
      <c r="L29" s="1816"/>
      <c r="M29" s="1817"/>
      <c r="N29" s="1816">
        <f>'[4]int.bevételek RM I'!K29</f>
        <v>0</v>
      </c>
      <c r="O29" s="1816">
        <f>'[4]int.bevételek RM III'!M29</f>
        <v>0</v>
      </c>
      <c r="P29" s="1816"/>
      <c r="Q29" s="1817"/>
      <c r="R29" s="1803">
        <f>B29+F29+J29+N29</f>
        <v>545990</v>
      </c>
      <c r="S29" s="1803">
        <f>C29+G29+K29+O29</f>
        <v>572055</v>
      </c>
      <c r="T29" s="1803">
        <f>D29+H29+L29+P29</f>
        <v>572055</v>
      </c>
      <c r="U29" s="1814">
        <f t="shared" si="1"/>
        <v>1</v>
      </c>
      <c r="V29" s="1815" t="s">
        <v>122</v>
      </c>
      <c r="W29" s="1816">
        <f>'[4]int.bevételek RM I'!R29</f>
        <v>0</v>
      </c>
      <c r="X29" s="1816">
        <f>'[4]int.bevételek RM III'!T29</f>
        <v>205</v>
      </c>
      <c r="Y29" s="1816">
        <v>205</v>
      </c>
      <c r="Z29" s="1817">
        <f>Y29/X29</f>
        <v>1</v>
      </c>
      <c r="AA29" s="1816">
        <f>'[4]int.bevételek RM I'!U29</f>
        <v>0</v>
      </c>
      <c r="AB29" s="1816">
        <f>'[4]int.bevételek RM III'!W29</f>
        <v>0</v>
      </c>
      <c r="AC29" s="1816"/>
      <c r="AD29" s="1817"/>
      <c r="AE29" s="1816">
        <f>'[4]int.bevételek RM I'!X29</f>
        <v>0</v>
      </c>
      <c r="AF29" s="1816">
        <f>'[4]int.bevételek RM III'!Z29</f>
        <v>0</v>
      </c>
      <c r="AG29" s="1816"/>
      <c r="AH29" s="1817"/>
      <c r="AI29" s="1803">
        <f>W29+AA29+AE29</f>
        <v>0</v>
      </c>
      <c r="AJ29" s="1803">
        <f>X29+AB29+AF29</f>
        <v>205</v>
      </c>
      <c r="AK29" s="1803">
        <f>Y29+AC29+AG29</f>
        <v>205</v>
      </c>
      <c r="AL29" s="1814"/>
      <c r="AM29" s="1816"/>
      <c r="AN29" s="1801">
        <f>'[4]int.bevételek RM III'!AJ29</f>
        <v>7935</v>
      </c>
      <c r="AO29" s="1816">
        <v>7934</v>
      </c>
      <c r="AP29" s="1817">
        <f t="shared" si="5"/>
        <v>0.99987397605545059</v>
      </c>
      <c r="AQ29" s="1815" t="s">
        <v>122</v>
      </c>
      <c r="AR29" s="1816">
        <f>'[4]int.bevételek RM I'!AK29</f>
        <v>1691012</v>
      </c>
      <c r="AS29" s="1801">
        <f>'[4]int.bevételek RM III'!AM29</f>
        <v>1881440</v>
      </c>
      <c r="AT29" s="1816">
        <f>1716170-37015</f>
        <v>1679155</v>
      </c>
      <c r="AU29" s="1817">
        <f t="shared" si="6"/>
        <v>0.89248394846500556</v>
      </c>
      <c r="AV29" s="1816">
        <f>'[4]int.bevételek RM I'!AN29</f>
        <v>0</v>
      </c>
      <c r="AW29" s="1801">
        <f>'[4]int.bevételek RM III'!AP29</f>
        <v>123312</v>
      </c>
      <c r="AX29" s="1816">
        <v>37015</v>
      </c>
      <c r="AY29" s="1817">
        <f>AX29/AW29</f>
        <v>0.30017354353185416</v>
      </c>
      <c r="AZ29" s="1803">
        <f>AR29+AV29</f>
        <v>1691012</v>
      </c>
      <c r="BA29" s="1803">
        <f>AS29+AW29</f>
        <v>2004752</v>
      </c>
      <c r="BB29" s="1803">
        <f>AT29+AX29</f>
        <v>1716170</v>
      </c>
      <c r="BC29" s="1814">
        <f t="shared" si="9"/>
        <v>0.85605102276989875</v>
      </c>
      <c r="BD29" s="1803">
        <f>R29+AI29+AM29+AZ29</f>
        <v>2237002</v>
      </c>
      <c r="BE29" s="1803">
        <f>S29+AJ29+AN29+BA29</f>
        <v>2584947</v>
      </c>
      <c r="BF29" s="1803">
        <f>T29+AK29+AO29+BB29</f>
        <v>2296364</v>
      </c>
      <c r="BG29" s="1814">
        <f t="shared" si="13"/>
        <v>0.88836018688197471</v>
      </c>
      <c r="BH29" s="1805"/>
      <c r="BI29" s="1805"/>
      <c r="BJ29" s="1805"/>
      <c r="BK29" s="1805"/>
      <c r="BL29" s="1805"/>
      <c r="BM29" s="1805"/>
    </row>
    <row r="30" spans="1:65" s="763" customFormat="1" ht="75" customHeight="1" thickBot="1" x14ac:dyDescent="0.9">
      <c r="A30" s="1812" t="s">
        <v>1243</v>
      </c>
      <c r="B30" s="1813">
        <f>SUM(B28:B29)</f>
        <v>569910</v>
      </c>
      <c r="C30" s="1813">
        <f>SUM(C28:C29)</f>
        <v>598096</v>
      </c>
      <c r="D30" s="1813">
        <f>SUM(D28:D29)</f>
        <v>598082</v>
      </c>
      <c r="E30" s="1818">
        <f t="shared" si="0"/>
        <v>0.99997659238650649</v>
      </c>
      <c r="F30" s="1813">
        <f>SUM(F28:F29)</f>
        <v>0</v>
      </c>
      <c r="G30" s="1813">
        <f>SUM(G28:G29)</f>
        <v>5919</v>
      </c>
      <c r="H30" s="1813">
        <f>SUM(H28:H29)</f>
        <v>5919</v>
      </c>
      <c r="I30" s="1818">
        <f>H30/G30</f>
        <v>1</v>
      </c>
      <c r="J30" s="1813">
        <f>SUM(J28:J29)</f>
        <v>0</v>
      </c>
      <c r="K30" s="1813">
        <f>SUM(K28:K29)</f>
        <v>731</v>
      </c>
      <c r="L30" s="1813">
        <f>SUM(L28:L29)</f>
        <v>731</v>
      </c>
      <c r="M30" s="1818">
        <f>L30/K30</f>
        <v>1</v>
      </c>
      <c r="N30" s="1813">
        <f>SUM(N28:N29)</f>
        <v>0</v>
      </c>
      <c r="O30" s="1813">
        <f>SUM(O28:O29)</f>
        <v>0</v>
      </c>
      <c r="P30" s="1813">
        <f>SUM(P28:P29)</f>
        <v>0</v>
      </c>
      <c r="Q30" s="1818"/>
      <c r="R30" s="1813">
        <f>SUM(R28:R29)</f>
        <v>569910</v>
      </c>
      <c r="S30" s="1813">
        <f>SUM(S28:S29)</f>
        <v>604746</v>
      </c>
      <c r="T30" s="1813">
        <f>SUM(T28:T29)</f>
        <v>604732</v>
      </c>
      <c r="U30" s="1818">
        <f t="shared" si="1"/>
        <v>0.99997684978486834</v>
      </c>
      <c r="V30" s="1812" t="s">
        <v>1243</v>
      </c>
      <c r="W30" s="1813">
        <f>SUM(W28:W29)</f>
        <v>0</v>
      </c>
      <c r="X30" s="1813">
        <f>SUM(X28:X29)</f>
        <v>205</v>
      </c>
      <c r="Y30" s="1813">
        <f>SUM(Y28:Y29)</f>
        <v>205</v>
      </c>
      <c r="Z30" s="1818"/>
      <c r="AA30" s="1813">
        <f>SUM(AA28:AA29)</f>
        <v>0</v>
      </c>
      <c r="AB30" s="1813">
        <f>SUM(AB28:AB29)</f>
        <v>0</v>
      </c>
      <c r="AC30" s="1813">
        <f>SUM(AC28:AC29)</f>
        <v>0</v>
      </c>
      <c r="AD30" s="1818"/>
      <c r="AE30" s="1813">
        <f>SUM(AE28:AE29)</f>
        <v>0</v>
      </c>
      <c r="AF30" s="1813">
        <f>SUM(AF28:AF29)</f>
        <v>0</v>
      </c>
      <c r="AG30" s="1813">
        <f>SUM(AG28:AG29)</f>
        <v>0</v>
      </c>
      <c r="AH30" s="1814"/>
      <c r="AI30" s="1813">
        <f>AI28+AI29</f>
        <v>0</v>
      </c>
      <c r="AJ30" s="1813">
        <f>AJ28+AJ29</f>
        <v>205</v>
      </c>
      <c r="AK30" s="1813">
        <f>AK28+AK29</f>
        <v>205</v>
      </c>
      <c r="AL30" s="1818"/>
      <c r="AM30" s="1813">
        <f>SUM(AM28:AM29)</f>
        <v>0</v>
      </c>
      <c r="AN30" s="1813">
        <f>SUM(AN28:AN29)</f>
        <v>50715</v>
      </c>
      <c r="AO30" s="1813">
        <f>SUM(AO28:AO29)</f>
        <v>50713</v>
      </c>
      <c r="AP30" s="1818">
        <f t="shared" si="5"/>
        <v>0.99996056393571919</v>
      </c>
      <c r="AQ30" s="1812" t="s">
        <v>1243</v>
      </c>
      <c r="AR30" s="1813">
        <f>SUM(AR28:AR29)</f>
        <v>4080767</v>
      </c>
      <c r="AS30" s="1813">
        <f>SUM(AS28:AS29)</f>
        <v>4348771</v>
      </c>
      <c r="AT30" s="1813">
        <f>SUM(AT28:AT29)</f>
        <v>4028076</v>
      </c>
      <c r="AU30" s="1818">
        <f t="shared" si="6"/>
        <v>0.92625617674510796</v>
      </c>
      <c r="AV30" s="1813">
        <f>SUM(AV28:AV29)</f>
        <v>0</v>
      </c>
      <c r="AW30" s="1813">
        <f>SUM(AW28:AW29)</f>
        <v>188784</v>
      </c>
      <c r="AX30" s="1813">
        <f>SUM(AX28:AX29)</f>
        <v>93366</v>
      </c>
      <c r="AY30" s="1818">
        <f>AX30/AW30</f>
        <v>0.49456521739130432</v>
      </c>
      <c r="AZ30" s="1813">
        <f>AZ28+AZ29</f>
        <v>4080767</v>
      </c>
      <c r="BA30" s="1813">
        <f>BA28+BA29</f>
        <v>4537555</v>
      </c>
      <c r="BB30" s="1813">
        <f>BB28+BB29</f>
        <v>4121442</v>
      </c>
      <c r="BC30" s="1818">
        <f t="shared" si="9"/>
        <v>0.90829576721384098</v>
      </c>
      <c r="BD30" s="1813">
        <f>BD28+BD29</f>
        <v>4650677</v>
      </c>
      <c r="BE30" s="1813">
        <f>BE28+BE29</f>
        <v>5193221</v>
      </c>
      <c r="BF30" s="1813">
        <f>BF28+BF29</f>
        <v>4777092</v>
      </c>
      <c r="BG30" s="1818">
        <f t="shared" si="13"/>
        <v>0.91987073147859488</v>
      </c>
      <c r="BH30" s="1805"/>
      <c r="BI30" s="1805"/>
      <c r="BJ30" s="1805"/>
      <c r="BK30" s="1805"/>
      <c r="BL30" s="1805"/>
      <c r="BM30" s="1805"/>
    </row>
    <row r="31" spans="1:65" s="763" customFormat="1" ht="75" customHeight="1" x14ac:dyDescent="0.85">
      <c r="A31" s="1819" t="s">
        <v>1244</v>
      </c>
      <c r="B31" s="1820"/>
      <c r="C31" s="1820"/>
      <c r="D31" s="1820"/>
      <c r="E31" s="1820"/>
      <c r="F31" s="1820"/>
      <c r="G31" s="1820"/>
      <c r="H31" s="1820"/>
      <c r="I31" s="1820"/>
      <c r="J31" s="1820"/>
      <c r="K31" s="1820"/>
      <c r="L31" s="1820"/>
      <c r="M31" s="1820"/>
      <c r="N31" s="1820"/>
      <c r="O31" s="1820"/>
      <c r="P31" s="1820"/>
      <c r="Q31" s="1820"/>
      <c r="R31" s="1820"/>
      <c r="S31" s="1820"/>
      <c r="T31" s="1820"/>
      <c r="U31" s="1820"/>
      <c r="V31" s="1819" t="s">
        <v>1244</v>
      </c>
      <c r="W31" s="1820"/>
      <c r="X31" s="1820"/>
      <c r="Y31" s="1820"/>
      <c r="Z31" s="1820"/>
      <c r="AA31" s="1820"/>
      <c r="AB31" s="1820"/>
      <c r="AC31" s="1820"/>
      <c r="AD31" s="1820"/>
      <c r="AE31" s="1820"/>
      <c r="AF31" s="1820"/>
      <c r="AG31" s="1820"/>
      <c r="AH31" s="1820"/>
      <c r="AI31" s="1820"/>
      <c r="AJ31" s="1820"/>
      <c r="AK31" s="1820"/>
      <c r="AL31" s="1820"/>
      <c r="AM31" s="1820"/>
      <c r="AN31" s="1820"/>
      <c r="AO31" s="1820"/>
      <c r="AP31" s="1820"/>
      <c r="AQ31" s="1819" t="s">
        <v>1244</v>
      </c>
      <c r="AR31" s="1820"/>
      <c r="AS31" s="1820"/>
      <c r="AT31" s="1820"/>
      <c r="AU31" s="1820"/>
      <c r="AV31" s="1820"/>
      <c r="AW31" s="1820"/>
      <c r="AX31" s="1820"/>
      <c r="AY31" s="1820"/>
      <c r="AZ31" s="1820"/>
      <c r="BA31" s="1820"/>
      <c r="BB31" s="1820"/>
      <c r="BC31" s="1820"/>
      <c r="BD31" s="1820"/>
      <c r="BE31" s="1820"/>
      <c r="BF31" s="1820"/>
      <c r="BG31" s="1820"/>
      <c r="BH31" s="1805"/>
      <c r="BI31" s="1805"/>
      <c r="BJ31" s="1805"/>
      <c r="BK31" s="1805"/>
      <c r="BL31" s="1805"/>
      <c r="BM31" s="1805"/>
    </row>
    <row r="32" spans="1:65" s="763" customFormat="1" ht="75" customHeight="1" x14ac:dyDescent="0.85">
      <c r="A32" s="1821" t="s">
        <v>1245</v>
      </c>
      <c r="B32" s="1820"/>
      <c r="C32" s="1820"/>
      <c r="D32" s="1820"/>
      <c r="E32" s="1820"/>
      <c r="F32" s="1820"/>
      <c r="G32" s="1820"/>
      <c r="H32" s="1820"/>
      <c r="I32" s="1820"/>
      <c r="J32" s="1820"/>
      <c r="K32" s="1820"/>
      <c r="L32" s="1820"/>
      <c r="M32" s="1820"/>
      <c r="N32" s="1820"/>
      <c r="O32" s="1820"/>
      <c r="P32" s="1820"/>
      <c r="Q32" s="1820"/>
      <c r="R32" s="1820"/>
      <c r="S32" s="1820"/>
      <c r="T32" s="1820"/>
      <c r="U32" s="1820"/>
      <c r="V32" s="1821" t="s">
        <v>1245</v>
      </c>
      <c r="W32" s="1820"/>
      <c r="X32" s="1820"/>
      <c r="Y32" s="1820"/>
      <c r="Z32" s="1820"/>
      <c r="AA32" s="1820"/>
      <c r="AB32" s="1820"/>
      <c r="AC32" s="1820"/>
      <c r="AD32" s="1820"/>
      <c r="AE32" s="1820"/>
      <c r="AF32" s="1820"/>
      <c r="AG32" s="1820"/>
      <c r="AH32" s="1820"/>
      <c r="AI32" s="1820"/>
      <c r="AJ32" s="1820"/>
      <c r="AK32" s="1820"/>
      <c r="AL32" s="1820"/>
      <c r="AM32" s="1820"/>
      <c r="AN32" s="1820"/>
      <c r="AO32" s="1820"/>
      <c r="AP32" s="1820"/>
      <c r="AQ32" s="1821" t="s">
        <v>1245</v>
      </c>
      <c r="AR32" s="1820"/>
      <c r="AS32" s="1820"/>
      <c r="AT32" s="1820"/>
      <c r="AU32" s="1820"/>
      <c r="AV32" s="1820"/>
      <c r="AW32" s="1820"/>
      <c r="AX32" s="1820"/>
      <c r="AY32" s="1820"/>
      <c r="AZ32" s="1820"/>
      <c r="BA32" s="1820"/>
      <c r="BB32" s="1820"/>
      <c r="BC32" s="1820"/>
      <c r="BD32" s="1820"/>
      <c r="BE32" s="1820"/>
      <c r="BF32" s="1820"/>
      <c r="BG32" s="1820"/>
      <c r="BH32" s="1805"/>
      <c r="BI32" s="1805"/>
      <c r="BJ32" s="1805"/>
      <c r="BK32" s="1805"/>
      <c r="BL32" s="1805"/>
      <c r="BM32" s="1805"/>
    </row>
    <row r="33" spans="1:65" s="763" customFormat="1" ht="75" customHeight="1" x14ac:dyDescent="0.85">
      <c r="A33" s="1822" t="s">
        <v>214</v>
      </c>
      <c r="B33" s="1801">
        <f>'[4]int.bevételek RM I'!B33</f>
        <v>28471</v>
      </c>
      <c r="C33" s="1801">
        <f>'[4]int.bevételek RM III'!D33</f>
        <v>179782</v>
      </c>
      <c r="D33" s="1801">
        <v>179782</v>
      </c>
      <c r="E33" s="1802">
        <f>D33/C33</f>
        <v>1</v>
      </c>
      <c r="F33" s="1801">
        <f>'[4]int.bevételek RM I'!E33</f>
        <v>0</v>
      </c>
      <c r="G33" s="1801">
        <f>'[4]int.bevételek RM III'!G33</f>
        <v>19000</v>
      </c>
      <c r="H33" s="1801">
        <v>19000</v>
      </c>
      <c r="I33" s="1802">
        <f>H33/G33</f>
        <v>1</v>
      </c>
      <c r="J33" s="1801">
        <f>'[4]int.bevételek RM I'!$H$10</f>
        <v>0</v>
      </c>
      <c r="K33" s="1801">
        <f>'[4]int.bevételek RM III'!J33</f>
        <v>30</v>
      </c>
      <c r="L33" s="1801">
        <v>30</v>
      </c>
      <c r="M33" s="1823">
        <f>L33/K33</f>
        <v>1</v>
      </c>
      <c r="N33" s="1801">
        <f>'[4]int.bevételek RM I'!K33</f>
        <v>0</v>
      </c>
      <c r="O33" s="1801">
        <f>'[4]int.bevételek RM III'!M33</f>
        <v>0</v>
      </c>
      <c r="P33" s="1801"/>
      <c r="Q33" s="1802"/>
      <c r="R33" s="1803">
        <f t="shared" ref="R33:T36" si="15">B33+F33+J33+N33</f>
        <v>28471</v>
      </c>
      <c r="S33" s="1803">
        <f t="shared" si="15"/>
        <v>198812</v>
      </c>
      <c r="T33" s="1803">
        <f t="shared" si="15"/>
        <v>198812</v>
      </c>
      <c r="U33" s="1804">
        <f>T33/S33</f>
        <v>1</v>
      </c>
      <c r="V33" s="1822" t="s">
        <v>214</v>
      </c>
      <c r="W33" s="1801">
        <f>'[4]int.bevételek RM I'!R33</f>
        <v>0</v>
      </c>
      <c r="X33" s="1801">
        <f>'[4]int.bevételek RM III'!T33</f>
        <v>0</v>
      </c>
      <c r="Y33" s="1801"/>
      <c r="Z33" s="1802"/>
      <c r="AA33" s="1801">
        <f>'[4]int.bevételek RM I'!U33</f>
        <v>0</v>
      </c>
      <c r="AB33" s="1801">
        <f>'[4]int.bevételek RM III'!W33</f>
        <v>0</v>
      </c>
      <c r="AC33" s="1801"/>
      <c r="AD33" s="1802"/>
      <c r="AE33" s="1801">
        <f>'[4]int.bevételek RM I'!X33</f>
        <v>0</v>
      </c>
      <c r="AF33" s="1801">
        <f>'[4]int.bevételek RM III'!Z33</f>
        <v>0</v>
      </c>
      <c r="AG33" s="1801"/>
      <c r="AH33" s="1802"/>
      <c r="AI33" s="1803">
        <f t="shared" ref="AI33:AK36" si="16">W33+AA33+AE33</f>
        <v>0</v>
      </c>
      <c r="AJ33" s="1803">
        <f t="shared" si="16"/>
        <v>0</v>
      </c>
      <c r="AK33" s="1803">
        <f t="shared" si="16"/>
        <v>0</v>
      </c>
      <c r="AL33" s="1804"/>
      <c r="AM33" s="1801"/>
      <c r="AN33" s="1801">
        <f>'[4]int.bevételek RM III'!AJ33</f>
        <v>6128</v>
      </c>
      <c r="AO33" s="1801">
        <v>6128</v>
      </c>
      <c r="AP33" s="1802">
        <f>AO33/AN33</f>
        <v>1</v>
      </c>
      <c r="AQ33" s="1822" t="s">
        <v>214</v>
      </c>
      <c r="AR33" s="1801">
        <f>'[4]int.bevételek RM I'!AK33</f>
        <v>112900</v>
      </c>
      <c r="AS33" s="1801">
        <f>'[4]int.bevételek RM III'!AM33</f>
        <v>145373</v>
      </c>
      <c r="AT33" s="1801">
        <f>137799-2074</f>
        <v>135725</v>
      </c>
      <c r="AU33" s="1802">
        <f>AT33/AS33</f>
        <v>0.93363279288451084</v>
      </c>
      <c r="AV33" s="1801">
        <f>'[4]int.bevételek RM I'!AN33</f>
        <v>0</v>
      </c>
      <c r="AW33" s="1801">
        <f>'[4]int.bevételek RM III'!AP33</f>
        <v>2575</v>
      </c>
      <c r="AX33" s="1801">
        <v>2074</v>
      </c>
      <c r="AY33" s="1802">
        <f>AX33/AW33</f>
        <v>0.80543689320388345</v>
      </c>
      <c r="AZ33" s="1803">
        <f t="shared" ref="AZ33:BB36" si="17">AR33+AV33</f>
        <v>112900</v>
      </c>
      <c r="BA33" s="1803">
        <f t="shared" si="17"/>
        <v>147948</v>
      </c>
      <c r="BB33" s="1803">
        <f t="shared" si="17"/>
        <v>137799</v>
      </c>
      <c r="BC33" s="1804">
        <f>BB33/BA33</f>
        <v>0.93140157352583341</v>
      </c>
      <c r="BD33" s="1803">
        <f t="shared" ref="BD33:BF36" si="18">R33+AI33+AM33+AZ33</f>
        <v>141371</v>
      </c>
      <c r="BE33" s="1803">
        <f t="shared" si="18"/>
        <v>352888</v>
      </c>
      <c r="BF33" s="1803">
        <f t="shared" si="18"/>
        <v>342739</v>
      </c>
      <c r="BG33" s="1804">
        <f>BF33/BE33</f>
        <v>0.9712401668518057</v>
      </c>
      <c r="BH33" s="1805"/>
      <c r="BI33" s="1805"/>
      <c r="BJ33" s="1805"/>
      <c r="BK33" s="1805"/>
      <c r="BL33" s="1805"/>
      <c r="BM33" s="1805"/>
    </row>
    <row r="34" spans="1:65" s="763" customFormat="1" ht="75" customHeight="1" x14ac:dyDescent="0.85">
      <c r="A34" s="1824" t="s">
        <v>1246</v>
      </c>
      <c r="B34" s="1825">
        <f>'[4]int.bevételek RM I'!B34</f>
        <v>94166</v>
      </c>
      <c r="C34" s="1801">
        <f>'[4]int.bevételek RM III'!D34</f>
        <v>114785</v>
      </c>
      <c r="D34" s="1825">
        <f>114785-1</f>
        <v>114784</v>
      </c>
      <c r="E34" s="1802">
        <f>D34/C34</f>
        <v>0.99999128806028659</v>
      </c>
      <c r="F34" s="1825">
        <f>'[4]int.bevételek RM I'!E34</f>
        <v>0</v>
      </c>
      <c r="G34" s="1801">
        <f>'[4]int.bevételek RM III'!G34</f>
        <v>117800</v>
      </c>
      <c r="H34" s="1825">
        <v>117800</v>
      </c>
      <c r="I34" s="1802">
        <f>H34/G34</f>
        <v>1</v>
      </c>
      <c r="J34" s="1825">
        <f>'[4]int.bevételek RM I'!$H$10</f>
        <v>0</v>
      </c>
      <c r="K34" s="1801">
        <f>'[4]int.bevételek RM III'!J34</f>
        <v>2000</v>
      </c>
      <c r="L34" s="1825">
        <v>2000</v>
      </c>
      <c r="M34" s="1823">
        <f>L34/K34</f>
        <v>1</v>
      </c>
      <c r="N34" s="1825">
        <f>'[4]int.bevételek RM I'!K34</f>
        <v>0</v>
      </c>
      <c r="O34" s="1825">
        <f>'[4]int.bevételek RM III'!M34</f>
        <v>0</v>
      </c>
      <c r="P34" s="1801"/>
      <c r="Q34" s="1802"/>
      <c r="R34" s="1803">
        <f t="shared" si="15"/>
        <v>94166</v>
      </c>
      <c r="S34" s="1803">
        <f t="shared" si="15"/>
        <v>234585</v>
      </c>
      <c r="T34" s="1803">
        <f t="shared" si="15"/>
        <v>234584</v>
      </c>
      <c r="U34" s="1804">
        <f>T34/S34</f>
        <v>0.9999957371528444</v>
      </c>
      <c r="V34" s="1824" t="s">
        <v>1246</v>
      </c>
      <c r="W34" s="1825">
        <f>'[4]int.bevételek RM I'!R34</f>
        <v>0</v>
      </c>
      <c r="X34" s="1825">
        <f>'[4]int.bevételek RM III'!T34</f>
        <v>3100</v>
      </c>
      <c r="Y34" s="1825">
        <v>3100</v>
      </c>
      <c r="Z34" s="1802">
        <f>Y34/X34</f>
        <v>1</v>
      </c>
      <c r="AA34" s="1825">
        <f>'[4]int.bevételek RM I'!U34</f>
        <v>0</v>
      </c>
      <c r="AB34" s="1825">
        <f>'[4]int.bevételek RM III'!W34</f>
        <v>19380</v>
      </c>
      <c r="AC34" s="1825">
        <f>19380+1</f>
        <v>19381</v>
      </c>
      <c r="AD34" s="1802">
        <f>AC34/AB34</f>
        <v>1.0000515995872032</v>
      </c>
      <c r="AE34" s="1825">
        <f>'[4]int.bevételek RM I'!X34</f>
        <v>0</v>
      </c>
      <c r="AF34" s="1825">
        <f>'[4]int.bevételek RM III'!Z34</f>
        <v>0</v>
      </c>
      <c r="AG34" s="1825"/>
      <c r="AH34" s="1802"/>
      <c r="AI34" s="1803">
        <f t="shared" si="16"/>
        <v>0</v>
      </c>
      <c r="AJ34" s="1803">
        <f t="shared" si="16"/>
        <v>22480</v>
      </c>
      <c r="AK34" s="1803">
        <f t="shared" si="16"/>
        <v>22481</v>
      </c>
      <c r="AL34" s="1804">
        <f>AK34/AJ34</f>
        <v>1.0000444839857652</v>
      </c>
      <c r="AM34" s="1825"/>
      <c r="AN34" s="1801">
        <f>'[4]int.bevételek RM III'!AJ34</f>
        <v>211033</v>
      </c>
      <c r="AO34" s="1825">
        <v>211033</v>
      </c>
      <c r="AP34" s="1802">
        <f>AO34/AN34</f>
        <v>1</v>
      </c>
      <c r="AQ34" s="1824" t="s">
        <v>1246</v>
      </c>
      <c r="AR34" s="1825">
        <f>'[4]int.bevételek RM I'!AK34</f>
        <v>454029</v>
      </c>
      <c r="AS34" s="1801">
        <f>'[4]int.bevételek RM III'!AM34</f>
        <v>513728</v>
      </c>
      <c r="AT34" s="1825">
        <v>446022</v>
      </c>
      <c r="AU34" s="1802">
        <f>AT34/AS34</f>
        <v>0.86820652173913049</v>
      </c>
      <c r="AV34" s="1825">
        <f>'[4]int.bevételek RM I'!AN34</f>
        <v>0</v>
      </c>
      <c r="AW34" s="1801">
        <f>'[4]int.bevételek RM III'!AP34</f>
        <v>40593</v>
      </c>
      <c r="AX34" s="1825"/>
      <c r="AY34" s="1802">
        <f>AX34/AW34</f>
        <v>0</v>
      </c>
      <c r="AZ34" s="1803">
        <f t="shared" si="17"/>
        <v>454029</v>
      </c>
      <c r="BA34" s="1803">
        <f t="shared" si="17"/>
        <v>554321</v>
      </c>
      <c r="BB34" s="1803">
        <f t="shared" si="17"/>
        <v>446022</v>
      </c>
      <c r="BC34" s="1804">
        <f>BB34/BA34</f>
        <v>0.80462764354949567</v>
      </c>
      <c r="BD34" s="1803">
        <f t="shared" si="18"/>
        <v>548195</v>
      </c>
      <c r="BE34" s="1803">
        <f t="shared" si="18"/>
        <v>1022419</v>
      </c>
      <c r="BF34" s="1803">
        <f t="shared" si="18"/>
        <v>914120</v>
      </c>
      <c r="BG34" s="1804">
        <f>BF34/BE34</f>
        <v>0.89407571651152806</v>
      </c>
      <c r="BH34" s="1805"/>
      <c r="BI34" s="1805"/>
      <c r="BJ34" s="1805"/>
      <c r="BK34" s="1805"/>
      <c r="BL34" s="1805"/>
      <c r="BM34" s="1805"/>
    </row>
    <row r="35" spans="1:65" s="763" customFormat="1" ht="75" customHeight="1" x14ac:dyDescent="0.85">
      <c r="A35" s="1824" t="s">
        <v>502</v>
      </c>
      <c r="B35" s="1825">
        <f>'[4]int.bevételek RM I'!B35</f>
        <v>26100</v>
      </c>
      <c r="C35" s="1801">
        <f>'[4]int.bevételek RM III'!D35</f>
        <v>35262</v>
      </c>
      <c r="D35" s="1825">
        <v>35262</v>
      </c>
      <c r="E35" s="1802">
        <f>D35/C35</f>
        <v>1</v>
      </c>
      <c r="F35" s="1825">
        <f>'[4]int.bevételek RM I'!E35</f>
        <v>0</v>
      </c>
      <c r="G35" s="1801">
        <f>'[4]int.bevételek RM III'!G35</f>
        <v>10892</v>
      </c>
      <c r="H35" s="1825">
        <v>10892</v>
      </c>
      <c r="I35" s="1802">
        <f>H35/G35</f>
        <v>1</v>
      </c>
      <c r="J35" s="1825">
        <f>'[4]int.bevételek RM I'!$H$10</f>
        <v>0</v>
      </c>
      <c r="K35" s="1801">
        <f>'[4]int.bevételek RM III'!J35</f>
        <v>10000</v>
      </c>
      <c r="L35" s="1825">
        <v>10000</v>
      </c>
      <c r="M35" s="1823">
        <f>L35/K35</f>
        <v>1</v>
      </c>
      <c r="N35" s="1825">
        <f>'[4]int.bevételek RM I'!K35</f>
        <v>0</v>
      </c>
      <c r="O35" s="1825">
        <f>'[4]int.bevételek RM III'!M35</f>
        <v>0</v>
      </c>
      <c r="P35" s="1801"/>
      <c r="Q35" s="1802"/>
      <c r="R35" s="1803">
        <f t="shared" si="15"/>
        <v>26100</v>
      </c>
      <c r="S35" s="1803">
        <f t="shared" si="15"/>
        <v>56154</v>
      </c>
      <c r="T35" s="1803">
        <f t="shared" si="15"/>
        <v>56154</v>
      </c>
      <c r="U35" s="1804">
        <f>T35/S35</f>
        <v>1</v>
      </c>
      <c r="V35" s="1824" t="s">
        <v>502</v>
      </c>
      <c r="W35" s="1825">
        <f>'[4]int.bevételek RM I'!R35</f>
        <v>0</v>
      </c>
      <c r="X35" s="1825">
        <f>'[4]int.bevételek RM III'!T35</f>
        <v>0</v>
      </c>
      <c r="Y35" s="1825"/>
      <c r="Z35" s="1826"/>
      <c r="AA35" s="1825">
        <f>'[4]int.bevételek RM I'!U35</f>
        <v>0</v>
      </c>
      <c r="AB35" s="1825">
        <f>'[4]int.bevételek RM III'!W35</f>
        <v>0</v>
      </c>
      <c r="AC35" s="1825"/>
      <c r="AD35" s="1802"/>
      <c r="AE35" s="1825">
        <f>'[4]int.bevételek RM I'!X35</f>
        <v>0</v>
      </c>
      <c r="AF35" s="1825">
        <f>'[4]int.bevételek RM III'!Z35</f>
        <v>0</v>
      </c>
      <c r="AG35" s="1825"/>
      <c r="AH35" s="1802"/>
      <c r="AI35" s="1803">
        <f t="shared" si="16"/>
        <v>0</v>
      </c>
      <c r="AJ35" s="1803">
        <f t="shared" si="16"/>
        <v>0</v>
      </c>
      <c r="AK35" s="1803">
        <f t="shared" si="16"/>
        <v>0</v>
      </c>
      <c r="AL35" s="1804"/>
      <c r="AM35" s="1825"/>
      <c r="AN35" s="1801">
        <f>'[4]int.bevételek RM III'!AJ35</f>
        <v>29761</v>
      </c>
      <c r="AO35" s="1825">
        <v>29761</v>
      </c>
      <c r="AP35" s="1802">
        <f>AO35/AN35</f>
        <v>1</v>
      </c>
      <c r="AQ35" s="1824" t="s">
        <v>502</v>
      </c>
      <c r="AR35" s="1825">
        <f>'[4]int.bevételek RM I'!AK35</f>
        <v>297901</v>
      </c>
      <c r="AS35" s="1801">
        <f>'[4]int.bevételek RM III'!AM35</f>
        <v>498015</v>
      </c>
      <c r="AT35" s="1825">
        <f>487958-16020</f>
        <v>471938</v>
      </c>
      <c r="AU35" s="1802">
        <f>AT35/AS35</f>
        <v>0.94763812334969832</v>
      </c>
      <c r="AV35" s="1825">
        <f>'[4]int.bevételek RM I'!AN35</f>
        <v>0</v>
      </c>
      <c r="AW35" s="1801">
        <f>'[4]int.bevételek RM III'!AP35</f>
        <v>23369</v>
      </c>
      <c r="AX35" s="1825">
        <v>16020</v>
      </c>
      <c r="AY35" s="1802">
        <f>AX35/AW35</f>
        <v>0.68552355684881683</v>
      </c>
      <c r="AZ35" s="1803">
        <f t="shared" si="17"/>
        <v>297901</v>
      </c>
      <c r="BA35" s="1803">
        <f t="shared" si="17"/>
        <v>521384</v>
      </c>
      <c r="BB35" s="1803">
        <f t="shared" si="17"/>
        <v>487958</v>
      </c>
      <c r="BC35" s="1804">
        <f>BB35/BA35</f>
        <v>0.93588986236631733</v>
      </c>
      <c r="BD35" s="1803">
        <f t="shared" si="18"/>
        <v>324001</v>
      </c>
      <c r="BE35" s="1803">
        <f t="shared" si="18"/>
        <v>607299</v>
      </c>
      <c r="BF35" s="1803">
        <f t="shared" si="18"/>
        <v>573873</v>
      </c>
      <c r="BG35" s="1804">
        <f>BF35/BE35</f>
        <v>0.94495956686903815</v>
      </c>
      <c r="BH35" s="1805"/>
      <c r="BI35" s="1805"/>
      <c r="BJ35" s="1805"/>
      <c r="BK35" s="1805"/>
      <c r="BL35" s="1805"/>
      <c r="BM35" s="1805"/>
    </row>
    <row r="36" spans="1:65" s="763" customFormat="1" ht="75" customHeight="1" thickBot="1" x14ac:dyDescent="0.9">
      <c r="A36" s="1827" t="s">
        <v>1247</v>
      </c>
      <c r="B36" s="1825">
        <f>'[4]int.bevételek RM I'!B36</f>
        <v>175509</v>
      </c>
      <c r="C36" s="1801">
        <f>'[4]int.bevételek RM III'!D36</f>
        <v>175509</v>
      </c>
      <c r="D36" s="1825">
        <f>120864</f>
        <v>120864</v>
      </c>
      <c r="E36" s="1809">
        <f>D36/C36</f>
        <v>0.68864844537886949</v>
      </c>
      <c r="F36" s="1825">
        <f>'[4]int.bevételek RM I'!E36</f>
        <v>14324</v>
      </c>
      <c r="G36" s="1801">
        <f>'[4]int.bevételek RM III'!G36</f>
        <v>52657</v>
      </c>
      <c r="H36" s="1825">
        <v>50457</v>
      </c>
      <c r="I36" s="1809">
        <f>H36/G36</f>
        <v>0.95822017965322748</v>
      </c>
      <c r="J36" s="1825">
        <f>'[4]int.bevételek RM I'!$H$10</f>
        <v>0</v>
      </c>
      <c r="K36" s="1801">
        <f>'[4]int.bevételek RM III'!J36</f>
        <v>4094</v>
      </c>
      <c r="L36" s="1828">
        <v>4094</v>
      </c>
      <c r="M36" s="1809">
        <f>L36/K36</f>
        <v>1</v>
      </c>
      <c r="N36" s="1829">
        <f>'[4]int.bevételek RM I'!K36</f>
        <v>0</v>
      </c>
      <c r="O36" s="1829">
        <f>'[4]int.bevételek RM III'!M36</f>
        <v>0</v>
      </c>
      <c r="P36" s="1801"/>
      <c r="Q36" s="1809"/>
      <c r="R36" s="1803">
        <f t="shared" si="15"/>
        <v>189833</v>
      </c>
      <c r="S36" s="1803">
        <f t="shared" si="15"/>
        <v>232260</v>
      </c>
      <c r="T36" s="1803">
        <f t="shared" si="15"/>
        <v>175415</v>
      </c>
      <c r="U36" s="1810">
        <f>T36/S36</f>
        <v>0.75525273400499437</v>
      </c>
      <c r="V36" s="1827" t="s">
        <v>1247</v>
      </c>
      <c r="W36" s="1825">
        <f>'[4]int.bevételek RM I'!R36</f>
        <v>0</v>
      </c>
      <c r="X36" s="1825">
        <f>'[4]int.bevételek RM III'!T36</f>
        <v>157</v>
      </c>
      <c r="Y36" s="1825">
        <v>157</v>
      </c>
      <c r="Z36" s="1809">
        <f>Y36/X36</f>
        <v>1</v>
      </c>
      <c r="AA36" s="1825">
        <f>'[4]int.bevételek RM I'!U36</f>
        <v>0</v>
      </c>
      <c r="AB36" s="1825">
        <f>'[4]int.bevételek RM III'!W36</f>
        <v>12100</v>
      </c>
      <c r="AC36" s="1825">
        <v>12100</v>
      </c>
      <c r="AD36" s="1809">
        <f>AC36/AB36</f>
        <v>1</v>
      </c>
      <c r="AE36" s="1825">
        <f>'[4]int.bevételek RM I'!X36</f>
        <v>0</v>
      </c>
      <c r="AF36" s="1825">
        <f>'[4]int.bevételek RM III'!Z36</f>
        <v>0</v>
      </c>
      <c r="AG36" s="1825"/>
      <c r="AH36" s="1809"/>
      <c r="AI36" s="1803">
        <f t="shared" si="16"/>
        <v>0</v>
      </c>
      <c r="AJ36" s="1803">
        <f t="shared" si="16"/>
        <v>12257</v>
      </c>
      <c r="AK36" s="1803">
        <f t="shared" si="16"/>
        <v>12257</v>
      </c>
      <c r="AL36" s="1810">
        <f>AK36/AJ36</f>
        <v>1</v>
      </c>
      <c r="AM36" s="1825"/>
      <c r="AN36" s="1801">
        <f>'[4]int.bevételek RM III'!AJ36</f>
        <v>97177</v>
      </c>
      <c r="AO36" s="1825">
        <v>97178</v>
      </c>
      <c r="AP36" s="1809">
        <f>AO36/AN36</f>
        <v>1.0000102905008388</v>
      </c>
      <c r="AQ36" s="1827" t="s">
        <v>1247</v>
      </c>
      <c r="AR36" s="1825">
        <f>'[4]int.bevételek RM I'!AK36</f>
        <v>594418</v>
      </c>
      <c r="AS36" s="1801">
        <f>'[4]int.bevételek RM III'!AM36</f>
        <v>672836</v>
      </c>
      <c r="AT36" s="1825">
        <v>657930</v>
      </c>
      <c r="AU36" s="1809">
        <f>AT36/AS36</f>
        <v>0.97784601299573748</v>
      </c>
      <c r="AV36" s="1825">
        <f>'[4]int.bevételek RM I'!AN36</f>
        <v>0</v>
      </c>
      <c r="AW36" s="1801">
        <f>'[4]int.bevételek RM III'!AP36</f>
        <v>6992</v>
      </c>
      <c r="AX36" s="1825"/>
      <c r="AY36" s="1809">
        <f>AX36/AW36</f>
        <v>0</v>
      </c>
      <c r="AZ36" s="1803">
        <f t="shared" si="17"/>
        <v>594418</v>
      </c>
      <c r="BA36" s="1803">
        <f t="shared" si="17"/>
        <v>679828</v>
      </c>
      <c r="BB36" s="1803">
        <f t="shared" si="17"/>
        <v>657930</v>
      </c>
      <c r="BC36" s="1810">
        <f>BB36/BA36</f>
        <v>0.96778891131286149</v>
      </c>
      <c r="BD36" s="1803">
        <f t="shared" si="18"/>
        <v>784251</v>
      </c>
      <c r="BE36" s="1803">
        <f t="shared" si="18"/>
        <v>1021522</v>
      </c>
      <c r="BF36" s="1803">
        <f t="shared" si="18"/>
        <v>942780</v>
      </c>
      <c r="BG36" s="1810">
        <f>BF36/BE36</f>
        <v>0.92291698074050288</v>
      </c>
      <c r="BH36" s="1805"/>
      <c r="BI36" s="1805"/>
      <c r="BJ36" s="1805"/>
      <c r="BK36" s="1805"/>
      <c r="BL36" s="1805"/>
      <c r="BM36" s="1805"/>
    </row>
    <row r="37" spans="1:65" s="763" customFormat="1" ht="75" customHeight="1" thickBot="1" x14ac:dyDescent="0.9">
      <c r="A37" s="1830" t="s">
        <v>1248</v>
      </c>
      <c r="B37" s="1813">
        <f>SUM(B33:B36)</f>
        <v>324246</v>
      </c>
      <c r="C37" s="1813">
        <f>SUM(C33:C36)</f>
        <v>505338</v>
      </c>
      <c r="D37" s="1813">
        <f>SUM(D33:D36)</f>
        <v>450692</v>
      </c>
      <c r="E37" s="1814">
        <f>D37/C37</f>
        <v>0.89186247620404557</v>
      </c>
      <c r="F37" s="1813">
        <f>SUM(F33:F36)</f>
        <v>14324</v>
      </c>
      <c r="G37" s="1813">
        <f>SUM(G33:G36)</f>
        <v>200349</v>
      </c>
      <c r="H37" s="1813">
        <f>SUM(H33:H36)</f>
        <v>198149</v>
      </c>
      <c r="I37" s="1814">
        <f>H37/G37</f>
        <v>0.98901916156307246</v>
      </c>
      <c r="J37" s="1813">
        <f>SUM(J33:J36)</f>
        <v>0</v>
      </c>
      <c r="K37" s="1813">
        <f>SUM(K33:K36)</f>
        <v>16124</v>
      </c>
      <c r="L37" s="1813">
        <f>SUM(L33:L36)</f>
        <v>16124</v>
      </c>
      <c r="M37" s="1814">
        <f>L37/K37</f>
        <v>1</v>
      </c>
      <c r="N37" s="1813">
        <f>SUM(N33:N36)</f>
        <v>0</v>
      </c>
      <c r="O37" s="1813">
        <f>SUM(O33:O36)</f>
        <v>0</v>
      </c>
      <c r="P37" s="1813">
        <f>SUM(P33:P36)</f>
        <v>0</v>
      </c>
      <c r="Q37" s="1814"/>
      <c r="R37" s="1813">
        <f>SUM(R33:R36)</f>
        <v>338570</v>
      </c>
      <c r="S37" s="1813">
        <f>SUM(S33:S36)</f>
        <v>721811</v>
      </c>
      <c r="T37" s="1813">
        <f>SUM(T33:T36)</f>
        <v>664965</v>
      </c>
      <c r="U37" s="1814">
        <f>T37/S37</f>
        <v>0.92124531213849614</v>
      </c>
      <c r="V37" s="1830" t="s">
        <v>1248</v>
      </c>
      <c r="W37" s="1813">
        <f>SUM(W33:W36)</f>
        <v>0</v>
      </c>
      <c r="X37" s="1813">
        <f>SUM(X33:X36)</f>
        <v>3257</v>
      </c>
      <c r="Y37" s="1813">
        <f>SUM(Y33:Y36)</f>
        <v>3257</v>
      </c>
      <c r="Z37" s="1814">
        <f>Y37/X37</f>
        <v>1</v>
      </c>
      <c r="AA37" s="1813">
        <f>SUM(AA33:AA36)</f>
        <v>0</v>
      </c>
      <c r="AB37" s="1813">
        <f>SUM(AB33:AB36)</f>
        <v>31480</v>
      </c>
      <c r="AC37" s="1813">
        <f>SUM(AC33:AC36)</f>
        <v>31481</v>
      </c>
      <c r="AD37" s="1814">
        <f>AC37/AB37</f>
        <v>1.0000317662007623</v>
      </c>
      <c r="AE37" s="1813">
        <f>SUM(AE33:AE36)</f>
        <v>0</v>
      </c>
      <c r="AF37" s="1813">
        <f>SUM(AF33:AF36)</f>
        <v>0</v>
      </c>
      <c r="AG37" s="1813">
        <f>SUM(AG33:AG36)</f>
        <v>0</v>
      </c>
      <c r="AH37" s="1814"/>
      <c r="AI37" s="1813">
        <f>SUM(AI33:AI36)</f>
        <v>0</v>
      </c>
      <c r="AJ37" s="1813">
        <f>SUM(AJ33:AJ36)</f>
        <v>34737</v>
      </c>
      <c r="AK37" s="1813">
        <f>SUM(AK33:AK36)</f>
        <v>34738</v>
      </c>
      <c r="AL37" s="1814">
        <f>AK37/AJ37</f>
        <v>1.0000287877479346</v>
      </c>
      <c r="AM37" s="1813">
        <f>SUM(AM33:AM36)</f>
        <v>0</v>
      </c>
      <c r="AN37" s="1813">
        <f>SUM(AN33:AN36)</f>
        <v>344099</v>
      </c>
      <c r="AO37" s="1813">
        <f>SUM(AO33:AO36)</f>
        <v>344100</v>
      </c>
      <c r="AP37" s="1814">
        <f>AO37/AN37</f>
        <v>1.0000029061403841</v>
      </c>
      <c r="AQ37" s="1830" t="s">
        <v>1248</v>
      </c>
      <c r="AR37" s="1813">
        <f>SUM(AR33:AR36)</f>
        <v>1459248</v>
      </c>
      <c r="AS37" s="1813">
        <f>SUM(AS33:AS36)</f>
        <v>1829952</v>
      </c>
      <c r="AT37" s="1813">
        <f>SUM(AT33:AT36)</f>
        <v>1711615</v>
      </c>
      <c r="AU37" s="1814">
        <f>AT37/AS37</f>
        <v>0.93533327650124154</v>
      </c>
      <c r="AV37" s="1813">
        <f>SUM(AV33:AV36)</f>
        <v>0</v>
      </c>
      <c r="AW37" s="1813">
        <f>SUM(AW33:AW36)</f>
        <v>73529</v>
      </c>
      <c r="AX37" s="1813">
        <f>SUM(AX33:AX36)</f>
        <v>18094</v>
      </c>
      <c r="AY37" s="1814">
        <f>AX37/AW37</f>
        <v>0.24607977804675707</v>
      </c>
      <c r="AZ37" s="1813">
        <f>SUM(AZ33:AZ36)</f>
        <v>1459248</v>
      </c>
      <c r="BA37" s="1813">
        <f>SUM(BA33:BA36)</f>
        <v>1903481</v>
      </c>
      <c r="BB37" s="1813">
        <f>SUM(BB33:BB36)</f>
        <v>1729709</v>
      </c>
      <c r="BC37" s="1814">
        <f>BB37/BA37</f>
        <v>0.90870830861983909</v>
      </c>
      <c r="BD37" s="1813">
        <f>SUM(BD33:BD36)</f>
        <v>1797818</v>
      </c>
      <c r="BE37" s="1813">
        <f>SUM(BE33:BE36)</f>
        <v>3004128</v>
      </c>
      <c r="BF37" s="1813">
        <f>SUM(BF33:BF36)</f>
        <v>2773512</v>
      </c>
      <c r="BG37" s="1814">
        <f>BF37/BE37</f>
        <v>0.92323363052439844</v>
      </c>
      <c r="BH37" s="1805"/>
      <c r="BI37" s="1805"/>
      <c r="BJ37" s="1805"/>
      <c r="BK37" s="1805"/>
      <c r="BL37" s="1805"/>
      <c r="BM37" s="1805"/>
    </row>
    <row r="38" spans="1:65" s="763" customFormat="1" ht="75" customHeight="1" x14ac:dyDescent="0.85">
      <c r="A38" s="1831" t="s">
        <v>1249</v>
      </c>
      <c r="B38" s="1832"/>
      <c r="C38" s="1832"/>
      <c r="D38" s="1832"/>
      <c r="E38" s="1832"/>
      <c r="F38" s="1832"/>
      <c r="G38" s="1832"/>
      <c r="H38" s="1832"/>
      <c r="I38" s="1832"/>
      <c r="J38" s="1832"/>
      <c r="K38" s="1832"/>
      <c r="L38" s="1832"/>
      <c r="M38" s="1832"/>
      <c r="N38" s="1832"/>
      <c r="O38" s="1832"/>
      <c r="P38" s="1832"/>
      <c r="Q38" s="1832"/>
      <c r="R38" s="1832"/>
      <c r="S38" s="1832"/>
      <c r="T38" s="1832"/>
      <c r="U38" s="1832"/>
      <c r="V38" s="1831" t="s">
        <v>1249</v>
      </c>
      <c r="W38" s="1832"/>
      <c r="X38" s="1832"/>
      <c r="Y38" s="1832"/>
      <c r="Z38" s="1832"/>
      <c r="AA38" s="1832"/>
      <c r="AB38" s="1832"/>
      <c r="AC38" s="1832"/>
      <c r="AD38" s="1832"/>
      <c r="AE38" s="1832"/>
      <c r="AF38" s="1832"/>
      <c r="AG38" s="1832"/>
      <c r="AH38" s="1832"/>
      <c r="AI38" s="1832"/>
      <c r="AJ38" s="1832"/>
      <c r="AK38" s="1832"/>
      <c r="AL38" s="1832"/>
      <c r="AM38" s="1832"/>
      <c r="AN38" s="1832"/>
      <c r="AO38" s="1832"/>
      <c r="AP38" s="1832"/>
      <c r="AQ38" s="1831" t="s">
        <v>1249</v>
      </c>
      <c r="AR38" s="1832"/>
      <c r="AS38" s="1832"/>
      <c r="AT38" s="1832"/>
      <c r="AU38" s="1832"/>
      <c r="AV38" s="1832"/>
      <c r="AW38" s="1832"/>
      <c r="AX38" s="1832"/>
      <c r="AY38" s="1832"/>
      <c r="AZ38" s="1832"/>
      <c r="BA38" s="1832"/>
      <c r="BB38" s="1832"/>
      <c r="BC38" s="1832"/>
      <c r="BD38" s="1832"/>
      <c r="BE38" s="1832"/>
      <c r="BF38" s="1832"/>
      <c r="BG38" s="1832"/>
      <c r="BH38" s="1805"/>
      <c r="BI38" s="1805"/>
      <c r="BJ38" s="1805"/>
      <c r="BK38" s="1805"/>
      <c r="BL38" s="1805"/>
      <c r="BM38" s="1805"/>
    </row>
    <row r="39" spans="1:65" s="1836" customFormat="1" ht="75" customHeight="1" thickBot="1" x14ac:dyDescent="0.9">
      <c r="A39" s="1822" t="s">
        <v>1250</v>
      </c>
      <c r="B39" s="1801">
        <f>'[4]int.bevételek RM I'!B39</f>
        <v>112207</v>
      </c>
      <c r="C39" s="1801">
        <f>'[4]int.bevételek RM III'!D39</f>
        <v>199033</v>
      </c>
      <c r="D39" s="1801">
        <v>199034</v>
      </c>
      <c r="E39" s="1833">
        <f>D39/C39</f>
        <v>1.0000050242924541</v>
      </c>
      <c r="F39" s="1801">
        <f>'[4]int.bevételek RM I'!E39</f>
        <v>0</v>
      </c>
      <c r="G39" s="1801">
        <f>'[4]int.bevételek RM III'!G39</f>
        <v>4439</v>
      </c>
      <c r="H39" s="1801">
        <f>4439-1</f>
        <v>4438</v>
      </c>
      <c r="I39" s="1833">
        <f>H39/G39</f>
        <v>0.99977472403694523</v>
      </c>
      <c r="J39" s="1801">
        <f>'[4]int.bevételek RM I'!$H$10</f>
        <v>0</v>
      </c>
      <c r="K39" s="1801">
        <f>'[4]int.bevételek RM III'!J39</f>
        <v>50</v>
      </c>
      <c r="L39" s="1801">
        <v>50</v>
      </c>
      <c r="M39" s="1833">
        <f>L39/K39</f>
        <v>1</v>
      </c>
      <c r="N39" s="1808">
        <f>'[4]int.bevételek RM I'!K39</f>
        <v>0</v>
      </c>
      <c r="O39" s="1808">
        <f>'[4]int.bevételek RM III'!M39</f>
        <v>0</v>
      </c>
      <c r="P39" s="1808"/>
      <c r="Q39" s="1833"/>
      <c r="R39" s="1803">
        <f>B39+F39+J39+N39</f>
        <v>112207</v>
      </c>
      <c r="S39" s="1803">
        <f>C39+G39+K39+O39</f>
        <v>203522</v>
      </c>
      <c r="T39" s="1803">
        <f>D39+H39+L39+P39</f>
        <v>203522</v>
      </c>
      <c r="U39" s="1818">
        <f>T39/S39</f>
        <v>1</v>
      </c>
      <c r="V39" s="1822" t="s">
        <v>1250</v>
      </c>
      <c r="W39" s="1801">
        <f>'[4]int.bevételek RM I'!R39</f>
        <v>0</v>
      </c>
      <c r="X39" s="1801">
        <f>'[4]int.bevételek RM III'!T39</f>
        <v>0</v>
      </c>
      <c r="Y39" s="1801"/>
      <c r="Z39" s="1833"/>
      <c r="AA39" s="1801">
        <f>'[4]int.bevételek RM I'!U39</f>
        <v>0</v>
      </c>
      <c r="AB39" s="1801">
        <f>'[4]int.bevételek RM III'!W39</f>
        <v>0</v>
      </c>
      <c r="AC39" s="1801"/>
      <c r="AD39" s="1833"/>
      <c r="AE39" s="1801">
        <f>'[4]int.bevételek RM I'!X39</f>
        <v>0</v>
      </c>
      <c r="AF39" s="1801">
        <f>'[4]int.bevételek RM III'!Z39</f>
        <v>0</v>
      </c>
      <c r="AG39" s="1801"/>
      <c r="AH39" s="1833"/>
      <c r="AI39" s="1803">
        <f>W39+AA39+AE39</f>
        <v>0</v>
      </c>
      <c r="AJ39" s="1803">
        <f>X39+AB39+AF39</f>
        <v>0</v>
      </c>
      <c r="AK39" s="1803">
        <f>Y39+AC39+AG39</f>
        <v>0</v>
      </c>
      <c r="AL39" s="1818"/>
      <c r="AM39" s="1801"/>
      <c r="AN39" s="1801">
        <f>'[4]int.bevételek RM III'!AJ39</f>
        <v>2300</v>
      </c>
      <c r="AO39" s="1801">
        <v>2300</v>
      </c>
      <c r="AP39" s="1833">
        <f>AO39/AN39</f>
        <v>1</v>
      </c>
      <c r="AQ39" s="1822" t="s">
        <v>1250</v>
      </c>
      <c r="AR39" s="1801">
        <f>'[4]int.bevételek RM I'!AK39</f>
        <v>1174457</v>
      </c>
      <c r="AS39" s="1801">
        <f>'[4]int.bevételek RM III'!AM39</f>
        <v>1383152</v>
      </c>
      <c r="AT39" s="1801">
        <f>1350791-19307</f>
        <v>1331484</v>
      </c>
      <c r="AU39" s="1833">
        <f>AT39/AS39</f>
        <v>0.96264474186495774</v>
      </c>
      <c r="AV39" s="1801">
        <f>'[4]int.bevételek RM I'!AN39</f>
        <v>0</v>
      </c>
      <c r="AW39" s="1801">
        <f>'[4]int.bevételek RM III'!AP39</f>
        <v>85640</v>
      </c>
      <c r="AX39" s="1801">
        <v>19307</v>
      </c>
      <c r="AY39" s="1834">
        <f>AX39/AW39</f>
        <v>0.22544371788883699</v>
      </c>
      <c r="AZ39" s="1803">
        <f>AR39+AV39</f>
        <v>1174457</v>
      </c>
      <c r="BA39" s="1803">
        <f>AS39+AW39</f>
        <v>1468792</v>
      </c>
      <c r="BB39" s="1803">
        <f>AT39+AX39</f>
        <v>1350791</v>
      </c>
      <c r="BC39" s="1818">
        <f>BB39/BA39</f>
        <v>0.91966119096509236</v>
      </c>
      <c r="BD39" s="1803">
        <f>R39+AI39+AM39+AZ39</f>
        <v>1286664</v>
      </c>
      <c r="BE39" s="1803">
        <f>S39+AJ39+AN39+BA39</f>
        <v>1674614</v>
      </c>
      <c r="BF39" s="1803">
        <f>T39+AK39+AO39+BB39</f>
        <v>1556613</v>
      </c>
      <c r="BG39" s="1818">
        <f>BF39/BE39</f>
        <v>0.92953540338251084</v>
      </c>
      <c r="BH39" s="1835"/>
      <c r="BI39" s="1835"/>
      <c r="BJ39" s="1835"/>
      <c r="BK39" s="1835"/>
      <c r="BL39" s="1835"/>
      <c r="BM39" s="1835"/>
    </row>
    <row r="40" spans="1:65" s="763" customFormat="1" ht="75" customHeight="1" x14ac:dyDescent="0.85">
      <c r="A40" s="1831" t="s">
        <v>1251</v>
      </c>
      <c r="B40" s="1832"/>
      <c r="C40" s="1832"/>
      <c r="D40" s="1832"/>
      <c r="E40" s="1810"/>
      <c r="F40" s="1832"/>
      <c r="G40" s="1832"/>
      <c r="H40" s="1832"/>
      <c r="I40" s="1810"/>
      <c r="J40" s="1832"/>
      <c r="K40" s="1832"/>
      <c r="L40" s="1832"/>
      <c r="M40" s="1810"/>
      <c r="N40" s="1832"/>
      <c r="O40" s="1832"/>
      <c r="P40" s="1832"/>
      <c r="Q40" s="1810"/>
      <c r="R40" s="1832"/>
      <c r="S40" s="1832"/>
      <c r="T40" s="1832"/>
      <c r="U40" s="1810"/>
      <c r="V40" s="1831" t="s">
        <v>1251</v>
      </c>
      <c r="W40" s="1832"/>
      <c r="X40" s="1832"/>
      <c r="Y40" s="1832"/>
      <c r="Z40" s="1810"/>
      <c r="AA40" s="1832"/>
      <c r="AB40" s="1832"/>
      <c r="AC40" s="1832"/>
      <c r="AD40" s="1810"/>
      <c r="AE40" s="1832"/>
      <c r="AF40" s="1832"/>
      <c r="AG40" s="1832"/>
      <c r="AH40" s="1810"/>
      <c r="AI40" s="1832"/>
      <c r="AJ40" s="1832"/>
      <c r="AK40" s="1832"/>
      <c r="AL40" s="1810"/>
      <c r="AM40" s="1837"/>
      <c r="AN40" s="1837"/>
      <c r="AO40" s="1837"/>
      <c r="AP40" s="1809"/>
      <c r="AQ40" s="1831" t="s">
        <v>1251</v>
      </c>
      <c r="AR40" s="1837"/>
      <c r="AS40" s="1837"/>
      <c r="AT40" s="1837"/>
      <c r="AU40" s="1809"/>
      <c r="AV40" s="1837"/>
      <c r="AW40" s="1837"/>
      <c r="AX40" s="1837"/>
      <c r="AY40" s="1809"/>
      <c r="AZ40" s="1832"/>
      <c r="BA40" s="1832"/>
      <c r="BB40" s="1832"/>
      <c r="BC40" s="1810"/>
      <c r="BD40" s="1832"/>
      <c r="BE40" s="1832"/>
      <c r="BF40" s="1832"/>
      <c r="BG40" s="1810"/>
      <c r="BH40" s="1805"/>
      <c r="BI40" s="1805"/>
      <c r="BJ40" s="1805"/>
      <c r="BK40" s="1805"/>
      <c r="BL40" s="1805"/>
      <c r="BM40" s="1805"/>
    </row>
    <row r="41" spans="1:65" s="763" customFormat="1" ht="75" customHeight="1" thickBot="1" x14ac:dyDescent="0.9">
      <c r="A41" s="1838" t="s">
        <v>1252</v>
      </c>
      <c r="B41" s="1839">
        <f>'[4]int.bevételek RM I'!B41</f>
        <v>71492</v>
      </c>
      <c r="C41" s="1801">
        <f>'[4]int.bevételek RM III'!D41</f>
        <v>63469</v>
      </c>
      <c r="D41" s="1839">
        <v>63469</v>
      </c>
      <c r="E41" s="1833">
        <f>D41/C41</f>
        <v>1</v>
      </c>
      <c r="F41" s="1839">
        <f>'[4]int.bevételek RM I'!E41</f>
        <v>631076</v>
      </c>
      <c r="G41" s="1801">
        <f>'[4]int.bevételek RM III'!G41</f>
        <v>607320</v>
      </c>
      <c r="H41" s="1839">
        <v>606390</v>
      </c>
      <c r="I41" s="1833">
        <f>H41/G41</f>
        <v>0.99846868207864059</v>
      </c>
      <c r="J41" s="1839">
        <f>'[4]int.bevételek RM I'!$H$10</f>
        <v>0</v>
      </c>
      <c r="K41" s="1801">
        <f>'[4]int.bevételek RM III'!J41</f>
        <v>0</v>
      </c>
      <c r="L41" s="1839"/>
      <c r="M41" s="1833"/>
      <c r="N41" s="1839">
        <f>'[4]int.bevételek RM I'!K41</f>
        <v>0</v>
      </c>
      <c r="O41" s="1839">
        <f>'[4]int.bevételek RM III'!M41</f>
        <v>0</v>
      </c>
      <c r="P41" s="1801"/>
      <c r="Q41" s="1833"/>
      <c r="R41" s="1803">
        <f>B41+F41+J41+N41</f>
        <v>702568</v>
      </c>
      <c r="S41" s="1803">
        <f>C41+G41+K41+O41</f>
        <v>670789</v>
      </c>
      <c r="T41" s="1803">
        <f>D41+H41+L41+P41</f>
        <v>669859</v>
      </c>
      <c r="U41" s="1818">
        <f>T41/S41</f>
        <v>0.99861357297153053</v>
      </c>
      <c r="V41" s="1840" t="s">
        <v>1252</v>
      </c>
      <c r="W41" s="1839">
        <f>'[4]int.bevételek RM I'!R41</f>
        <v>0</v>
      </c>
      <c r="X41" s="1839">
        <f>'[4]int.bevételek RM III'!T41</f>
        <v>5</v>
      </c>
      <c r="Y41" s="1839">
        <v>5</v>
      </c>
      <c r="Z41" s="1833">
        <f>Y41/X41</f>
        <v>1</v>
      </c>
      <c r="AA41" s="1839">
        <f>'[4]int.bevételek RM I'!U41</f>
        <v>2995</v>
      </c>
      <c r="AB41" s="1839">
        <f>'[4]int.bevételek RM III'!W41</f>
        <v>2995</v>
      </c>
      <c r="AC41" s="1839">
        <v>2995</v>
      </c>
      <c r="AD41" s="1833">
        <f>AC41/AB41</f>
        <v>1</v>
      </c>
      <c r="AE41" s="1839">
        <f>'[4]int.bevételek RM I'!X41</f>
        <v>0</v>
      </c>
      <c r="AF41" s="1839">
        <f>'[4]int.bevételek RM III'!Z41</f>
        <v>0</v>
      </c>
      <c r="AG41" s="1839"/>
      <c r="AH41" s="1833"/>
      <c r="AI41" s="1803">
        <f>W41+AA41+AE41</f>
        <v>2995</v>
      </c>
      <c r="AJ41" s="1803">
        <f>X41+AB41+AF41</f>
        <v>3000</v>
      </c>
      <c r="AK41" s="1803">
        <f>Y41+AC41+AG41</f>
        <v>3000</v>
      </c>
      <c r="AL41" s="1818">
        <f>AK41/AJ41</f>
        <v>1</v>
      </c>
      <c r="AM41" s="1839"/>
      <c r="AN41" s="1801">
        <f>'[4]int.bevételek RM III'!AJ41</f>
        <v>70179</v>
      </c>
      <c r="AO41" s="1839">
        <v>70179</v>
      </c>
      <c r="AP41" s="1833">
        <f>AO41/AN41</f>
        <v>1</v>
      </c>
      <c r="AQ41" s="1840" t="s">
        <v>1252</v>
      </c>
      <c r="AR41" s="1839">
        <f>'[4]int.bevételek RM I'!AK41</f>
        <v>436845</v>
      </c>
      <c r="AS41" s="1801">
        <f>'[4]int.bevételek RM III'!AM41</f>
        <v>579982</v>
      </c>
      <c r="AT41" s="1839">
        <f>540018-31434</f>
        <v>508584</v>
      </c>
      <c r="AU41" s="1833">
        <f>AT41/AS41</f>
        <v>0.87689617953660626</v>
      </c>
      <c r="AV41" s="1839">
        <f>'[4]int.bevételek RM I'!AN41</f>
        <v>1778</v>
      </c>
      <c r="AW41" s="1801">
        <f>'[4]int.bevételek RM III'!AP41</f>
        <v>33797</v>
      </c>
      <c r="AX41" s="1839">
        <v>31434</v>
      </c>
      <c r="AY41" s="1833">
        <f>AX41/AW41</f>
        <v>0.9300825517057727</v>
      </c>
      <c r="AZ41" s="1803">
        <f>AR41+AV41</f>
        <v>438623</v>
      </c>
      <c r="BA41" s="1803">
        <f>AS41+AW41</f>
        <v>613779</v>
      </c>
      <c r="BB41" s="1803">
        <f>AT41+AX41</f>
        <v>540018</v>
      </c>
      <c r="BC41" s="1818">
        <f>BB41/BA41</f>
        <v>0.87982482294115638</v>
      </c>
      <c r="BD41" s="1803">
        <f>R41+AI41+AM41+AZ41</f>
        <v>1144186</v>
      </c>
      <c r="BE41" s="1803">
        <f>S41+AJ41+AN41+BA41</f>
        <v>1357747</v>
      </c>
      <c r="BF41" s="1803">
        <f>T41+AK41+AO41+BB41</f>
        <v>1283056</v>
      </c>
      <c r="BG41" s="1818">
        <f>BF41/BE41</f>
        <v>0.94498901489010845</v>
      </c>
      <c r="BH41" s="1805"/>
      <c r="BI41" s="1805"/>
      <c r="BJ41" s="1805"/>
      <c r="BK41" s="1805"/>
      <c r="BL41" s="1805"/>
      <c r="BM41" s="1805"/>
    </row>
    <row r="42" spans="1:65" s="763" customFormat="1" ht="75" customHeight="1" x14ac:dyDescent="0.85">
      <c r="A42" s="1831" t="s">
        <v>1253</v>
      </c>
      <c r="B42" s="1832"/>
      <c r="C42" s="1832"/>
      <c r="D42" s="1832"/>
      <c r="E42" s="1810"/>
      <c r="F42" s="1832"/>
      <c r="G42" s="1832"/>
      <c r="H42" s="1832"/>
      <c r="I42" s="1810"/>
      <c r="J42" s="1832"/>
      <c r="K42" s="1832"/>
      <c r="L42" s="1832"/>
      <c r="M42" s="1810"/>
      <c r="N42" s="1832"/>
      <c r="O42" s="1832"/>
      <c r="P42" s="1832"/>
      <c r="Q42" s="1810"/>
      <c r="R42" s="1832"/>
      <c r="S42" s="1832"/>
      <c r="T42" s="1832"/>
      <c r="U42" s="1810"/>
      <c r="V42" s="1831" t="s">
        <v>1253</v>
      </c>
      <c r="W42" s="1832"/>
      <c r="X42" s="1832"/>
      <c r="Y42" s="1832"/>
      <c r="Z42" s="1810"/>
      <c r="AA42" s="1832"/>
      <c r="AB42" s="1832"/>
      <c r="AC42" s="1832"/>
      <c r="AD42" s="1810"/>
      <c r="AE42" s="1832"/>
      <c r="AF42" s="1832"/>
      <c r="AG42" s="1832"/>
      <c r="AH42" s="1810"/>
      <c r="AI42" s="1832"/>
      <c r="AJ42" s="1832"/>
      <c r="AK42" s="1832"/>
      <c r="AL42" s="1810"/>
      <c r="AM42" s="1837"/>
      <c r="AN42" s="1837"/>
      <c r="AO42" s="1837"/>
      <c r="AP42" s="1809"/>
      <c r="AQ42" s="1831" t="s">
        <v>1253</v>
      </c>
      <c r="AR42" s="1837"/>
      <c r="AS42" s="1837"/>
      <c r="AT42" s="1837"/>
      <c r="AU42" s="1809"/>
      <c r="AV42" s="1837"/>
      <c r="AW42" s="1837"/>
      <c r="AX42" s="1837"/>
      <c r="AY42" s="1809"/>
      <c r="AZ42" s="1832"/>
      <c r="BA42" s="1832"/>
      <c r="BB42" s="1832"/>
      <c r="BC42" s="1810"/>
      <c r="BD42" s="1832"/>
      <c r="BE42" s="1832"/>
      <c r="BF42" s="1832"/>
      <c r="BG42" s="1810"/>
      <c r="BH42" s="1805"/>
      <c r="BI42" s="1805"/>
      <c r="BJ42" s="1805"/>
      <c r="BK42" s="1805"/>
      <c r="BL42" s="1805"/>
      <c r="BM42" s="1805"/>
    </row>
    <row r="43" spans="1:65" s="763" customFormat="1" ht="75" customHeight="1" thickBot="1" x14ac:dyDescent="0.9">
      <c r="A43" s="1841" t="s">
        <v>1254</v>
      </c>
      <c r="B43" s="1808">
        <f>'[4]int.bevételek RM I'!B43</f>
        <v>71465</v>
      </c>
      <c r="C43" s="1801">
        <f>'[4]int.bevételek RM III'!D43</f>
        <v>90865</v>
      </c>
      <c r="D43" s="1808">
        <v>90930</v>
      </c>
      <c r="E43" s="1802">
        <f>D43/C43</f>
        <v>1.0007153469432675</v>
      </c>
      <c r="F43" s="1808">
        <f>'[4]int.bevételek RM I'!E43</f>
        <v>0</v>
      </c>
      <c r="G43" s="1801">
        <f>'[4]int.bevételek RM III'!G43</f>
        <v>19926</v>
      </c>
      <c r="H43" s="1808">
        <v>19926</v>
      </c>
      <c r="I43" s="1802">
        <f>H43/G43</f>
        <v>1</v>
      </c>
      <c r="J43" s="1808">
        <f>'[4]int.bevételek RM I'!$H$10</f>
        <v>0</v>
      </c>
      <c r="K43" s="1801">
        <f>'[4]int.bevételek RM III'!J43</f>
        <v>0</v>
      </c>
      <c r="L43" s="1801"/>
      <c r="M43" s="1802"/>
      <c r="N43" s="1842">
        <f>'[4]int.bevételek RM I'!K43</f>
        <v>0</v>
      </c>
      <c r="O43" s="1801">
        <f>'[4]int.bevételek RM III'!M43</f>
        <v>0</v>
      </c>
      <c r="P43" s="1801"/>
      <c r="Q43" s="1802"/>
      <c r="R43" s="1803">
        <f>B43+F43+J43+N43</f>
        <v>71465</v>
      </c>
      <c r="S43" s="1803">
        <f>C43+G43+K43+O43</f>
        <v>110791</v>
      </c>
      <c r="T43" s="1803">
        <f>D43+H43+L43+P43</f>
        <v>110856</v>
      </c>
      <c r="U43" s="1804">
        <f>T43/S43</f>
        <v>1.0005866902546237</v>
      </c>
      <c r="V43" s="1841" t="s">
        <v>1254</v>
      </c>
      <c r="W43" s="1808">
        <f>'[4]int.bevételek RM I'!R43</f>
        <v>0</v>
      </c>
      <c r="X43" s="1808">
        <f>'[4]int.bevételek RM III'!T43</f>
        <v>0</v>
      </c>
      <c r="Y43" s="1808"/>
      <c r="Z43" s="1833"/>
      <c r="AA43" s="1808">
        <f>'[4]int.bevételek RM I'!U43</f>
        <v>0</v>
      </c>
      <c r="AB43" s="1808">
        <f>'[4]int.bevételek RM III'!W43</f>
        <v>0</v>
      </c>
      <c r="AC43" s="1808"/>
      <c r="AD43" s="1802"/>
      <c r="AE43" s="1808">
        <f>'[4]int.bevételek RM I'!X43</f>
        <v>0</v>
      </c>
      <c r="AF43" s="1808">
        <f>'[4]int.bevételek RM III'!Z43</f>
        <v>0</v>
      </c>
      <c r="AG43" s="1808"/>
      <c r="AH43" s="1802"/>
      <c r="AI43" s="1803">
        <f>W43+AA43+AE43</f>
        <v>0</v>
      </c>
      <c r="AJ43" s="1803">
        <f>X43+AB43+AF43</f>
        <v>0</v>
      </c>
      <c r="AK43" s="1803">
        <f>Y43+AC43+AG43</f>
        <v>0</v>
      </c>
      <c r="AL43" s="1804"/>
      <c r="AM43" s="1808"/>
      <c r="AN43" s="1801">
        <f>'[4]int.bevételek RM III'!AJ43</f>
        <v>914</v>
      </c>
      <c r="AO43" s="1808">
        <v>914</v>
      </c>
      <c r="AP43" s="1802">
        <f>AO43/AN43</f>
        <v>1</v>
      </c>
      <c r="AQ43" s="1841" t="s">
        <v>1254</v>
      </c>
      <c r="AR43" s="1808">
        <f>'[4]int.bevételek RM I'!AK43</f>
        <v>1372196</v>
      </c>
      <c r="AS43" s="1801">
        <f>'[4]int.bevételek RM III'!AM43</f>
        <v>1445276</v>
      </c>
      <c r="AT43" s="1808">
        <f>1448997-21846</f>
        <v>1427151</v>
      </c>
      <c r="AU43" s="1802">
        <f>AT43/AS43</f>
        <v>0.98745914275197266</v>
      </c>
      <c r="AV43" s="1808">
        <f>'[4]int.bevételek RM I'!AN43</f>
        <v>0</v>
      </c>
      <c r="AW43" s="1801">
        <f>'[4]int.bevételek RM III'!AP43</f>
        <v>54090</v>
      </c>
      <c r="AX43" s="1808">
        <v>21846</v>
      </c>
      <c r="AY43" s="1833">
        <f>AX43/AW43</f>
        <v>0.4038824181919024</v>
      </c>
      <c r="AZ43" s="1803">
        <f>AR43+AV43</f>
        <v>1372196</v>
      </c>
      <c r="BA43" s="1803">
        <f>AS43+AW43</f>
        <v>1499366</v>
      </c>
      <c r="BB43" s="1803">
        <f>AT43+AX43</f>
        <v>1448997</v>
      </c>
      <c r="BC43" s="1804">
        <f>BB43/BA43</f>
        <v>0.9664064678003903</v>
      </c>
      <c r="BD43" s="1803">
        <f>R43+AI43+AM43+AZ43</f>
        <v>1443661</v>
      </c>
      <c r="BE43" s="1803">
        <f>S43+AJ43+AN43+BA43</f>
        <v>1611071</v>
      </c>
      <c r="BF43" s="1803">
        <f>T43+AK43+AO43+BB43</f>
        <v>1560767</v>
      </c>
      <c r="BG43" s="1804">
        <f>BF43/BE43</f>
        <v>0.96877605021752611</v>
      </c>
      <c r="BH43" s="1805"/>
      <c r="BI43" s="1805"/>
      <c r="BJ43" s="1805"/>
      <c r="BK43" s="1805"/>
      <c r="BL43" s="1805"/>
      <c r="BM43" s="1805"/>
    </row>
    <row r="44" spans="1:65" s="763" customFormat="1" ht="75" customHeight="1" x14ac:dyDescent="0.85">
      <c r="A44" s="1831" t="s">
        <v>1255</v>
      </c>
      <c r="B44" s="1832"/>
      <c r="C44" s="1832"/>
      <c r="D44" s="1832"/>
      <c r="E44" s="1832"/>
      <c r="F44" s="1832"/>
      <c r="G44" s="1832"/>
      <c r="H44" s="1832"/>
      <c r="I44" s="1810"/>
      <c r="J44" s="1832"/>
      <c r="K44" s="1832"/>
      <c r="L44" s="1832"/>
      <c r="M44" s="1832"/>
      <c r="N44" s="1832"/>
      <c r="O44" s="1832"/>
      <c r="P44" s="1832"/>
      <c r="Q44" s="1832"/>
      <c r="R44" s="1832"/>
      <c r="S44" s="1832"/>
      <c r="T44" s="1832"/>
      <c r="U44" s="1832"/>
      <c r="V44" s="1831" t="s">
        <v>1255</v>
      </c>
      <c r="W44" s="1832"/>
      <c r="X44" s="1832"/>
      <c r="Y44" s="1832"/>
      <c r="Z44" s="1810"/>
      <c r="AA44" s="1832"/>
      <c r="AB44" s="1832"/>
      <c r="AC44" s="1832"/>
      <c r="AD44" s="1832"/>
      <c r="AE44" s="1832"/>
      <c r="AF44" s="1832"/>
      <c r="AG44" s="1832"/>
      <c r="AH44" s="1832"/>
      <c r="AI44" s="1832"/>
      <c r="AJ44" s="1832"/>
      <c r="AK44" s="1832"/>
      <c r="AL44" s="1832"/>
      <c r="AM44" s="1832"/>
      <c r="AN44" s="1832"/>
      <c r="AO44" s="1832"/>
      <c r="AP44" s="1832"/>
      <c r="AQ44" s="1831" t="s">
        <v>1255</v>
      </c>
      <c r="AR44" s="1837"/>
      <c r="AS44" s="1837"/>
      <c r="AT44" s="1837"/>
      <c r="AU44" s="1837"/>
      <c r="AV44" s="1837"/>
      <c r="AW44" s="1837"/>
      <c r="AX44" s="1837"/>
      <c r="AY44" s="1809"/>
      <c r="AZ44" s="1832"/>
      <c r="BA44" s="1832"/>
      <c r="BB44" s="1832"/>
      <c r="BC44" s="1832"/>
      <c r="BD44" s="1832"/>
      <c r="BE44" s="1832"/>
      <c r="BF44" s="1832"/>
      <c r="BG44" s="1832"/>
      <c r="BH44" s="1805"/>
      <c r="BI44" s="1805"/>
      <c r="BJ44" s="1805"/>
      <c r="BK44" s="1805"/>
      <c r="BL44" s="1805"/>
      <c r="BM44" s="1805"/>
    </row>
    <row r="45" spans="1:65" s="763" customFormat="1" ht="75" customHeight="1" x14ac:dyDescent="0.85">
      <c r="A45" s="1843" t="s">
        <v>1256</v>
      </c>
      <c r="B45" s="1801">
        <f>'[4]int.bevételek RM I'!B45</f>
        <v>233971</v>
      </c>
      <c r="C45" s="1801">
        <f>'[4]int.bevételek RM III'!D45</f>
        <v>227877</v>
      </c>
      <c r="D45" s="1801">
        <v>224265</v>
      </c>
      <c r="E45" s="1802">
        <f>D45/C45</f>
        <v>0.98414934372490426</v>
      </c>
      <c r="F45" s="1801">
        <f>'[4]int.bevételek RM I'!E45</f>
        <v>0</v>
      </c>
      <c r="G45" s="1801">
        <f>'[4]int.bevételek RM III'!G45</f>
        <v>0</v>
      </c>
      <c r="H45" s="1801"/>
      <c r="I45" s="1802"/>
      <c r="J45" s="1801">
        <f>'[4]int.bevételek RM I'!$H$10</f>
        <v>0</v>
      </c>
      <c r="K45" s="1801">
        <f>'[4]int.bevételek RM III'!J45</f>
        <v>0</v>
      </c>
      <c r="L45" s="1801"/>
      <c r="M45" s="1802"/>
      <c r="N45" s="1801">
        <f>'[4]int.bevételek RM I'!K45</f>
        <v>0</v>
      </c>
      <c r="O45" s="1801">
        <f>'[4]int.bevételek RM III'!M45</f>
        <v>0</v>
      </c>
      <c r="P45" s="1801"/>
      <c r="Q45" s="1802"/>
      <c r="R45" s="1803">
        <f t="shared" ref="R45:T46" si="19">B45+F45+J45+N45</f>
        <v>233971</v>
      </c>
      <c r="S45" s="1803">
        <f t="shared" si="19"/>
        <v>227877</v>
      </c>
      <c r="T45" s="1803">
        <f t="shared" si="19"/>
        <v>224265</v>
      </c>
      <c r="U45" s="1804">
        <f>T45/S45</f>
        <v>0.98414934372490426</v>
      </c>
      <c r="V45" s="1843" t="s">
        <v>1256</v>
      </c>
      <c r="W45" s="1801">
        <f>'[4]int.bevételek RM I'!R45</f>
        <v>0</v>
      </c>
      <c r="X45" s="1801">
        <f>'[4]int.bevételek RM III'!T45</f>
        <v>0</v>
      </c>
      <c r="Y45" s="1801"/>
      <c r="Z45" s="1802"/>
      <c r="AA45" s="1801">
        <f>'[4]int.bevételek RM I'!U45</f>
        <v>0</v>
      </c>
      <c r="AB45" s="1801">
        <f>'[4]int.bevételek RM III'!W45</f>
        <v>0</v>
      </c>
      <c r="AC45" s="1801"/>
      <c r="AD45" s="1802"/>
      <c r="AE45" s="1801">
        <f>'[4]int.bevételek RM I'!X45</f>
        <v>0</v>
      </c>
      <c r="AF45" s="1801">
        <f>'[4]int.bevételek RM III'!Z45</f>
        <v>0</v>
      </c>
      <c r="AG45" s="1801"/>
      <c r="AH45" s="1802"/>
      <c r="AI45" s="1803">
        <f t="shared" ref="AI45:AK46" si="20">W45+AA45+AE45</f>
        <v>0</v>
      </c>
      <c r="AJ45" s="1803">
        <f t="shared" si="20"/>
        <v>0</v>
      </c>
      <c r="AK45" s="1803">
        <f t="shared" si="20"/>
        <v>0</v>
      </c>
      <c r="AL45" s="1804"/>
      <c r="AM45" s="1801"/>
      <c r="AN45" s="1801">
        <f>'[4]int.bevételek RM III'!AJ45</f>
        <v>8929</v>
      </c>
      <c r="AO45" s="1801">
        <v>8930</v>
      </c>
      <c r="AP45" s="1802">
        <f>AO45/AN45</f>
        <v>1.000111994624258</v>
      </c>
      <c r="AQ45" s="1843" t="s">
        <v>1256</v>
      </c>
      <c r="AR45" s="1801">
        <f>'[4]int.bevételek RM I'!AK45</f>
        <v>23503</v>
      </c>
      <c r="AS45" s="1801">
        <f>'[4]int.bevételek RM III'!AM45</f>
        <v>28332</v>
      </c>
      <c r="AT45" s="1801">
        <f>14000-10762</f>
        <v>3238</v>
      </c>
      <c r="AU45" s="1802">
        <f>AT45/AS45</f>
        <v>0.11428773118734999</v>
      </c>
      <c r="AV45" s="1801">
        <f>'[4]int.bevételek RM I'!AN45</f>
        <v>0</v>
      </c>
      <c r="AW45" s="1801">
        <f>'[4]int.bevételek RM III'!AP45</f>
        <v>12032</v>
      </c>
      <c r="AX45" s="1801">
        <v>10762</v>
      </c>
      <c r="AY45" s="1802">
        <f>AX45/AW45</f>
        <v>0.89444813829787229</v>
      </c>
      <c r="AZ45" s="1803">
        <f t="shared" ref="AZ45:BB46" si="21">AR45+AV45</f>
        <v>23503</v>
      </c>
      <c r="BA45" s="1803">
        <f t="shared" si="21"/>
        <v>40364</v>
      </c>
      <c r="BB45" s="1803">
        <f t="shared" si="21"/>
        <v>14000</v>
      </c>
      <c r="BC45" s="1804">
        <f>BB45/BA45</f>
        <v>0.34684372212862946</v>
      </c>
      <c r="BD45" s="1803">
        <f t="shared" ref="BD45:BF46" si="22">R45+AI45+AM45+AZ45</f>
        <v>257474</v>
      </c>
      <c r="BE45" s="1803">
        <f t="shared" si="22"/>
        <v>277170</v>
      </c>
      <c r="BF45" s="1803">
        <f t="shared" si="22"/>
        <v>247195</v>
      </c>
      <c r="BG45" s="1804">
        <f>BF45/BE45</f>
        <v>0.8918533751849046</v>
      </c>
      <c r="BH45" s="1805"/>
      <c r="BI45" s="1805"/>
      <c r="BJ45" s="1805"/>
      <c r="BK45" s="1805"/>
      <c r="BL45" s="1805"/>
      <c r="BM45" s="1805"/>
    </row>
    <row r="46" spans="1:65" s="1836" customFormat="1" ht="75" customHeight="1" thickBot="1" x14ac:dyDescent="0.9">
      <c r="A46" s="1844" t="s">
        <v>41</v>
      </c>
      <c r="B46" s="1845">
        <f>'[4]int.bevételek RM I'!B46</f>
        <v>14150</v>
      </c>
      <c r="C46" s="1845">
        <f>'[4]int.bevételek RM III'!D46</f>
        <v>25465</v>
      </c>
      <c r="D46" s="1845">
        <v>25168</v>
      </c>
      <c r="E46" s="1811">
        <f>D46/C46</f>
        <v>0.98833693304535641</v>
      </c>
      <c r="F46" s="1845">
        <f>'[4]int.bevételek RM I'!E46</f>
        <v>0</v>
      </c>
      <c r="G46" s="1845">
        <f>'[4]int.bevételek RM III'!G46</f>
        <v>5544</v>
      </c>
      <c r="H46" s="1845">
        <v>5544</v>
      </c>
      <c r="I46" s="1811">
        <f>H46/G46</f>
        <v>1</v>
      </c>
      <c r="J46" s="1845">
        <f>'[4]int.bevételek RM I'!$H$10</f>
        <v>0</v>
      </c>
      <c r="K46" s="1845">
        <f>'[4]int.bevételek RM III'!J46</f>
        <v>1000</v>
      </c>
      <c r="L46" s="1845">
        <v>1000</v>
      </c>
      <c r="M46" s="1811">
        <f>L46/K46</f>
        <v>1</v>
      </c>
      <c r="N46" s="1845">
        <f>'[4]int.bevételek RM I'!K46</f>
        <v>1850</v>
      </c>
      <c r="O46" s="1845">
        <f>'[4]int.bevételek RM III'!M46</f>
        <v>2412</v>
      </c>
      <c r="P46" s="1845">
        <v>2411</v>
      </c>
      <c r="Q46" s="1811">
        <f>P46/O46</f>
        <v>0.99958540630182424</v>
      </c>
      <c r="R46" s="1846">
        <f t="shared" si="19"/>
        <v>16000</v>
      </c>
      <c r="S46" s="1846">
        <f t="shared" si="19"/>
        <v>34421</v>
      </c>
      <c r="T46" s="1846">
        <f t="shared" si="19"/>
        <v>34123</v>
      </c>
      <c r="U46" s="1847">
        <f>T46/S46</f>
        <v>0.99134249440748379</v>
      </c>
      <c r="V46" s="1844" t="s">
        <v>41</v>
      </c>
      <c r="W46" s="1845">
        <f>'[4]int.bevételek RM I'!R46</f>
        <v>0</v>
      </c>
      <c r="X46" s="1845">
        <f>'[4]int.bevételek RM III'!T46</f>
        <v>890</v>
      </c>
      <c r="Y46" s="1845">
        <v>890</v>
      </c>
      <c r="Z46" s="1811">
        <f>Y46/X46</f>
        <v>1</v>
      </c>
      <c r="AA46" s="1845">
        <f>'[4]int.bevételek RM I'!U46</f>
        <v>0</v>
      </c>
      <c r="AB46" s="1845">
        <f>'[4]int.bevételek RM III'!W46</f>
        <v>0</v>
      </c>
      <c r="AC46" s="1845"/>
      <c r="AD46" s="1811"/>
      <c r="AE46" s="1845">
        <f>'[4]int.bevételek RM I'!X46</f>
        <v>0</v>
      </c>
      <c r="AF46" s="1845">
        <f>'[4]int.bevételek RM III'!Z46</f>
        <v>0</v>
      </c>
      <c r="AG46" s="1845"/>
      <c r="AH46" s="1811"/>
      <c r="AI46" s="1846">
        <f t="shared" si="20"/>
        <v>0</v>
      </c>
      <c r="AJ46" s="1846">
        <f t="shared" si="20"/>
        <v>890</v>
      </c>
      <c r="AK46" s="1846">
        <f t="shared" si="20"/>
        <v>890</v>
      </c>
      <c r="AL46" s="1847">
        <f>AK46/AJ46</f>
        <v>1</v>
      </c>
      <c r="AM46" s="1845"/>
      <c r="AN46" s="1845">
        <f>'[4]int.bevételek RM III'!AJ46</f>
        <v>6008</v>
      </c>
      <c r="AO46" s="1845">
        <v>6008</v>
      </c>
      <c r="AP46" s="1811">
        <f>AO46/AN46</f>
        <v>1</v>
      </c>
      <c r="AQ46" s="1844" t="s">
        <v>41</v>
      </c>
      <c r="AR46" s="1845">
        <f>'[4]int.bevételek RM I'!AK46</f>
        <v>2482128</v>
      </c>
      <c r="AS46" s="1845">
        <f>'[4]int.bevételek RM III'!AM46</f>
        <v>2708907</v>
      </c>
      <c r="AT46" s="1845">
        <f>2480166-39838</f>
        <v>2440328</v>
      </c>
      <c r="AU46" s="1811">
        <f>AT46/AS46</f>
        <v>0.90085337001233334</v>
      </c>
      <c r="AV46" s="1845">
        <f>'[4]int.bevételek RM I'!AN46</f>
        <v>18000</v>
      </c>
      <c r="AW46" s="1845">
        <f>'[4]int.bevételek RM III'!AP46</f>
        <v>46112</v>
      </c>
      <c r="AX46" s="1845">
        <v>39838</v>
      </c>
      <c r="AY46" s="1848">
        <f>AX46/AW46</f>
        <v>0.86393997224149899</v>
      </c>
      <c r="AZ46" s="1846">
        <f t="shared" si="21"/>
        <v>2500128</v>
      </c>
      <c r="BA46" s="1846">
        <f t="shared" si="21"/>
        <v>2755019</v>
      </c>
      <c r="BB46" s="1846">
        <f t="shared" si="21"/>
        <v>2480166</v>
      </c>
      <c r="BC46" s="1847">
        <f>BB46/BA46</f>
        <v>0.90023553376582888</v>
      </c>
      <c r="BD46" s="1846">
        <f t="shared" si="22"/>
        <v>2516128</v>
      </c>
      <c r="BE46" s="1846">
        <f t="shared" si="22"/>
        <v>2796338</v>
      </c>
      <c r="BF46" s="1846">
        <f t="shared" si="22"/>
        <v>2521187</v>
      </c>
      <c r="BG46" s="1847">
        <f>BF46/BE46</f>
        <v>0.90160309662136695</v>
      </c>
      <c r="BH46" s="1835"/>
      <c r="BI46" s="1835"/>
      <c r="BJ46" s="1835"/>
      <c r="BK46" s="1835"/>
      <c r="BL46" s="1835"/>
      <c r="BM46" s="1835"/>
    </row>
    <row r="47" spans="1:65" s="763" customFormat="1" ht="75" customHeight="1" thickBot="1" x14ac:dyDescent="0.9">
      <c r="A47" s="1849" t="s">
        <v>1257</v>
      </c>
      <c r="B47" s="1850">
        <f>SUM(B45:B46)</f>
        <v>248121</v>
      </c>
      <c r="C47" s="1850">
        <f>SUM(C45:C46)</f>
        <v>253342</v>
      </c>
      <c r="D47" s="1850">
        <f>SUM(D45:D46)</f>
        <v>249433</v>
      </c>
      <c r="E47" s="1818">
        <f>D47/C47</f>
        <v>0.98457026470147069</v>
      </c>
      <c r="F47" s="1850">
        <f>SUM(F45:F46)</f>
        <v>0</v>
      </c>
      <c r="G47" s="1850">
        <f>SUM(G45:G46)</f>
        <v>5544</v>
      </c>
      <c r="H47" s="1850">
        <f>SUM(H45:H46)</f>
        <v>5544</v>
      </c>
      <c r="I47" s="1818">
        <f>H47/G47</f>
        <v>1</v>
      </c>
      <c r="J47" s="1850">
        <f>SUM(J45:J46)</f>
        <v>0</v>
      </c>
      <c r="K47" s="1850">
        <f>SUM(K45:K46)</f>
        <v>1000</v>
      </c>
      <c r="L47" s="1850">
        <f>SUM(L45:L46)</f>
        <v>1000</v>
      </c>
      <c r="M47" s="1818"/>
      <c r="N47" s="1850">
        <f>SUM(N45:N46)</f>
        <v>1850</v>
      </c>
      <c r="O47" s="1850">
        <f>SUM(O45:O46)</f>
        <v>2412</v>
      </c>
      <c r="P47" s="1850">
        <f>SUM(P45:P46)</f>
        <v>2411</v>
      </c>
      <c r="Q47" s="1818">
        <f>P47/O47</f>
        <v>0.99958540630182424</v>
      </c>
      <c r="R47" s="1850">
        <f>SUM(R45:R46)</f>
        <v>249971</v>
      </c>
      <c r="S47" s="1850">
        <f>SUM(S45:S46)</f>
        <v>262298</v>
      </c>
      <c r="T47" s="1850">
        <f>SUM(T45:T46)</f>
        <v>258388</v>
      </c>
      <c r="U47" s="1818">
        <f>T47/S47</f>
        <v>0.98509329083713948</v>
      </c>
      <c r="V47" s="1849" t="s">
        <v>1257</v>
      </c>
      <c r="W47" s="1850">
        <f>SUM(W45:W46)</f>
        <v>0</v>
      </c>
      <c r="X47" s="1850">
        <f>SUM(X45:X46)</f>
        <v>890</v>
      </c>
      <c r="Y47" s="1850">
        <f>SUM(Y45:Y46)</f>
        <v>890</v>
      </c>
      <c r="Z47" s="1818">
        <f>Y47/X47</f>
        <v>1</v>
      </c>
      <c r="AA47" s="1850">
        <f>SUM(AA45:AA46)</f>
        <v>0</v>
      </c>
      <c r="AB47" s="1850">
        <f>SUM(AB45:AB46)</f>
        <v>0</v>
      </c>
      <c r="AC47" s="1850">
        <f>SUM(AC45:AC46)</f>
        <v>0</v>
      </c>
      <c r="AD47" s="1818"/>
      <c r="AE47" s="1850">
        <f>SUM(AE45:AE46)</f>
        <v>0</v>
      </c>
      <c r="AF47" s="1850">
        <f>SUM(AF45:AF46)</f>
        <v>0</v>
      </c>
      <c r="AG47" s="1850">
        <f>SUM(AG45:AG46)</f>
        <v>0</v>
      </c>
      <c r="AH47" s="1818"/>
      <c r="AI47" s="1850">
        <f>SUM(AI45:AI46)</f>
        <v>0</v>
      </c>
      <c r="AJ47" s="1850">
        <f>SUM(AJ45:AJ46)</f>
        <v>890</v>
      </c>
      <c r="AK47" s="1850">
        <f>SUM(AK45:AK46)</f>
        <v>890</v>
      </c>
      <c r="AL47" s="1818">
        <f>AK47/AJ47</f>
        <v>1</v>
      </c>
      <c r="AM47" s="1850">
        <f>SUM(AM45:AM46)</f>
        <v>0</v>
      </c>
      <c r="AN47" s="1850">
        <f>SUM(AN45:AN46)</f>
        <v>14937</v>
      </c>
      <c r="AO47" s="1850">
        <f>SUM(AO45:AO46)</f>
        <v>14938</v>
      </c>
      <c r="AP47" s="1818">
        <f>AO47/AN47</f>
        <v>1.0000669478476267</v>
      </c>
      <c r="AQ47" s="1849" t="s">
        <v>1257</v>
      </c>
      <c r="AR47" s="1850">
        <f>SUM(AR45:AR46)</f>
        <v>2505631</v>
      </c>
      <c r="AS47" s="1850">
        <f>SUM(AS45:AS46)</f>
        <v>2737239</v>
      </c>
      <c r="AT47" s="1850">
        <f>SUM(AT45:AT46)</f>
        <v>2443566</v>
      </c>
      <c r="AU47" s="1818">
        <f>AT47/AS47</f>
        <v>0.89271196267479747</v>
      </c>
      <c r="AV47" s="1850">
        <f>SUM(AV45:AV46)</f>
        <v>18000</v>
      </c>
      <c r="AW47" s="1850">
        <f>SUM(AW45:AW46)</f>
        <v>58144</v>
      </c>
      <c r="AX47" s="1850">
        <f>SUM(AX45:AX46)</f>
        <v>50600</v>
      </c>
      <c r="AY47" s="1818">
        <f>AX47/AW47</f>
        <v>0.870253164556962</v>
      </c>
      <c r="AZ47" s="1850">
        <f>SUM(AZ45:AZ46)</f>
        <v>2523631</v>
      </c>
      <c r="BA47" s="1850">
        <f>SUM(BA45:BA46)</f>
        <v>2795383</v>
      </c>
      <c r="BB47" s="1850">
        <f>SUM(BB45:BB46)</f>
        <v>2494166</v>
      </c>
      <c r="BC47" s="1818">
        <f>BB47/BA47</f>
        <v>0.8922448194039958</v>
      </c>
      <c r="BD47" s="1850">
        <f>SUM(BD45:BD46)</f>
        <v>2773602</v>
      </c>
      <c r="BE47" s="1850">
        <f>SUM(BE45:BE46)</f>
        <v>3073508</v>
      </c>
      <c r="BF47" s="1850">
        <f>SUM(BF45:BF46)</f>
        <v>2768382</v>
      </c>
      <c r="BG47" s="1818">
        <f>BF47/BE47</f>
        <v>0.90072386341600541</v>
      </c>
      <c r="BH47" s="1805"/>
      <c r="BI47" s="1805"/>
      <c r="BJ47" s="1805"/>
      <c r="BK47" s="1805"/>
      <c r="BL47" s="1805"/>
      <c r="BM47" s="1805"/>
    </row>
    <row r="48" spans="1:65" s="763" customFormat="1" ht="75" customHeight="1" thickBot="1" x14ac:dyDescent="0.9">
      <c r="A48" s="1849" t="s">
        <v>1258</v>
      </c>
      <c r="B48" s="1846">
        <f>B37+B39+B41+B43+B47</f>
        <v>827531</v>
      </c>
      <c r="C48" s="1846">
        <f>C37+C39+C41+C43+C47</f>
        <v>1112047</v>
      </c>
      <c r="D48" s="1846">
        <f>D37+D39+D41+D43+D47</f>
        <v>1053558</v>
      </c>
      <c r="E48" s="1814">
        <f>D48/C48</f>
        <v>0.94740420144112614</v>
      </c>
      <c r="F48" s="1846">
        <f>F37+F39+F41+F43+F47</f>
        <v>645400</v>
      </c>
      <c r="G48" s="1846">
        <f>G37+G39+G41+G43+G47</f>
        <v>837578</v>
      </c>
      <c r="H48" s="1846">
        <f>H37+H39+H41+H43+H47</f>
        <v>834447</v>
      </c>
      <c r="I48" s="1814">
        <f>H48/G48</f>
        <v>0.99626184068827017</v>
      </c>
      <c r="J48" s="1846">
        <f>J37+J39+J41+J43+J47</f>
        <v>0</v>
      </c>
      <c r="K48" s="1846">
        <f>K37+K39+K41+K43+K47</f>
        <v>17174</v>
      </c>
      <c r="L48" s="1846">
        <f>L37+L39+L41+L43+L47</f>
        <v>17174</v>
      </c>
      <c r="M48" s="1814">
        <f>L48/K48</f>
        <v>1</v>
      </c>
      <c r="N48" s="1846">
        <f>N37+N39+N41+N43+N47</f>
        <v>1850</v>
      </c>
      <c r="O48" s="1846">
        <f>O37+O39+O41+O43+O47</f>
        <v>2412</v>
      </c>
      <c r="P48" s="1846">
        <f>P37+P39+P41+P43+P47</f>
        <v>2411</v>
      </c>
      <c r="Q48" s="1814">
        <f>P48/O48</f>
        <v>0.99958540630182424</v>
      </c>
      <c r="R48" s="1846">
        <f>R37+R39+R41+R43+R47</f>
        <v>1474781</v>
      </c>
      <c r="S48" s="1846">
        <f>S37+S39+S41+S43+S47</f>
        <v>1969211</v>
      </c>
      <c r="T48" s="1846">
        <f>T37+T39+T41+T43+T47</f>
        <v>1907590</v>
      </c>
      <c r="U48" s="1814">
        <f>T48/S48</f>
        <v>0.96870777179286527</v>
      </c>
      <c r="V48" s="1849" t="s">
        <v>1258</v>
      </c>
      <c r="W48" s="1846">
        <f>W37+W39+W41+W43+W47</f>
        <v>0</v>
      </c>
      <c r="X48" s="1846">
        <f>X37+X39+X41+X43+X47</f>
        <v>4152</v>
      </c>
      <c r="Y48" s="1846">
        <f>Y37+Y39+Y41+Y43+Y47</f>
        <v>4152</v>
      </c>
      <c r="Z48" s="1814">
        <f>Y48/X48</f>
        <v>1</v>
      </c>
      <c r="AA48" s="1846">
        <f>AA37+AA39+AA41+AA43+AA47</f>
        <v>2995</v>
      </c>
      <c r="AB48" s="1846">
        <f>AB37+AB39+AB41+AB43+AB47</f>
        <v>34475</v>
      </c>
      <c r="AC48" s="1846">
        <f>AC37+AC39+AC41+AC43+AC47</f>
        <v>34476</v>
      </c>
      <c r="AD48" s="1814">
        <f>AC48/AB48</f>
        <v>1.0000290065264685</v>
      </c>
      <c r="AE48" s="1846">
        <f>AE37+AE39+AE41+AE43+AE47</f>
        <v>0</v>
      </c>
      <c r="AF48" s="1846">
        <f>AF37+AF39+AF41+AF43+AF47</f>
        <v>0</v>
      </c>
      <c r="AG48" s="1846">
        <f>AG37+AG39+AG41+AG43+AG47</f>
        <v>0</v>
      </c>
      <c r="AH48" s="1814"/>
      <c r="AI48" s="1846">
        <f>AI37+AI39+AI41+AI43+AI47</f>
        <v>2995</v>
      </c>
      <c r="AJ48" s="1846">
        <f>AJ37+AJ39+AJ41+AJ43+AJ47</f>
        <v>38627</v>
      </c>
      <c r="AK48" s="1846">
        <f>AK37+AK39+AK41+AK43+AK47</f>
        <v>38628</v>
      </c>
      <c r="AL48" s="1814">
        <f>AK48/AJ48</f>
        <v>1.000025888627126</v>
      </c>
      <c r="AM48" s="1846">
        <f>AM37+AM39+AM41+AM43+AM47</f>
        <v>0</v>
      </c>
      <c r="AN48" s="1846">
        <f>AN37+AN39+AN41+AN43+AN47</f>
        <v>432429</v>
      </c>
      <c r="AO48" s="1846">
        <f>AO37+AO39+AO41+AO43+AO47</f>
        <v>432431</v>
      </c>
      <c r="AP48" s="1814">
        <f>AO48/AN48</f>
        <v>1.0000046250367112</v>
      </c>
      <c r="AQ48" s="1849" t="s">
        <v>1258</v>
      </c>
      <c r="AR48" s="1846">
        <f>AR37+AR39+AR41+AR43+AR47</f>
        <v>6948377</v>
      </c>
      <c r="AS48" s="1846">
        <f>AS37+AS39+AS41+AS43+AS47</f>
        <v>7975601</v>
      </c>
      <c r="AT48" s="1846">
        <f>AT37+AT39+AT41+AT43+AT47</f>
        <v>7422400</v>
      </c>
      <c r="AU48" s="1814">
        <f>AT48/AS48</f>
        <v>0.93063833057847301</v>
      </c>
      <c r="AV48" s="1846">
        <f>AV37+AV39+AV41+AV43+AV47</f>
        <v>19778</v>
      </c>
      <c r="AW48" s="1846">
        <f>AW37+AW39+AW41+AW43+AW47</f>
        <v>305200</v>
      </c>
      <c r="AX48" s="1846">
        <f>AX37+AX39+AX41+AX43+AX47</f>
        <v>141281</v>
      </c>
      <c r="AY48" s="1814">
        <f>AX48/AW48</f>
        <v>0.46291284403669725</v>
      </c>
      <c r="AZ48" s="1846">
        <f>AZ37+AZ39+AZ41+AZ43+AZ47</f>
        <v>6968155</v>
      </c>
      <c r="BA48" s="1846">
        <f>BA37+BA39+BA41+BA43+BA47</f>
        <v>8280801</v>
      </c>
      <c r="BB48" s="1846">
        <f>BB37+BB39+BB41+BB43+BB47</f>
        <v>7563681</v>
      </c>
      <c r="BC48" s="1814">
        <f>BB48/BA48</f>
        <v>0.91339968198728605</v>
      </c>
      <c r="BD48" s="1846">
        <f>BD37+BD39+BD41+BD43+BD47</f>
        <v>8445931</v>
      </c>
      <c r="BE48" s="1846">
        <f>BE37+BE39+BE41+BE43+BE47</f>
        <v>10721068</v>
      </c>
      <c r="BF48" s="1846">
        <f>BF37+BF39+BF41+BF43+BF47</f>
        <v>9942330</v>
      </c>
      <c r="BG48" s="1814">
        <f>BF48/BE48</f>
        <v>0.9273637663710369</v>
      </c>
      <c r="BH48" s="1805"/>
      <c r="BI48" s="1805"/>
      <c r="BJ48" s="1805"/>
      <c r="BK48" s="1805"/>
      <c r="BL48" s="1805"/>
      <c r="BM48" s="1805"/>
    </row>
    <row r="49" spans="1:65" s="763" customFormat="1" ht="75" customHeight="1" thickBot="1" x14ac:dyDescent="0.9">
      <c r="A49" s="1830" t="s">
        <v>1259</v>
      </c>
      <c r="B49" s="1813">
        <f>B30+B48</f>
        <v>1397441</v>
      </c>
      <c r="C49" s="1813">
        <f>C30+C48</f>
        <v>1710143</v>
      </c>
      <c r="D49" s="1813">
        <f>D30+D48</f>
        <v>1651640</v>
      </c>
      <c r="E49" s="1804">
        <f>D49/C49</f>
        <v>0.96579058008599283</v>
      </c>
      <c r="F49" s="1813">
        <f>F30+F48</f>
        <v>645400</v>
      </c>
      <c r="G49" s="1813">
        <f>G30+G48</f>
        <v>843497</v>
      </c>
      <c r="H49" s="1813">
        <f>H30+H48</f>
        <v>840366</v>
      </c>
      <c r="I49" s="1814">
        <f>H49/G49</f>
        <v>0.99628807215674742</v>
      </c>
      <c r="J49" s="1813">
        <f>J30+J48</f>
        <v>0</v>
      </c>
      <c r="K49" s="1813">
        <f>K30+K48</f>
        <v>17905</v>
      </c>
      <c r="L49" s="1813">
        <f>L30+L48</f>
        <v>17905</v>
      </c>
      <c r="M49" s="1814">
        <f>L49/K49</f>
        <v>1</v>
      </c>
      <c r="N49" s="1813">
        <f>N30+N48</f>
        <v>1850</v>
      </c>
      <c r="O49" s="1813">
        <f>O30+O48</f>
        <v>2412</v>
      </c>
      <c r="P49" s="1813">
        <f>P30+P48</f>
        <v>2411</v>
      </c>
      <c r="Q49" s="1814">
        <f>P49/O49</f>
        <v>0.99958540630182424</v>
      </c>
      <c r="R49" s="1813">
        <f>R30+R48</f>
        <v>2044691</v>
      </c>
      <c r="S49" s="1813">
        <f>S30+S48</f>
        <v>2573957</v>
      </c>
      <c r="T49" s="1813">
        <f>T30+T48</f>
        <v>2512322</v>
      </c>
      <c r="U49" s="1814">
        <f>T49/S49</f>
        <v>0.97605437853079913</v>
      </c>
      <c r="V49" s="1851" t="s">
        <v>1259</v>
      </c>
      <c r="W49" s="1813">
        <f>W30+W48</f>
        <v>0</v>
      </c>
      <c r="X49" s="1813">
        <f>X30+X48</f>
        <v>4357</v>
      </c>
      <c r="Y49" s="1813">
        <f>Y30+Y48</f>
        <v>4357</v>
      </c>
      <c r="Z49" s="1814">
        <f>Y49/X49</f>
        <v>1</v>
      </c>
      <c r="AA49" s="1813">
        <f>AA30+AA48</f>
        <v>2995</v>
      </c>
      <c r="AB49" s="1813">
        <f>AB30+AB48</f>
        <v>34475</v>
      </c>
      <c r="AC49" s="1813">
        <f>AC30+AC48</f>
        <v>34476</v>
      </c>
      <c r="AD49" s="1814">
        <f>AC49/AB49</f>
        <v>1.0000290065264685</v>
      </c>
      <c r="AE49" s="1813">
        <f>AE30+AE48</f>
        <v>0</v>
      </c>
      <c r="AF49" s="1813">
        <f>AF30+AF48</f>
        <v>0</v>
      </c>
      <c r="AG49" s="1813">
        <f>AG30+AG48</f>
        <v>0</v>
      </c>
      <c r="AH49" s="1814"/>
      <c r="AI49" s="1813">
        <f>AI30+AI48</f>
        <v>2995</v>
      </c>
      <c r="AJ49" s="1813">
        <f>AJ30+AJ48</f>
        <v>38832</v>
      </c>
      <c r="AK49" s="1813">
        <f>AK30+AK48</f>
        <v>38833</v>
      </c>
      <c r="AL49" s="1814">
        <f>AK49/AJ49</f>
        <v>1.0000257519571487</v>
      </c>
      <c r="AM49" s="1813">
        <f>AM30+AM48</f>
        <v>0</v>
      </c>
      <c r="AN49" s="1813">
        <f>AN30+AN48</f>
        <v>483144</v>
      </c>
      <c r="AO49" s="1813">
        <f>AO30+AO48</f>
        <v>483144</v>
      </c>
      <c r="AP49" s="1814">
        <f>AO49/AN49</f>
        <v>1</v>
      </c>
      <c r="AQ49" s="1851" t="s">
        <v>1259</v>
      </c>
      <c r="AR49" s="1813">
        <f>AR30+AR48</f>
        <v>11029144</v>
      </c>
      <c r="AS49" s="1813">
        <f>AS30+AS48</f>
        <v>12324372</v>
      </c>
      <c r="AT49" s="1813">
        <f>AT30+AT48</f>
        <v>11450476</v>
      </c>
      <c r="AU49" s="1814">
        <f>AT49/AS49</f>
        <v>0.92909204623164576</v>
      </c>
      <c r="AV49" s="1813">
        <f>AV30+AV48</f>
        <v>19778</v>
      </c>
      <c r="AW49" s="1813">
        <f>AW30+AW48</f>
        <v>493984</v>
      </c>
      <c r="AX49" s="1813">
        <f>AX30+AX48</f>
        <v>234647</v>
      </c>
      <c r="AY49" s="1814">
        <f>AX49/AW49</f>
        <v>0.4750093120424953</v>
      </c>
      <c r="AZ49" s="1813">
        <f>AZ30+AZ48</f>
        <v>11048922</v>
      </c>
      <c r="BA49" s="1813">
        <f>BA30+BA48</f>
        <v>12818356</v>
      </c>
      <c r="BB49" s="1813">
        <f>BB30+BB48</f>
        <v>11685123</v>
      </c>
      <c r="BC49" s="1814">
        <f>BB49/BA49</f>
        <v>0.91159295310568689</v>
      </c>
      <c r="BD49" s="1813">
        <f>BD30+BD48</f>
        <v>13096608</v>
      </c>
      <c r="BE49" s="1813">
        <f>BE30+BE48</f>
        <v>15914289</v>
      </c>
      <c r="BF49" s="1813">
        <f>BF30+BF48</f>
        <v>14719422</v>
      </c>
      <c r="BG49" s="1814">
        <f>BF49/BE49</f>
        <v>0.92491860616581745</v>
      </c>
      <c r="BH49" s="1805"/>
      <c r="BI49" s="1805"/>
      <c r="BJ49" s="1805"/>
      <c r="BK49" s="1805"/>
      <c r="BL49" s="1805"/>
      <c r="BM49" s="1805"/>
    </row>
    <row r="50" spans="1:65" ht="26.45" customHeight="1" x14ac:dyDescent="0.7">
      <c r="A50" s="768"/>
      <c r="B50" s="759"/>
      <c r="C50" s="759"/>
      <c r="D50" s="759"/>
      <c r="E50" s="759"/>
      <c r="F50" s="759"/>
      <c r="G50" s="759"/>
      <c r="H50" s="759"/>
      <c r="I50" s="759"/>
      <c r="J50" s="759"/>
      <c r="K50" s="759"/>
      <c r="L50" s="759"/>
      <c r="M50" s="759"/>
      <c r="N50" s="759"/>
      <c r="O50" s="759"/>
      <c r="P50" s="759"/>
      <c r="Q50" s="759"/>
      <c r="R50" s="759"/>
      <c r="S50" s="759"/>
      <c r="T50" s="759"/>
      <c r="U50" s="759"/>
      <c r="V50" s="768"/>
      <c r="W50" s="759"/>
      <c r="X50" s="759"/>
      <c r="Y50" s="759"/>
      <c r="Z50" s="759"/>
      <c r="AA50" s="759"/>
      <c r="AB50" s="759"/>
      <c r="AC50" s="759"/>
      <c r="AD50" s="759"/>
      <c r="AE50" s="759"/>
      <c r="AF50" s="759"/>
      <c r="AG50" s="759"/>
      <c r="AH50" s="759"/>
      <c r="AI50" s="759"/>
      <c r="AJ50" s="759"/>
      <c r="AK50" s="759"/>
      <c r="AL50" s="759"/>
      <c r="AM50" s="768"/>
      <c r="AN50" s="768"/>
      <c r="AO50" s="768"/>
      <c r="AP50" s="768"/>
      <c r="AQ50" s="768"/>
      <c r="AR50" s="768"/>
      <c r="AS50" s="768"/>
      <c r="AT50" s="768"/>
      <c r="AU50" s="768"/>
      <c r="AV50" s="768"/>
      <c r="AW50" s="768"/>
      <c r="AX50" s="768"/>
      <c r="AY50" s="768"/>
      <c r="AZ50" s="768"/>
      <c r="BA50" s="768"/>
      <c r="BB50" s="761"/>
      <c r="BC50" s="761"/>
      <c r="BD50" s="761"/>
      <c r="BE50" s="761"/>
      <c r="BF50" s="759"/>
      <c r="BG50" s="759"/>
      <c r="BH50" s="758"/>
      <c r="BI50" s="758"/>
      <c r="BJ50" s="758"/>
      <c r="BK50" s="758"/>
      <c r="BL50" s="758"/>
      <c r="BM50" s="758"/>
    </row>
    <row r="51" spans="1:65" ht="26.45" customHeight="1" x14ac:dyDescent="0.6">
      <c r="A51" s="769"/>
      <c r="V51" s="769"/>
      <c r="AM51" s="769"/>
      <c r="AN51" s="769"/>
      <c r="AO51" s="769"/>
      <c r="AP51" s="769"/>
      <c r="AQ51" s="769"/>
      <c r="AR51" s="769"/>
      <c r="AS51" s="769"/>
      <c r="AT51" s="769"/>
      <c r="AU51" s="769"/>
      <c r="AV51" s="769"/>
      <c r="AW51" s="769"/>
      <c r="AX51" s="769"/>
      <c r="AY51" s="769"/>
      <c r="AZ51" s="769"/>
      <c r="BA51" s="769"/>
    </row>
    <row r="52" spans="1:65" ht="26.45" customHeight="1" x14ac:dyDescent="0.6">
      <c r="A52" s="769"/>
      <c r="V52" s="769"/>
      <c r="AM52" s="769"/>
      <c r="AN52" s="769"/>
      <c r="AO52" s="769"/>
      <c r="AP52" s="769"/>
      <c r="AQ52" s="769"/>
      <c r="AR52" s="769"/>
      <c r="AS52" s="769"/>
      <c r="AT52" s="769"/>
      <c r="AU52" s="769"/>
      <c r="AV52" s="769"/>
      <c r="AW52" s="769"/>
      <c r="AX52" s="769"/>
      <c r="AY52" s="769"/>
      <c r="AZ52" s="769"/>
      <c r="BA52" s="769"/>
    </row>
    <row r="53" spans="1:65" ht="26.45" customHeight="1" x14ac:dyDescent="0.6">
      <c r="V53" s="762"/>
      <c r="AQ53" s="762"/>
    </row>
    <row r="54" spans="1:65" ht="26.45" customHeight="1" x14ac:dyDescent="0.6">
      <c r="V54" s="762"/>
      <c r="AQ54" s="762"/>
    </row>
    <row r="55" spans="1:65" ht="26.45" customHeight="1" x14ac:dyDescent="0.6">
      <c r="V55" s="762"/>
      <c r="AQ55" s="762"/>
    </row>
    <row r="56" spans="1:65" ht="26.45" customHeight="1" x14ac:dyDescent="0.6">
      <c r="V56" s="762"/>
      <c r="AQ56" s="762"/>
    </row>
    <row r="57" spans="1:65" ht="26.45" customHeight="1" x14ac:dyDescent="0.6">
      <c r="V57" s="762"/>
      <c r="AQ57" s="762"/>
    </row>
    <row r="58" spans="1:65" ht="26.45" customHeight="1" x14ac:dyDescent="0.6">
      <c r="V58" s="762"/>
      <c r="AQ58" s="762"/>
    </row>
    <row r="59" spans="1:65" ht="26.45" customHeight="1" x14ac:dyDescent="0.6">
      <c r="V59" s="762"/>
      <c r="AQ59" s="762"/>
    </row>
    <row r="60" spans="1:65" ht="26.45" customHeight="1" x14ac:dyDescent="0.6">
      <c r="V60" s="762"/>
      <c r="AQ60" s="762"/>
    </row>
  </sheetData>
  <mergeCells count="23">
    <mergeCell ref="AZ6:BC7"/>
    <mergeCell ref="AV7:AY7"/>
    <mergeCell ref="AA6:AD7"/>
    <mergeCell ref="AE6:AH7"/>
    <mergeCell ref="AI6:AL7"/>
    <mergeCell ref="AM6:AP7"/>
    <mergeCell ref="AR6:AY6"/>
    <mergeCell ref="W6:Z7"/>
    <mergeCell ref="A3:U3"/>
    <mergeCell ref="V3:AP3"/>
    <mergeCell ref="AQ3:BG3"/>
    <mergeCell ref="BH3:BM3"/>
    <mergeCell ref="A4:U4"/>
    <mergeCell ref="V4:AP4"/>
    <mergeCell ref="AQ4:BG4"/>
    <mergeCell ref="BH4:BM4"/>
    <mergeCell ref="B6:E7"/>
    <mergeCell ref="F6:I7"/>
    <mergeCell ref="J6:M7"/>
    <mergeCell ref="N6:Q7"/>
    <mergeCell ref="R6:U7"/>
    <mergeCell ref="BD6:BG7"/>
    <mergeCell ref="AR7:AU7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12" orientation="landscape" r:id="rId1"/>
  <headerFooter alignWithMargins="0">
    <oddHeader xml:space="preserve">&amp;L&amp;20
&amp;R&amp;26
 &amp;"Calibri,Félkövér"&amp;48 4. melléklet a 10/2024. (V.31.) önkormányzati rendelethez 
 </oddHeader>
    <oddFooter xml:space="preserve">&amp;C &amp;R
&amp;36 &amp;10
</oddFooter>
  </headerFooter>
  <colBreaks count="2" manualBreakCount="2">
    <brk id="21" max="49" man="1"/>
    <brk id="42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A5A44-AA78-4CFB-B837-B25BFE205CB0}">
  <dimension ref="A1:E98"/>
  <sheetViews>
    <sheetView view="pageLayout" topLeftCell="A47" zoomScaleNormal="100" workbookViewId="0">
      <selection activeCell="D98" sqref="D98"/>
    </sheetView>
  </sheetViews>
  <sheetFormatPr defaultColWidth="10.33203125" defaultRowHeight="18" x14ac:dyDescent="0.25"/>
  <cols>
    <col min="1" max="1" width="106.33203125" style="953" customWidth="1"/>
    <col min="2" max="3" width="24.6640625" style="876" customWidth="1"/>
    <col min="4" max="5" width="23.5" style="876" customWidth="1"/>
    <col min="6" max="16384" width="10.33203125" style="878"/>
  </cols>
  <sheetData>
    <row r="1" spans="1:5" s="877" customFormat="1" ht="18.75" x14ac:dyDescent="0.3">
      <c r="A1" s="1922" t="s">
        <v>658</v>
      </c>
      <c r="B1" s="1922"/>
      <c r="C1" s="1922"/>
      <c r="D1" s="1922"/>
      <c r="E1" s="875"/>
    </row>
    <row r="2" spans="1:5" ht="18.75" x14ac:dyDescent="0.3">
      <c r="A2" s="1922" t="s">
        <v>1282</v>
      </c>
      <c r="B2" s="1922"/>
      <c r="C2" s="1922"/>
      <c r="D2" s="1922"/>
      <c r="E2" s="875"/>
    </row>
    <row r="3" spans="1:5" ht="18.75" x14ac:dyDescent="0.3">
      <c r="A3" s="1923" t="s">
        <v>1283</v>
      </c>
      <c r="B3" s="1923"/>
      <c r="C3" s="1923"/>
      <c r="D3" s="1923"/>
      <c r="E3" s="878"/>
    </row>
    <row r="4" spans="1:5" ht="19.5" thickBot="1" x14ac:dyDescent="0.35">
      <c r="A4" s="879"/>
      <c r="B4" s="880"/>
      <c r="C4" s="880"/>
      <c r="D4" s="880"/>
      <c r="E4" s="880" t="s">
        <v>15</v>
      </c>
    </row>
    <row r="5" spans="1:5" s="877" customFormat="1" ht="56.25" x14ac:dyDescent="0.3">
      <c r="A5" s="881" t="s">
        <v>1284</v>
      </c>
      <c r="B5" s="882" t="s">
        <v>1285</v>
      </c>
      <c r="C5" s="883" t="s">
        <v>1286</v>
      </c>
      <c r="D5" s="883" t="s">
        <v>1287</v>
      </c>
      <c r="E5" s="883" t="s">
        <v>1288</v>
      </c>
    </row>
    <row r="6" spans="1:5" ht="37.5" x14ac:dyDescent="0.3">
      <c r="A6" s="884" t="s">
        <v>1289</v>
      </c>
      <c r="B6" s="885"/>
      <c r="C6" s="885"/>
      <c r="D6" s="885"/>
      <c r="E6" s="885"/>
    </row>
    <row r="7" spans="1:5" ht="21" x14ac:dyDescent="0.35">
      <c r="A7" s="886" t="s">
        <v>1290</v>
      </c>
      <c r="B7" s="887">
        <v>893561</v>
      </c>
      <c r="C7" s="888">
        <v>947785</v>
      </c>
      <c r="D7" s="888">
        <f>[5]zárszámelszalap!D7+[5]zárszámkiegtám!D7+C7</f>
        <v>947785</v>
      </c>
      <c r="E7" s="888">
        <f>D7-C7</f>
        <v>0</v>
      </c>
    </row>
    <row r="8" spans="1:5" ht="38.25" customHeight="1" x14ac:dyDescent="0.35">
      <c r="A8" s="889" t="s">
        <v>1291</v>
      </c>
      <c r="B8" s="890">
        <v>83099</v>
      </c>
      <c r="C8" s="891">
        <v>83099</v>
      </c>
      <c r="D8" s="891">
        <f>[5]zárszámelszalap!D8+[5]zárszámkiegtám!D8+C8</f>
        <v>83099</v>
      </c>
      <c r="E8" s="891">
        <f t="shared" ref="E8:E14" si="0">D8-C8</f>
        <v>0</v>
      </c>
    </row>
    <row r="9" spans="1:5" ht="21" x14ac:dyDescent="0.35">
      <c r="A9" s="889" t="s">
        <v>1292</v>
      </c>
      <c r="B9" s="890">
        <v>216665</v>
      </c>
      <c r="C9" s="891">
        <v>216665</v>
      </c>
      <c r="D9" s="891">
        <f>[5]zárszámelszalap!D9+[5]zárszámkiegtám!D9+C9</f>
        <v>216665</v>
      </c>
      <c r="E9" s="891">
        <f t="shared" si="0"/>
        <v>0</v>
      </c>
    </row>
    <row r="10" spans="1:5" ht="52.5" customHeight="1" x14ac:dyDescent="0.35">
      <c r="A10" s="889" t="s">
        <v>1293</v>
      </c>
      <c r="B10" s="890">
        <v>100</v>
      </c>
      <c r="C10" s="891">
        <v>100</v>
      </c>
      <c r="D10" s="891">
        <f>[5]zárszámelszalap!D10+[5]zárszámkiegtám!D10+C10</f>
        <v>100</v>
      </c>
      <c r="E10" s="891">
        <f t="shared" si="0"/>
        <v>0</v>
      </c>
    </row>
    <row r="11" spans="1:5" ht="21" x14ac:dyDescent="0.35">
      <c r="A11" s="889" t="s">
        <v>1294</v>
      </c>
      <c r="B11" s="890">
        <v>130601</v>
      </c>
      <c r="C11" s="891">
        <v>130601</v>
      </c>
      <c r="D11" s="891">
        <f>[5]zárszámelszalap!D11+[5]zárszámkiegtám!D11+C11</f>
        <v>130601</v>
      </c>
      <c r="E11" s="891">
        <f t="shared" si="0"/>
        <v>0</v>
      </c>
    </row>
    <row r="12" spans="1:5" ht="37.5" customHeight="1" x14ac:dyDescent="0.35">
      <c r="A12" s="889" t="s">
        <v>1295</v>
      </c>
      <c r="B12" s="890">
        <v>210017</v>
      </c>
      <c r="C12" s="891">
        <v>210017</v>
      </c>
      <c r="D12" s="891">
        <f>[5]zárszámelszalap!D12+[5]zárszámkiegtám!D12+C12</f>
        <v>210017</v>
      </c>
      <c r="E12" s="891">
        <f t="shared" si="0"/>
        <v>0</v>
      </c>
    </row>
    <row r="13" spans="1:5" ht="21" x14ac:dyDescent="0.35">
      <c r="A13" s="889" t="s">
        <v>1296</v>
      </c>
      <c r="B13" s="890">
        <v>140</v>
      </c>
      <c r="C13" s="891">
        <v>140</v>
      </c>
      <c r="D13" s="891">
        <f>[5]zárszámelszalap!D13+[5]zárszámkiegtám!D13+C13</f>
        <v>140</v>
      </c>
      <c r="E13" s="891">
        <f t="shared" si="0"/>
        <v>0</v>
      </c>
    </row>
    <row r="14" spans="1:5" ht="21.75" thickBot="1" x14ac:dyDescent="0.4">
      <c r="A14" s="892" t="s">
        <v>1297</v>
      </c>
      <c r="B14" s="890">
        <v>35</v>
      </c>
      <c r="C14" s="891">
        <v>34</v>
      </c>
      <c r="D14" s="891">
        <f>[5]zárszámelszalap!D14+[5]zárszámkiegtám!D14+C14</f>
        <v>38</v>
      </c>
      <c r="E14" s="891">
        <f t="shared" si="0"/>
        <v>4</v>
      </c>
    </row>
    <row r="15" spans="1:5" s="895" customFormat="1" ht="39.75" thickTop="1" thickBot="1" x14ac:dyDescent="0.4">
      <c r="A15" s="893" t="s">
        <v>1298</v>
      </c>
      <c r="B15" s="894">
        <f t="shared" ref="B15:E15" si="1">SUM(B6:B14)</f>
        <v>1534218</v>
      </c>
      <c r="C15" s="894">
        <f t="shared" si="1"/>
        <v>1588441</v>
      </c>
      <c r="D15" s="894">
        <f t="shared" si="1"/>
        <v>1588445</v>
      </c>
      <c r="E15" s="894">
        <f t="shared" si="1"/>
        <v>4</v>
      </c>
    </row>
    <row r="16" spans="1:5" s="895" customFormat="1" ht="39" thickTop="1" x14ac:dyDescent="0.35">
      <c r="A16" s="896" t="s">
        <v>1299</v>
      </c>
      <c r="B16" s="897"/>
      <c r="C16" s="897"/>
      <c r="D16" s="897"/>
      <c r="E16" s="897"/>
    </row>
    <row r="17" spans="1:5" ht="21" x14ac:dyDescent="0.35">
      <c r="A17" s="898" t="s">
        <v>1300</v>
      </c>
      <c r="B17" s="899"/>
      <c r="C17" s="899"/>
      <c r="D17" s="899"/>
      <c r="E17" s="899"/>
    </row>
    <row r="18" spans="1:5" ht="38.25" x14ac:dyDescent="0.35">
      <c r="A18" s="900" t="s">
        <v>1301</v>
      </c>
      <c r="B18" s="887">
        <v>291759</v>
      </c>
      <c r="C18" s="888">
        <v>304373</v>
      </c>
      <c r="D18" s="888">
        <f>[5]zárszámelszalap!D18+[5]zárszámkiegtám!D18+C18</f>
        <v>304866</v>
      </c>
      <c r="E18" s="888">
        <f t="shared" ref="E18:E45" si="2">D18-C18</f>
        <v>493</v>
      </c>
    </row>
    <row r="19" spans="1:5" ht="21" x14ac:dyDescent="0.35">
      <c r="A19" s="896" t="s">
        <v>1302</v>
      </c>
      <c r="B19" s="901"/>
      <c r="C19" s="902"/>
      <c r="D19" s="902">
        <f>[5]zárszámelszalap!D19+[5]zárszámkiegtám!D19+C19</f>
        <v>0</v>
      </c>
      <c r="E19" s="902">
        <f t="shared" si="2"/>
        <v>0</v>
      </c>
    </row>
    <row r="20" spans="1:5" ht="21" x14ac:dyDescent="0.35">
      <c r="A20" s="903" t="s">
        <v>1303</v>
      </c>
      <c r="B20" s="887">
        <v>1087841</v>
      </c>
      <c r="C20" s="888">
        <v>1275645</v>
      </c>
      <c r="D20" s="888">
        <f>[5]zárszámelszalap!D20+[5]zárszámkiegtám!D20+C20</f>
        <v>1277507</v>
      </c>
      <c r="E20" s="888">
        <f t="shared" si="2"/>
        <v>1862</v>
      </c>
    </row>
    <row r="21" spans="1:5" ht="21" x14ac:dyDescent="0.35">
      <c r="A21" s="904" t="s">
        <v>1304</v>
      </c>
      <c r="B21" s="901"/>
      <c r="C21" s="902"/>
      <c r="D21" s="902">
        <f>[5]zárszámelszalap!D21+[5]zárszámkiegtám!D21+C21</f>
        <v>0</v>
      </c>
      <c r="E21" s="902">
        <f t="shared" si="2"/>
        <v>0</v>
      </c>
    </row>
    <row r="22" spans="1:5" ht="38.25" x14ac:dyDescent="0.35">
      <c r="A22" s="905" t="s">
        <v>1305</v>
      </c>
      <c r="B22" s="906"/>
      <c r="C22" s="899">
        <v>0</v>
      </c>
      <c r="D22" s="899">
        <f>[5]zárszámelszalap!D22+[5]zárszámkiegtám!D22+C22</f>
        <v>0</v>
      </c>
      <c r="E22" s="899">
        <f t="shared" si="2"/>
        <v>0</v>
      </c>
    </row>
    <row r="23" spans="1:5" ht="38.25" x14ac:dyDescent="0.35">
      <c r="A23" s="907" t="s">
        <v>1306</v>
      </c>
      <c r="B23" s="887">
        <v>8116</v>
      </c>
      <c r="C23" s="888">
        <v>8116</v>
      </c>
      <c r="D23" s="888">
        <f>[5]zárszámelszalap!D23+[5]zárszámkiegtám!D23+C23</f>
        <v>8116</v>
      </c>
      <c r="E23" s="888">
        <f t="shared" si="2"/>
        <v>0</v>
      </c>
    </row>
    <row r="24" spans="1:5" ht="38.25" x14ac:dyDescent="0.35">
      <c r="A24" s="898" t="s">
        <v>1307</v>
      </c>
      <c r="B24" s="906"/>
      <c r="C24" s="899"/>
      <c r="D24" s="899">
        <f>[5]zárszámelszalap!D24+[5]zárszámkiegtám!D24+C24</f>
        <v>0</v>
      </c>
      <c r="E24" s="899">
        <f t="shared" si="2"/>
        <v>0</v>
      </c>
    </row>
    <row r="25" spans="1:5" ht="38.25" x14ac:dyDescent="0.35">
      <c r="A25" s="905" t="s">
        <v>1308</v>
      </c>
      <c r="B25" s="906"/>
      <c r="C25" s="899"/>
      <c r="D25" s="899">
        <f>[5]zárszámelszalap!D25+[5]zárszámkiegtám!D25+C25</f>
        <v>0</v>
      </c>
      <c r="E25" s="899">
        <f t="shared" si="2"/>
        <v>0</v>
      </c>
    </row>
    <row r="26" spans="1:5" ht="38.25" x14ac:dyDescent="0.35">
      <c r="A26" s="886" t="s">
        <v>1309</v>
      </c>
      <c r="B26" s="887">
        <v>542920</v>
      </c>
      <c r="C26" s="888">
        <v>617614</v>
      </c>
      <c r="D26" s="888">
        <f>[5]zárszámelszalap!D26+[5]zárszámkiegtám!D26+C26</f>
        <v>617614</v>
      </c>
      <c r="E26" s="888">
        <f t="shared" si="2"/>
        <v>0</v>
      </c>
    </row>
    <row r="27" spans="1:5" ht="39" thickBot="1" x14ac:dyDescent="0.4">
      <c r="A27" s="908" t="s">
        <v>1310</v>
      </c>
      <c r="B27" s="909">
        <v>36840</v>
      </c>
      <c r="C27" s="910">
        <v>43452</v>
      </c>
      <c r="D27" s="910">
        <f>[5]zárszámelszalap!D27+[5]zárszámkiegtám!D27+C27</f>
        <v>43452</v>
      </c>
      <c r="E27" s="910">
        <f t="shared" si="2"/>
        <v>0</v>
      </c>
    </row>
    <row r="28" spans="1:5" s="877" customFormat="1" ht="39" thickTop="1" x14ac:dyDescent="0.35">
      <c r="A28" s="911" t="s">
        <v>1311</v>
      </c>
      <c r="B28" s="906"/>
      <c r="C28" s="899"/>
      <c r="D28" s="899">
        <f>[5]zárszámelszalap!D28+[5]zárszámkiegtám!D28+C28</f>
        <v>0</v>
      </c>
      <c r="E28" s="899">
        <f t="shared" si="2"/>
        <v>0</v>
      </c>
    </row>
    <row r="29" spans="1:5" s="877" customFormat="1" ht="21" x14ac:dyDescent="0.35">
      <c r="A29" s="898" t="s">
        <v>1312</v>
      </c>
      <c r="B29" s="906"/>
      <c r="C29" s="899"/>
      <c r="D29" s="899">
        <f>[5]zárszámelszalap!D29+[5]zárszámkiegtám!D29+C29</f>
        <v>0</v>
      </c>
      <c r="E29" s="899">
        <f t="shared" si="2"/>
        <v>0</v>
      </c>
    </row>
    <row r="30" spans="1:5" ht="38.25" x14ac:dyDescent="0.35">
      <c r="A30" s="905" t="s">
        <v>1313</v>
      </c>
      <c r="B30" s="906"/>
      <c r="C30" s="899"/>
      <c r="D30" s="899">
        <f>[5]zárszámelszalap!D30+[5]zárszámkiegtám!D30+C30</f>
        <v>0</v>
      </c>
      <c r="E30" s="899">
        <f t="shared" si="2"/>
        <v>0</v>
      </c>
    </row>
    <row r="31" spans="1:5" s="877" customFormat="1" ht="21" x14ac:dyDescent="0.35">
      <c r="A31" s="898" t="s">
        <v>1314</v>
      </c>
      <c r="B31" s="906"/>
      <c r="C31" s="899"/>
      <c r="D31" s="899">
        <f>[5]zárszámelszalap!D31+[5]zárszámkiegtám!D31+C31</f>
        <v>0</v>
      </c>
      <c r="E31" s="899">
        <f t="shared" si="2"/>
        <v>0</v>
      </c>
    </row>
    <row r="32" spans="1:5" ht="38.25" x14ac:dyDescent="0.35">
      <c r="A32" s="886" t="s">
        <v>1315</v>
      </c>
      <c r="B32" s="887">
        <v>28810</v>
      </c>
      <c r="C32" s="888">
        <v>32512</v>
      </c>
      <c r="D32" s="888">
        <f>[5]zárszámelszalap!D32+[5]zárszámkiegtám!D32+C32</f>
        <v>32566</v>
      </c>
      <c r="E32" s="888">
        <f t="shared" si="2"/>
        <v>54</v>
      </c>
    </row>
    <row r="33" spans="1:5" ht="38.25" x14ac:dyDescent="0.35">
      <c r="A33" s="886" t="s">
        <v>1316</v>
      </c>
      <c r="B33" s="890">
        <v>27555</v>
      </c>
      <c r="C33" s="891">
        <v>30856</v>
      </c>
      <c r="D33" s="891">
        <f>[5]zárszámelszalap!D33+[5]zárszámkiegtám!D33+C33</f>
        <v>30856</v>
      </c>
      <c r="E33" s="891">
        <f t="shared" si="2"/>
        <v>0</v>
      </c>
    </row>
    <row r="34" spans="1:5" ht="21" x14ac:dyDescent="0.35">
      <c r="A34" s="911" t="s">
        <v>1317</v>
      </c>
      <c r="B34" s="901"/>
      <c r="C34" s="902"/>
      <c r="D34" s="902">
        <f>[5]zárszámelszalap!D34+[5]zárszámkiegtám!D34+C34</f>
        <v>0</v>
      </c>
      <c r="E34" s="902">
        <f t="shared" si="2"/>
        <v>0</v>
      </c>
    </row>
    <row r="35" spans="1:5" ht="38.25" x14ac:dyDescent="0.35">
      <c r="A35" s="886" t="s">
        <v>1318</v>
      </c>
      <c r="B35" s="887">
        <v>1126</v>
      </c>
      <c r="C35" s="888">
        <v>1285</v>
      </c>
      <c r="D35" s="888">
        <f>[5]zárszámelszalap!D35+[5]zárszámkiegtám!D35+C35</f>
        <v>1285</v>
      </c>
      <c r="E35" s="888">
        <f t="shared" si="2"/>
        <v>0</v>
      </c>
    </row>
    <row r="36" spans="1:5" ht="38.25" x14ac:dyDescent="0.35">
      <c r="A36" s="886" t="s">
        <v>1319</v>
      </c>
      <c r="B36" s="890">
        <v>1970</v>
      </c>
      <c r="C36" s="891">
        <v>2249</v>
      </c>
      <c r="D36" s="891">
        <f>[5]zárszámelszalap!D36+[5]zárszámkiegtám!D36+C36</f>
        <v>2249</v>
      </c>
      <c r="E36" s="891">
        <f t="shared" si="2"/>
        <v>0</v>
      </c>
    </row>
    <row r="37" spans="1:5" s="914" customFormat="1" ht="21" x14ac:dyDescent="0.35">
      <c r="A37" s="904" t="s">
        <v>1320</v>
      </c>
      <c r="B37" s="912"/>
      <c r="C37" s="913"/>
      <c r="D37" s="913">
        <f>[5]zárszámelszalap!D37+[5]zárszámkiegtám!D37+C37</f>
        <v>0</v>
      </c>
      <c r="E37" s="913">
        <f t="shared" si="2"/>
        <v>0</v>
      </c>
    </row>
    <row r="38" spans="1:5" ht="38.25" x14ac:dyDescent="0.35">
      <c r="A38" s="905" t="s">
        <v>1321</v>
      </c>
      <c r="B38" s="906"/>
      <c r="C38" s="899"/>
      <c r="D38" s="899">
        <f>[5]zárszámelszalap!D38+[5]zárszámkiegtám!D38+C38</f>
        <v>0</v>
      </c>
      <c r="E38" s="899">
        <f t="shared" si="2"/>
        <v>0</v>
      </c>
    </row>
    <row r="39" spans="1:5" s="877" customFormat="1" ht="21" x14ac:dyDescent="0.35">
      <c r="A39" s="898" t="s">
        <v>1322</v>
      </c>
      <c r="B39" s="906"/>
      <c r="C39" s="899"/>
      <c r="D39" s="899">
        <f>[5]zárszámelszalap!D39+[5]zárszámkiegtám!D39+C39</f>
        <v>0</v>
      </c>
      <c r="E39" s="899">
        <f t="shared" si="2"/>
        <v>0</v>
      </c>
    </row>
    <row r="40" spans="1:5" ht="38.25" x14ac:dyDescent="0.35">
      <c r="A40" s="886" t="s">
        <v>1323</v>
      </c>
      <c r="B40" s="887"/>
      <c r="C40" s="888">
        <v>2105</v>
      </c>
      <c r="D40" s="888">
        <f>[5]zárszámelszalap!D40+[5]zárszámkiegtám!D40+C40</f>
        <v>2105</v>
      </c>
      <c r="E40" s="888">
        <f t="shared" si="2"/>
        <v>0</v>
      </c>
    </row>
    <row r="41" spans="1:5" ht="38.25" x14ac:dyDescent="0.35">
      <c r="A41" s="886" t="s">
        <v>1324</v>
      </c>
      <c r="B41" s="890"/>
      <c r="C41" s="891">
        <v>1826</v>
      </c>
      <c r="D41" s="891">
        <f>[5]zárszámelszalap!D41+[5]zárszámkiegtám!D41+C41</f>
        <v>1826</v>
      </c>
      <c r="E41" s="891">
        <f t="shared" si="2"/>
        <v>0</v>
      </c>
    </row>
    <row r="42" spans="1:5" ht="21" x14ac:dyDescent="0.35">
      <c r="A42" s="911" t="s">
        <v>1325</v>
      </c>
      <c r="B42" s="901"/>
      <c r="C42" s="902"/>
      <c r="D42" s="902">
        <f>[5]zárszámelszalap!D42+[5]zárszámkiegtám!D42+C42</f>
        <v>0</v>
      </c>
      <c r="E42" s="902">
        <f t="shared" si="2"/>
        <v>0</v>
      </c>
    </row>
    <row r="43" spans="1:5" ht="38.25" x14ac:dyDescent="0.35">
      <c r="A43" s="886" t="s">
        <v>1326</v>
      </c>
      <c r="B43" s="887"/>
      <c r="C43" s="888">
        <v>0</v>
      </c>
      <c r="D43" s="888">
        <f>[5]zárszámelszalap!D43+[5]zárszámkiegtám!D43+C43</f>
        <v>0</v>
      </c>
      <c r="E43" s="888">
        <f t="shared" si="2"/>
        <v>0</v>
      </c>
    </row>
    <row r="44" spans="1:5" ht="38.25" x14ac:dyDescent="0.35">
      <c r="A44" s="889" t="s">
        <v>1327</v>
      </c>
      <c r="B44" s="890"/>
      <c r="C44" s="891">
        <v>0</v>
      </c>
      <c r="D44" s="891">
        <f>[5]zárszámelszalap!D44+[5]zárszámkiegtám!D44+C44</f>
        <v>0</v>
      </c>
      <c r="E44" s="891">
        <f t="shared" si="2"/>
        <v>0</v>
      </c>
    </row>
    <row r="45" spans="1:5" ht="21.75" thickBot="1" x14ac:dyDescent="0.4">
      <c r="A45" s="889" t="s">
        <v>1328</v>
      </c>
      <c r="B45" s="890">
        <v>480</v>
      </c>
      <c r="C45" s="891">
        <v>768</v>
      </c>
      <c r="D45" s="891">
        <f>[5]zárszámelszalap!D45+[5]zárszámkiegtám!D45+C45</f>
        <v>912</v>
      </c>
      <c r="E45" s="891">
        <f t="shared" si="2"/>
        <v>144</v>
      </c>
    </row>
    <row r="46" spans="1:5" ht="39.75" thickTop="1" thickBot="1" x14ac:dyDescent="0.4">
      <c r="A46" s="893" t="s">
        <v>1329</v>
      </c>
      <c r="B46" s="915">
        <f t="shared" ref="B46:E46" si="3">SUM(B16:B45)</f>
        <v>2027417</v>
      </c>
      <c r="C46" s="915">
        <f t="shared" si="3"/>
        <v>2320801</v>
      </c>
      <c r="D46" s="915">
        <f t="shared" si="3"/>
        <v>2323354</v>
      </c>
      <c r="E46" s="915">
        <f t="shared" si="3"/>
        <v>2553</v>
      </c>
    </row>
    <row r="47" spans="1:5" s="917" customFormat="1" ht="39" thickTop="1" x14ac:dyDescent="0.35">
      <c r="A47" s="896" t="s">
        <v>1330</v>
      </c>
      <c r="B47" s="916"/>
      <c r="C47" s="916"/>
      <c r="D47" s="916"/>
      <c r="E47" s="916"/>
    </row>
    <row r="48" spans="1:5" ht="21" customHeight="1" x14ac:dyDescent="0.35">
      <c r="A48" s="918" t="s">
        <v>1331</v>
      </c>
      <c r="B48" s="899"/>
      <c r="C48" s="899"/>
      <c r="D48" s="899"/>
      <c r="E48" s="899"/>
    </row>
    <row r="49" spans="1:5" ht="21" x14ac:dyDescent="0.35">
      <c r="A49" s="886" t="s">
        <v>1332</v>
      </c>
      <c r="B49" s="887">
        <v>78986</v>
      </c>
      <c r="C49" s="888">
        <v>91292</v>
      </c>
      <c r="D49" s="888">
        <f>[5]zárszámelszalap!D49+[5]zárszámkiegtám!D49+C49</f>
        <v>91292</v>
      </c>
      <c r="E49" s="888">
        <f t="shared" ref="E49:E55" si="4">D49-C49</f>
        <v>0</v>
      </c>
    </row>
    <row r="50" spans="1:5" ht="21" x14ac:dyDescent="0.35">
      <c r="A50" s="889" t="s">
        <v>1333</v>
      </c>
      <c r="B50" s="887">
        <v>102991</v>
      </c>
      <c r="C50" s="888">
        <v>121255</v>
      </c>
      <c r="D50" s="888">
        <f>[5]zárszámelszalap!D50+[5]zárszámkiegtám!D50+C50</f>
        <v>121255</v>
      </c>
      <c r="E50" s="888">
        <f t="shared" si="4"/>
        <v>0</v>
      </c>
    </row>
    <row r="51" spans="1:5" ht="21" x14ac:dyDescent="0.35">
      <c r="A51" s="889" t="s">
        <v>1334</v>
      </c>
      <c r="B51" s="887">
        <v>62222</v>
      </c>
      <c r="C51" s="888">
        <v>75470</v>
      </c>
      <c r="D51" s="888">
        <f>[5]zárszámelszalap!D51+[5]zárszámkiegtám!D51+C51</f>
        <v>76744</v>
      </c>
      <c r="E51" s="888">
        <f t="shared" si="4"/>
        <v>1274</v>
      </c>
    </row>
    <row r="52" spans="1:5" ht="21" x14ac:dyDescent="0.35">
      <c r="A52" s="919" t="s">
        <v>1335</v>
      </c>
      <c r="B52" s="887">
        <v>100</v>
      </c>
      <c r="C52" s="888">
        <v>100</v>
      </c>
      <c r="D52" s="888">
        <f>[5]zárszámelszalap!D52+[5]zárszámkiegtám!D52+C52</f>
        <v>100</v>
      </c>
      <c r="E52" s="888">
        <f t="shared" si="4"/>
        <v>0</v>
      </c>
    </row>
    <row r="53" spans="1:5" ht="21" x14ac:dyDescent="0.35">
      <c r="A53" s="889" t="s">
        <v>1336</v>
      </c>
      <c r="B53" s="887">
        <v>47702</v>
      </c>
      <c r="C53" s="888">
        <v>62292</v>
      </c>
      <c r="D53" s="888">
        <f>[5]zárszámelszalap!D53+[5]zárszámkiegtám!D53+C53</f>
        <v>61755</v>
      </c>
      <c r="E53" s="888">
        <f t="shared" si="4"/>
        <v>-537</v>
      </c>
    </row>
    <row r="54" spans="1:5" s="917" customFormat="1" ht="21" x14ac:dyDescent="0.35">
      <c r="A54" s="920" t="s">
        <v>1337</v>
      </c>
      <c r="B54" s="887">
        <v>37590</v>
      </c>
      <c r="C54" s="888">
        <v>45246</v>
      </c>
      <c r="D54" s="888">
        <f>[5]zárszámelszalap!D54+[5]zárszámkiegtám!D54+C54</f>
        <v>45564</v>
      </c>
      <c r="E54" s="888">
        <f t="shared" si="4"/>
        <v>318</v>
      </c>
    </row>
    <row r="55" spans="1:5" ht="39" thickBot="1" x14ac:dyDescent="0.4">
      <c r="A55" s="889" t="s">
        <v>1338</v>
      </c>
      <c r="B55" s="890">
        <v>8295</v>
      </c>
      <c r="C55" s="891">
        <v>6337</v>
      </c>
      <c r="D55" s="891">
        <f>[5]zárszámelszalap!D55+[5]zárszámkiegtám!D55+C55</f>
        <v>6337</v>
      </c>
      <c r="E55" s="891">
        <f t="shared" si="4"/>
        <v>0</v>
      </c>
    </row>
    <row r="56" spans="1:5" ht="39" customHeight="1" thickTop="1" thickBot="1" x14ac:dyDescent="0.4">
      <c r="A56" s="921" t="s">
        <v>1331</v>
      </c>
      <c r="B56" s="922">
        <f t="shared" ref="B56" si="5">SUM(B49:B55)</f>
        <v>337886</v>
      </c>
      <c r="C56" s="923">
        <f t="shared" ref="C56:E56" si="6">SUM(C49:C55)</f>
        <v>401992</v>
      </c>
      <c r="D56" s="923">
        <f t="shared" si="6"/>
        <v>403047</v>
      </c>
      <c r="E56" s="923">
        <f t="shared" si="6"/>
        <v>1055</v>
      </c>
    </row>
    <row r="57" spans="1:5" ht="21.75" thickTop="1" x14ac:dyDescent="0.35">
      <c r="A57" s="898" t="s">
        <v>1339</v>
      </c>
      <c r="B57" s="906"/>
      <c r="C57" s="899"/>
      <c r="D57" s="899"/>
      <c r="E57" s="899"/>
    </row>
    <row r="58" spans="1:5" ht="21" x14ac:dyDescent="0.35">
      <c r="A58" s="898" t="s">
        <v>1340</v>
      </c>
      <c r="B58" s="906"/>
      <c r="C58" s="899"/>
      <c r="D58" s="899"/>
      <c r="E58" s="899"/>
    </row>
    <row r="59" spans="1:5" ht="38.25" x14ac:dyDescent="0.35">
      <c r="A59" s="886" t="s">
        <v>1341</v>
      </c>
      <c r="B59" s="887">
        <v>394275</v>
      </c>
      <c r="C59" s="888">
        <v>451681</v>
      </c>
      <c r="D59" s="888">
        <f>[5]zárszámelszalap!D59+[5]zárszámkiegtám!D59+C59</f>
        <v>451681</v>
      </c>
      <c r="E59" s="888">
        <f t="shared" ref="E59:E61" si="7">D59-C59</f>
        <v>0</v>
      </c>
    </row>
    <row r="60" spans="1:5" ht="38.25" x14ac:dyDescent="0.35">
      <c r="A60" s="889" t="s">
        <v>1342</v>
      </c>
      <c r="B60" s="887">
        <v>261744</v>
      </c>
      <c r="C60" s="888">
        <v>451887</v>
      </c>
      <c r="D60" s="888">
        <f>[5]zárszámelszalap!D60+[5]zárszámkiegtám!D60+C60</f>
        <v>451887</v>
      </c>
      <c r="E60" s="888">
        <f t="shared" si="7"/>
        <v>0</v>
      </c>
    </row>
    <row r="61" spans="1:5" ht="21.75" thickBot="1" x14ac:dyDescent="0.4">
      <c r="A61" s="924" t="s">
        <v>1343</v>
      </c>
      <c r="B61" s="887">
        <v>210471</v>
      </c>
      <c r="C61" s="888">
        <v>133078</v>
      </c>
      <c r="D61" s="888">
        <f>[5]zárszámelszalap!D61+[5]zárszámkiegtám!D61+C61</f>
        <v>133078</v>
      </c>
      <c r="E61" s="888">
        <f t="shared" si="7"/>
        <v>0</v>
      </c>
    </row>
    <row r="62" spans="1:5" ht="22.5" thickTop="1" thickBot="1" x14ac:dyDescent="0.4">
      <c r="A62" s="921" t="s">
        <v>1344</v>
      </c>
      <c r="B62" s="922">
        <f t="shared" ref="B62" si="8">SUM(B59:B61)</f>
        <v>866490</v>
      </c>
      <c r="C62" s="923">
        <f t="shared" ref="C62:E62" si="9">SUM(C59:C61)</f>
        <v>1036646</v>
      </c>
      <c r="D62" s="923">
        <f t="shared" si="9"/>
        <v>1036646</v>
      </c>
      <c r="E62" s="923">
        <f t="shared" si="9"/>
        <v>0</v>
      </c>
    </row>
    <row r="63" spans="1:5" ht="39" thickTop="1" x14ac:dyDescent="0.35">
      <c r="A63" s="925" t="s">
        <v>1345</v>
      </c>
      <c r="B63" s="926"/>
      <c r="C63" s="927"/>
      <c r="D63" s="927"/>
      <c r="E63" s="927"/>
    </row>
    <row r="64" spans="1:5" ht="21" x14ac:dyDescent="0.35">
      <c r="A64" s="886" t="s">
        <v>1346</v>
      </c>
      <c r="B64" s="887">
        <v>48959</v>
      </c>
      <c r="C64" s="888">
        <v>51199</v>
      </c>
      <c r="D64" s="888">
        <f>[5]zárszámelszalap!D64+[5]zárszámkiegtám!D64+C64</f>
        <v>51199</v>
      </c>
      <c r="E64" s="888">
        <f t="shared" ref="E64:E66" si="10">D64-C64</f>
        <v>0</v>
      </c>
    </row>
    <row r="65" spans="1:5" ht="21.75" thickBot="1" x14ac:dyDescent="0.4">
      <c r="A65" s="889" t="s">
        <v>1347</v>
      </c>
      <c r="B65" s="887">
        <v>13719</v>
      </c>
      <c r="C65" s="888">
        <v>16102</v>
      </c>
      <c r="D65" s="888">
        <v>15805</v>
      </c>
      <c r="E65" s="888">
        <f t="shared" si="10"/>
        <v>-297</v>
      </c>
    </row>
    <row r="66" spans="1:5" ht="39.75" thickTop="1" thickBot="1" x14ac:dyDescent="0.4">
      <c r="A66" s="928" t="s">
        <v>1345</v>
      </c>
      <c r="B66" s="922">
        <f t="shared" ref="B66:D66" si="11">SUM(B64:B65)</f>
        <v>62678</v>
      </c>
      <c r="C66" s="922">
        <f t="shared" si="11"/>
        <v>67301</v>
      </c>
      <c r="D66" s="922">
        <f t="shared" si="11"/>
        <v>67004</v>
      </c>
      <c r="E66" s="923">
        <f t="shared" si="10"/>
        <v>-297</v>
      </c>
    </row>
    <row r="67" spans="1:5" ht="39.75" thickTop="1" thickBot="1" x14ac:dyDescent="0.4">
      <c r="A67" s="893" t="s">
        <v>1348</v>
      </c>
      <c r="B67" s="915">
        <f t="shared" ref="B67:E67" si="12">B56+B62+B66</f>
        <v>1267054</v>
      </c>
      <c r="C67" s="915">
        <f t="shared" si="12"/>
        <v>1505939</v>
      </c>
      <c r="D67" s="915">
        <f t="shared" si="12"/>
        <v>1506697</v>
      </c>
      <c r="E67" s="915">
        <f t="shared" si="12"/>
        <v>758</v>
      </c>
    </row>
    <row r="68" spans="1:5" ht="39" thickTop="1" x14ac:dyDescent="0.35">
      <c r="A68" s="898" t="s">
        <v>1349</v>
      </c>
      <c r="B68" s="899"/>
      <c r="C68" s="899"/>
      <c r="D68" s="899"/>
      <c r="E68" s="899"/>
    </row>
    <row r="69" spans="1:5" s="917" customFormat="1" ht="21" x14ac:dyDescent="0.35">
      <c r="A69" s="896" t="s">
        <v>1350</v>
      </c>
      <c r="B69" s="897"/>
      <c r="C69" s="897"/>
      <c r="D69" s="897"/>
      <c r="E69" s="897"/>
    </row>
    <row r="70" spans="1:5" ht="21" x14ac:dyDescent="0.35">
      <c r="A70" s="892" t="s">
        <v>1351</v>
      </c>
      <c r="B70" s="887">
        <v>267627</v>
      </c>
      <c r="C70" s="888">
        <v>256749</v>
      </c>
      <c r="D70" s="888">
        <f>[5]zárszámelszalap!D70+[5]zárszámkiegtám!D70+C70</f>
        <v>272206</v>
      </c>
      <c r="E70" s="888">
        <f t="shared" ref="E70:E72" si="13">D70-C70</f>
        <v>15457</v>
      </c>
    </row>
    <row r="71" spans="1:5" ht="39" customHeight="1" x14ac:dyDescent="0.35">
      <c r="A71" s="929" t="s">
        <v>1352</v>
      </c>
      <c r="B71" s="887">
        <v>482930</v>
      </c>
      <c r="C71" s="888">
        <v>551121</v>
      </c>
      <c r="D71" s="888">
        <f>[5]zárszámelszalap!D71+[5]zárszámkiegtám!D71+C71</f>
        <v>551121</v>
      </c>
      <c r="E71" s="888">
        <f t="shared" si="13"/>
        <v>0</v>
      </c>
    </row>
    <row r="72" spans="1:5" ht="21.75" thickBot="1" x14ac:dyDescent="0.4">
      <c r="A72" s="930" t="s">
        <v>1353</v>
      </c>
      <c r="B72" s="887">
        <v>329</v>
      </c>
      <c r="C72" s="888">
        <v>869</v>
      </c>
      <c r="D72" s="888">
        <f>[5]zárszámelszalap!D72+[5]zárszámkiegtám!D72+C72</f>
        <v>894</v>
      </c>
      <c r="E72" s="888">
        <f t="shared" si="13"/>
        <v>25</v>
      </c>
    </row>
    <row r="73" spans="1:5" ht="39.75" thickTop="1" thickBot="1" x14ac:dyDescent="0.4">
      <c r="A73" s="931" t="s">
        <v>1354</v>
      </c>
      <c r="B73" s="915">
        <f t="shared" ref="B73" si="14">SUM(B70:B72)</f>
        <v>750886</v>
      </c>
      <c r="C73" s="915">
        <f t="shared" ref="C73:E73" si="15">SUM(C70:C72)</f>
        <v>808739</v>
      </c>
      <c r="D73" s="915">
        <f t="shared" si="15"/>
        <v>824221</v>
      </c>
      <c r="E73" s="915">
        <f t="shared" si="15"/>
        <v>15482</v>
      </c>
    </row>
    <row r="74" spans="1:5" ht="39" thickTop="1" x14ac:dyDescent="0.35">
      <c r="A74" s="925" t="s">
        <v>1355</v>
      </c>
      <c r="B74" s="927"/>
      <c r="C74" s="927"/>
      <c r="D74" s="927"/>
      <c r="E74" s="927"/>
    </row>
    <row r="75" spans="1:5" ht="38.25" x14ac:dyDescent="0.35">
      <c r="A75" s="886" t="s">
        <v>1356</v>
      </c>
      <c r="B75" s="888">
        <v>72306</v>
      </c>
      <c r="C75" s="887">
        <v>72306</v>
      </c>
      <c r="D75" s="887">
        <f>[5]zárszámelszalap!D75+[5]zárszámkiegtám!D75+C75</f>
        <v>72306</v>
      </c>
      <c r="E75" s="888">
        <f t="shared" ref="E75:E77" si="16">D75-C75</f>
        <v>0</v>
      </c>
    </row>
    <row r="76" spans="1:5" ht="39" thickBot="1" x14ac:dyDescent="0.4">
      <c r="A76" s="889" t="s">
        <v>1357</v>
      </c>
      <c r="B76" s="888">
        <v>142714</v>
      </c>
      <c r="C76" s="887">
        <v>142714</v>
      </c>
      <c r="D76" s="887">
        <f>[5]zárszámelszalap!D76+[5]zárszámkiegtám!D76+C76</f>
        <v>142714</v>
      </c>
      <c r="E76" s="888">
        <f t="shared" si="16"/>
        <v>0</v>
      </c>
    </row>
    <row r="77" spans="1:5" ht="39.75" thickTop="1" thickBot="1" x14ac:dyDescent="0.4">
      <c r="A77" s="931" t="s">
        <v>1358</v>
      </c>
      <c r="B77" s="915">
        <f t="shared" ref="B77:D77" si="17">SUM(B75:B76)</f>
        <v>215020</v>
      </c>
      <c r="C77" s="915">
        <f t="shared" si="17"/>
        <v>215020</v>
      </c>
      <c r="D77" s="915">
        <f t="shared" si="17"/>
        <v>215020</v>
      </c>
      <c r="E77" s="915">
        <f t="shared" si="16"/>
        <v>0</v>
      </c>
    </row>
    <row r="78" spans="1:5" ht="39.75" thickTop="1" thickBot="1" x14ac:dyDescent="0.4">
      <c r="A78" s="932" t="s">
        <v>1359</v>
      </c>
      <c r="B78" s="933">
        <f t="shared" ref="B78:E78" si="18">B15+B46+B67+B73+B77</f>
        <v>5794595</v>
      </c>
      <c r="C78" s="933">
        <f t="shared" si="18"/>
        <v>6438940</v>
      </c>
      <c r="D78" s="933">
        <f t="shared" si="18"/>
        <v>6457737</v>
      </c>
      <c r="E78" s="933">
        <f t="shared" si="18"/>
        <v>18797</v>
      </c>
    </row>
    <row r="79" spans="1:5" s="877" customFormat="1" ht="33.6" customHeight="1" x14ac:dyDescent="0.35">
      <c r="A79" s="934" t="s">
        <v>1360</v>
      </c>
      <c r="B79" s="935"/>
      <c r="C79" s="935"/>
      <c r="D79" s="935"/>
      <c r="E79" s="935"/>
    </row>
    <row r="80" spans="1:5" s="877" customFormat="1" ht="39" customHeight="1" x14ac:dyDescent="0.35">
      <c r="A80" s="936" t="s">
        <v>1361</v>
      </c>
      <c r="B80" s="937"/>
      <c r="C80" s="937">
        <v>117571</v>
      </c>
      <c r="D80" s="937">
        <v>115518</v>
      </c>
      <c r="E80" s="937">
        <f t="shared" ref="E80:E90" si="19">D80-C80</f>
        <v>-2053</v>
      </c>
    </row>
    <row r="81" spans="1:5" s="877" customFormat="1" ht="33.6" customHeight="1" x14ac:dyDescent="0.35">
      <c r="A81" s="938" t="s">
        <v>1362</v>
      </c>
      <c r="B81" s="937"/>
      <c r="C81" s="937">
        <v>238627</v>
      </c>
      <c r="D81" s="937">
        <f>[5]zárszámelszalap!D81+[5]zárszámkiegtám!D81+C81</f>
        <v>238627</v>
      </c>
      <c r="E81" s="937">
        <f t="shared" si="19"/>
        <v>0</v>
      </c>
    </row>
    <row r="82" spans="1:5" ht="21" x14ac:dyDescent="0.35">
      <c r="A82" s="938" t="s">
        <v>1363</v>
      </c>
      <c r="B82" s="939">
        <v>71357</v>
      </c>
      <c r="C82" s="939">
        <v>80308</v>
      </c>
      <c r="D82" s="939">
        <f>[5]zárszámelszalap!D82+[5]zárszámkiegtám!D82+C82</f>
        <v>80308</v>
      </c>
      <c r="E82" s="939">
        <f t="shared" si="19"/>
        <v>0</v>
      </c>
    </row>
    <row r="83" spans="1:5" ht="21" x14ac:dyDescent="0.35">
      <c r="A83" s="938" t="s">
        <v>1364</v>
      </c>
      <c r="B83" s="897">
        <v>230670</v>
      </c>
      <c r="C83" s="897">
        <v>230670</v>
      </c>
      <c r="D83" s="897">
        <f>[5]zárszámelszalap!D83+[5]zárszámkiegtám!D83+C83</f>
        <v>230670</v>
      </c>
      <c r="E83" s="897">
        <f t="shared" si="19"/>
        <v>0</v>
      </c>
    </row>
    <row r="84" spans="1:5" ht="21" x14ac:dyDescent="0.35">
      <c r="A84" s="938" t="s">
        <v>1365</v>
      </c>
      <c r="B84" s="940">
        <v>188000</v>
      </c>
      <c r="C84" s="940">
        <v>188000</v>
      </c>
      <c r="D84" s="940">
        <f>[5]zárszámelszalap!D84+[5]zárszámkiegtám!D84+C84</f>
        <v>188000</v>
      </c>
      <c r="E84" s="940">
        <f t="shared" si="19"/>
        <v>0</v>
      </c>
    </row>
    <row r="85" spans="1:5" ht="21" x14ac:dyDescent="0.35">
      <c r="A85" s="941" t="s">
        <v>1366</v>
      </c>
      <c r="B85" s="940"/>
      <c r="C85" s="940">
        <v>6766</v>
      </c>
      <c r="D85" s="940">
        <f>[5]zárszámelszalap!D85+[5]zárszámkiegtám!D85+C85</f>
        <v>6766</v>
      </c>
      <c r="E85" s="940">
        <f t="shared" si="19"/>
        <v>0</v>
      </c>
    </row>
    <row r="86" spans="1:5" s="917" customFormat="1" ht="21" x14ac:dyDescent="0.35">
      <c r="A86" s="942" t="s">
        <v>1367</v>
      </c>
      <c r="B86" s="940">
        <v>318240</v>
      </c>
      <c r="C86" s="940">
        <v>318240</v>
      </c>
      <c r="D86" s="940">
        <f>[5]zárszámelszalap!D86+[5]zárszámkiegtám!D86+C86</f>
        <v>318240</v>
      </c>
      <c r="E86" s="940">
        <f t="shared" si="19"/>
        <v>0</v>
      </c>
    </row>
    <row r="87" spans="1:5" s="917" customFormat="1" ht="39" customHeight="1" x14ac:dyDescent="0.35">
      <c r="A87" s="943" t="s">
        <v>1368</v>
      </c>
      <c r="B87" s="944">
        <v>116318</v>
      </c>
      <c r="C87" s="944">
        <v>116318</v>
      </c>
      <c r="D87" s="944">
        <f>[5]zárszámelszalap!D87+[5]zárszámkiegtám!D87+C87</f>
        <v>116318</v>
      </c>
      <c r="E87" s="944">
        <f t="shared" si="19"/>
        <v>0</v>
      </c>
    </row>
    <row r="88" spans="1:5" s="917" customFormat="1" ht="39" customHeight="1" x14ac:dyDescent="0.35">
      <c r="A88" s="938" t="s">
        <v>550</v>
      </c>
      <c r="B88" s="940"/>
      <c r="C88" s="940">
        <v>37389</v>
      </c>
      <c r="D88" s="940">
        <f>[5]zárszámelszalap!D88+[5]zárszámkiegtám!D88+C88</f>
        <v>37389</v>
      </c>
      <c r="E88" s="940">
        <f t="shared" si="19"/>
        <v>0</v>
      </c>
    </row>
    <row r="89" spans="1:5" s="917" customFormat="1" ht="54" customHeight="1" x14ac:dyDescent="0.35">
      <c r="A89" s="945" t="s">
        <v>472</v>
      </c>
      <c r="B89" s="940"/>
      <c r="C89" s="940">
        <v>39668</v>
      </c>
      <c r="D89" s="940">
        <f>[5]zárszámelszalap!D89+[5]zárszámkiegtám!D89+C89</f>
        <v>39668</v>
      </c>
      <c r="E89" s="940">
        <f t="shared" si="19"/>
        <v>0</v>
      </c>
    </row>
    <row r="90" spans="1:5" s="917" customFormat="1" ht="39" customHeight="1" thickBot="1" x14ac:dyDescent="0.4">
      <c r="A90" s="946" t="s">
        <v>1369</v>
      </c>
      <c r="B90" s="940"/>
      <c r="C90" s="947">
        <v>632038</v>
      </c>
      <c r="D90" s="947">
        <f>[5]zárszámelszalap!D90+[5]zárszámkiegtám!D90+C90</f>
        <v>632038</v>
      </c>
      <c r="E90" s="940">
        <f t="shared" si="19"/>
        <v>0</v>
      </c>
    </row>
    <row r="91" spans="1:5" s="895" customFormat="1" ht="22.5" thickTop="1" thickBot="1" x14ac:dyDescent="0.4">
      <c r="A91" s="893" t="s">
        <v>1370</v>
      </c>
      <c r="B91" s="894">
        <f>SUM(B80:B90)</f>
        <v>924585</v>
      </c>
      <c r="C91" s="894">
        <f>SUM(C80:C90)</f>
        <v>2005595</v>
      </c>
      <c r="D91" s="894">
        <f>SUM(D80:D90)</f>
        <v>2003542</v>
      </c>
      <c r="E91" s="894">
        <f>SUM(E80:E90)</f>
        <v>-2053</v>
      </c>
    </row>
    <row r="92" spans="1:5" s="895" customFormat="1" ht="22.5" thickTop="1" thickBot="1" x14ac:dyDescent="0.4">
      <c r="A92" s="948" t="s">
        <v>1371</v>
      </c>
      <c r="B92" s="894">
        <f t="shared" ref="B92:E92" si="20">B78+B91</f>
        <v>6719180</v>
      </c>
      <c r="C92" s="894">
        <f t="shared" si="20"/>
        <v>8444535</v>
      </c>
      <c r="D92" s="894">
        <f t="shared" si="20"/>
        <v>8461279</v>
      </c>
      <c r="E92" s="894">
        <f t="shared" si="20"/>
        <v>16744</v>
      </c>
    </row>
    <row r="93" spans="1:5" s="895" customFormat="1" ht="31.15" customHeight="1" thickTop="1" x14ac:dyDescent="0.35">
      <c r="A93" s="949" t="s">
        <v>1372</v>
      </c>
      <c r="B93" s="916"/>
      <c r="C93" s="916"/>
      <c r="D93" s="916"/>
      <c r="E93" s="916"/>
    </row>
    <row r="94" spans="1:5" s="917" customFormat="1" ht="21" x14ac:dyDescent="0.35">
      <c r="A94" s="950" t="s">
        <v>1373</v>
      </c>
      <c r="B94" s="897"/>
      <c r="C94" s="897"/>
      <c r="D94" s="897"/>
      <c r="E94" s="897"/>
    </row>
    <row r="95" spans="1:5" s="917" customFormat="1" ht="21" x14ac:dyDescent="0.35">
      <c r="A95" s="942" t="s">
        <v>1374</v>
      </c>
      <c r="B95" s="939">
        <v>53000</v>
      </c>
      <c r="C95" s="939">
        <v>53000</v>
      </c>
      <c r="D95" s="939">
        <f>[5]zárszámelszalap!D95+[5]zárszámkiegtám!D95+C95</f>
        <v>53000</v>
      </c>
      <c r="E95" s="939">
        <f t="shared" ref="E95:E96" si="21">D95-C95</f>
        <v>0</v>
      </c>
    </row>
    <row r="96" spans="1:5" s="917" customFormat="1" ht="21.75" thickBot="1" x14ac:dyDescent="0.4">
      <c r="A96" s="951" t="s">
        <v>1375</v>
      </c>
      <c r="B96" s="952">
        <v>302075</v>
      </c>
      <c r="C96" s="952">
        <v>302075</v>
      </c>
      <c r="D96" s="952">
        <f>[5]zárszámelszalap!D96+[5]zárszámkiegtám!D96+C96</f>
        <v>302075</v>
      </c>
      <c r="E96" s="952">
        <f t="shared" si="21"/>
        <v>0</v>
      </c>
    </row>
    <row r="97" spans="1:5" s="895" customFormat="1" ht="35.450000000000003" customHeight="1" thickTop="1" thickBot="1" x14ac:dyDescent="0.4">
      <c r="A97" s="893" t="s">
        <v>1376</v>
      </c>
      <c r="B97" s="894">
        <f t="shared" ref="B97:E97" si="22">B78+B91+B95+B96</f>
        <v>7074255</v>
      </c>
      <c r="C97" s="894">
        <f t="shared" si="22"/>
        <v>8799610</v>
      </c>
      <c r="D97" s="894">
        <f t="shared" si="22"/>
        <v>8816354</v>
      </c>
      <c r="E97" s="894">
        <f t="shared" si="22"/>
        <v>16744</v>
      </c>
    </row>
    <row r="98" spans="1:5" ht="19.5" thickTop="1" x14ac:dyDescent="0.3">
      <c r="A98" s="879"/>
      <c r="B98" s="880"/>
      <c r="C98" s="880"/>
      <c r="D98" s="880"/>
      <c r="E98" s="880"/>
    </row>
  </sheetData>
  <mergeCells count="3">
    <mergeCell ref="A1:D1"/>
    <mergeCell ref="A2:D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 xml:space="preserve">&amp;R&amp;"-,Félkövér"&amp;12 5. melléklet a 10/2024.(V.31.) önkormányzati rendelethez &amp;"Times New Roman CE,Normál"&amp;8
</oddHead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87F5-E651-4180-A2E5-207823472E5C}">
  <dimension ref="A1:BI53"/>
  <sheetViews>
    <sheetView zoomScale="50" zoomScaleNormal="50" zoomScaleSheetLayoutView="50" workbookViewId="0">
      <selection activeCell="AN3" sqref="AN3:AV3"/>
    </sheetView>
  </sheetViews>
  <sheetFormatPr defaultRowHeight="26.45" customHeight="1" x14ac:dyDescent="0.3"/>
  <cols>
    <col min="1" max="1" width="231.83203125" style="796" customWidth="1"/>
    <col min="2" max="4" width="64.83203125" style="797" customWidth="1"/>
    <col min="5" max="5" width="57" style="797" customWidth="1"/>
    <col min="6" max="8" width="64.83203125" style="797" customWidth="1"/>
    <col min="9" max="9" width="57" style="797" customWidth="1"/>
    <col min="10" max="12" width="64.83203125" style="797" customWidth="1"/>
    <col min="13" max="13" width="57" style="797" customWidth="1"/>
    <col min="14" max="14" width="222.5" style="796" customWidth="1"/>
    <col min="15" max="17" width="64.83203125" style="797" customWidth="1"/>
    <col min="18" max="18" width="57" style="797" customWidth="1"/>
    <col min="19" max="21" width="64.83203125" style="797" customWidth="1"/>
    <col min="22" max="22" width="57" style="797" customWidth="1"/>
    <col min="23" max="25" width="64.83203125" style="797" customWidth="1"/>
    <col min="26" max="26" width="60" style="797" customWidth="1"/>
    <col min="27" max="27" width="223.5" style="798" customWidth="1"/>
    <col min="28" max="30" width="64.83203125" style="796" customWidth="1"/>
    <col min="31" max="31" width="60" style="796" customWidth="1"/>
    <col min="32" max="34" width="64.83203125" style="799" customWidth="1"/>
    <col min="35" max="35" width="60" style="799" customWidth="1"/>
    <col min="36" max="38" width="64.83203125" style="796" customWidth="1"/>
    <col min="39" max="39" width="60" style="796" customWidth="1"/>
    <col min="40" max="40" width="255.5" style="798" customWidth="1"/>
    <col min="41" max="43" width="72.83203125" style="796" customWidth="1"/>
    <col min="44" max="44" width="63.33203125" style="796" customWidth="1"/>
    <col min="45" max="47" width="72.83203125" style="799" customWidth="1"/>
    <col min="48" max="48" width="64.33203125" style="799" customWidth="1"/>
    <col min="49" max="253" width="9.33203125" style="777"/>
    <col min="254" max="254" width="176.6640625" style="777" customWidth="1"/>
    <col min="255" max="266" width="55" style="777" customWidth="1"/>
    <col min="267" max="267" width="176.6640625" style="777" customWidth="1"/>
    <col min="268" max="279" width="53" style="777" customWidth="1"/>
    <col min="280" max="280" width="176.5" style="777" customWidth="1"/>
    <col min="281" max="292" width="53" style="777" customWidth="1"/>
    <col min="293" max="293" width="176.5" style="777" customWidth="1"/>
    <col min="294" max="301" width="63" style="777" customWidth="1"/>
    <col min="302" max="303" width="45.1640625" style="777" customWidth="1"/>
    <col min="304" max="304" width="36.83203125" style="777" customWidth="1"/>
    <col min="305" max="509" width="9.33203125" style="777"/>
    <col min="510" max="510" width="176.6640625" style="777" customWidth="1"/>
    <col min="511" max="522" width="55" style="777" customWidth="1"/>
    <col min="523" max="523" width="176.6640625" style="777" customWidth="1"/>
    <col min="524" max="535" width="53" style="777" customWidth="1"/>
    <col min="536" max="536" width="176.5" style="777" customWidth="1"/>
    <col min="537" max="548" width="53" style="777" customWidth="1"/>
    <col min="549" max="549" width="176.5" style="777" customWidth="1"/>
    <col min="550" max="557" width="63" style="777" customWidth="1"/>
    <col min="558" max="559" width="45.1640625" style="777" customWidth="1"/>
    <col min="560" max="560" width="36.83203125" style="777" customWidth="1"/>
    <col min="561" max="765" width="9.33203125" style="777"/>
    <col min="766" max="766" width="176.6640625" style="777" customWidth="1"/>
    <col min="767" max="778" width="55" style="777" customWidth="1"/>
    <col min="779" max="779" width="176.6640625" style="777" customWidth="1"/>
    <col min="780" max="791" width="53" style="777" customWidth="1"/>
    <col min="792" max="792" width="176.5" style="777" customWidth="1"/>
    <col min="793" max="804" width="53" style="777" customWidth="1"/>
    <col min="805" max="805" width="176.5" style="777" customWidth="1"/>
    <col min="806" max="813" width="63" style="777" customWidth="1"/>
    <col min="814" max="815" width="45.1640625" style="777" customWidth="1"/>
    <col min="816" max="816" width="36.83203125" style="777" customWidth="1"/>
    <col min="817" max="1021" width="9.33203125" style="777"/>
    <col min="1022" max="1022" width="176.6640625" style="777" customWidth="1"/>
    <col min="1023" max="1034" width="55" style="777" customWidth="1"/>
    <col min="1035" max="1035" width="176.6640625" style="777" customWidth="1"/>
    <col min="1036" max="1047" width="53" style="777" customWidth="1"/>
    <col min="1048" max="1048" width="176.5" style="777" customWidth="1"/>
    <col min="1049" max="1060" width="53" style="777" customWidth="1"/>
    <col min="1061" max="1061" width="176.5" style="777" customWidth="1"/>
    <col min="1062" max="1069" width="63" style="777" customWidth="1"/>
    <col min="1070" max="1071" width="45.1640625" style="777" customWidth="1"/>
    <col min="1072" max="1072" width="36.83203125" style="777" customWidth="1"/>
    <col min="1073" max="1277" width="9.33203125" style="777"/>
    <col min="1278" max="1278" width="176.6640625" style="777" customWidth="1"/>
    <col min="1279" max="1290" width="55" style="777" customWidth="1"/>
    <col min="1291" max="1291" width="176.6640625" style="777" customWidth="1"/>
    <col min="1292" max="1303" width="53" style="777" customWidth="1"/>
    <col min="1304" max="1304" width="176.5" style="777" customWidth="1"/>
    <col min="1305" max="1316" width="53" style="777" customWidth="1"/>
    <col min="1317" max="1317" width="176.5" style="777" customWidth="1"/>
    <col min="1318" max="1325" width="63" style="777" customWidth="1"/>
    <col min="1326" max="1327" width="45.1640625" style="777" customWidth="1"/>
    <col min="1328" max="1328" width="36.83203125" style="777" customWidth="1"/>
    <col min="1329" max="1533" width="9.33203125" style="777"/>
    <col min="1534" max="1534" width="176.6640625" style="777" customWidth="1"/>
    <col min="1535" max="1546" width="55" style="777" customWidth="1"/>
    <col min="1547" max="1547" width="176.6640625" style="777" customWidth="1"/>
    <col min="1548" max="1559" width="53" style="777" customWidth="1"/>
    <col min="1560" max="1560" width="176.5" style="777" customWidth="1"/>
    <col min="1561" max="1572" width="53" style="777" customWidth="1"/>
    <col min="1573" max="1573" width="176.5" style="777" customWidth="1"/>
    <col min="1574" max="1581" width="63" style="777" customWidth="1"/>
    <col min="1582" max="1583" width="45.1640625" style="777" customWidth="1"/>
    <col min="1584" max="1584" width="36.83203125" style="777" customWidth="1"/>
    <col min="1585" max="1789" width="9.33203125" style="777"/>
    <col min="1790" max="1790" width="176.6640625" style="777" customWidth="1"/>
    <col min="1791" max="1802" width="55" style="777" customWidth="1"/>
    <col min="1803" max="1803" width="176.6640625" style="777" customWidth="1"/>
    <col min="1804" max="1815" width="53" style="777" customWidth="1"/>
    <col min="1816" max="1816" width="176.5" style="777" customWidth="1"/>
    <col min="1817" max="1828" width="53" style="777" customWidth="1"/>
    <col min="1829" max="1829" width="176.5" style="777" customWidth="1"/>
    <col min="1830" max="1837" width="63" style="777" customWidth="1"/>
    <col min="1838" max="1839" width="45.1640625" style="777" customWidth="1"/>
    <col min="1840" max="1840" width="36.83203125" style="777" customWidth="1"/>
    <col min="1841" max="2045" width="9.33203125" style="777"/>
    <col min="2046" max="2046" width="176.6640625" style="777" customWidth="1"/>
    <col min="2047" max="2058" width="55" style="777" customWidth="1"/>
    <col min="2059" max="2059" width="176.6640625" style="777" customWidth="1"/>
    <col min="2060" max="2071" width="53" style="777" customWidth="1"/>
    <col min="2072" max="2072" width="176.5" style="777" customWidth="1"/>
    <col min="2073" max="2084" width="53" style="777" customWidth="1"/>
    <col min="2085" max="2085" width="176.5" style="777" customWidth="1"/>
    <col min="2086" max="2093" width="63" style="777" customWidth="1"/>
    <col min="2094" max="2095" width="45.1640625" style="777" customWidth="1"/>
    <col min="2096" max="2096" width="36.83203125" style="777" customWidth="1"/>
    <col min="2097" max="2301" width="9.33203125" style="777"/>
    <col min="2302" max="2302" width="176.6640625" style="777" customWidth="1"/>
    <col min="2303" max="2314" width="55" style="777" customWidth="1"/>
    <col min="2315" max="2315" width="176.6640625" style="777" customWidth="1"/>
    <col min="2316" max="2327" width="53" style="777" customWidth="1"/>
    <col min="2328" max="2328" width="176.5" style="777" customWidth="1"/>
    <col min="2329" max="2340" width="53" style="777" customWidth="1"/>
    <col min="2341" max="2341" width="176.5" style="777" customWidth="1"/>
    <col min="2342" max="2349" width="63" style="777" customWidth="1"/>
    <col min="2350" max="2351" width="45.1640625" style="777" customWidth="1"/>
    <col min="2352" max="2352" width="36.83203125" style="777" customWidth="1"/>
    <col min="2353" max="2557" width="9.33203125" style="777"/>
    <col min="2558" max="2558" width="176.6640625" style="777" customWidth="1"/>
    <col min="2559" max="2570" width="55" style="777" customWidth="1"/>
    <col min="2571" max="2571" width="176.6640625" style="777" customWidth="1"/>
    <col min="2572" max="2583" width="53" style="777" customWidth="1"/>
    <col min="2584" max="2584" width="176.5" style="777" customWidth="1"/>
    <col min="2585" max="2596" width="53" style="777" customWidth="1"/>
    <col min="2597" max="2597" width="176.5" style="777" customWidth="1"/>
    <col min="2598" max="2605" width="63" style="777" customWidth="1"/>
    <col min="2606" max="2607" width="45.1640625" style="777" customWidth="1"/>
    <col min="2608" max="2608" width="36.83203125" style="777" customWidth="1"/>
    <col min="2609" max="2813" width="9.33203125" style="777"/>
    <col min="2814" max="2814" width="176.6640625" style="777" customWidth="1"/>
    <col min="2815" max="2826" width="55" style="777" customWidth="1"/>
    <col min="2827" max="2827" width="176.6640625" style="777" customWidth="1"/>
    <col min="2828" max="2839" width="53" style="777" customWidth="1"/>
    <col min="2840" max="2840" width="176.5" style="777" customWidth="1"/>
    <col min="2841" max="2852" width="53" style="777" customWidth="1"/>
    <col min="2853" max="2853" width="176.5" style="777" customWidth="1"/>
    <col min="2854" max="2861" width="63" style="777" customWidth="1"/>
    <col min="2862" max="2863" width="45.1640625" style="777" customWidth="1"/>
    <col min="2864" max="2864" width="36.83203125" style="777" customWidth="1"/>
    <col min="2865" max="3069" width="9.33203125" style="777"/>
    <col min="3070" max="3070" width="176.6640625" style="777" customWidth="1"/>
    <col min="3071" max="3082" width="55" style="777" customWidth="1"/>
    <col min="3083" max="3083" width="176.6640625" style="777" customWidth="1"/>
    <col min="3084" max="3095" width="53" style="777" customWidth="1"/>
    <col min="3096" max="3096" width="176.5" style="777" customWidth="1"/>
    <col min="3097" max="3108" width="53" style="777" customWidth="1"/>
    <col min="3109" max="3109" width="176.5" style="777" customWidth="1"/>
    <col min="3110" max="3117" width="63" style="777" customWidth="1"/>
    <col min="3118" max="3119" width="45.1640625" style="777" customWidth="1"/>
    <col min="3120" max="3120" width="36.83203125" style="777" customWidth="1"/>
    <col min="3121" max="3325" width="9.33203125" style="777"/>
    <col min="3326" max="3326" width="176.6640625" style="777" customWidth="1"/>
    <col min="3327" max="3338" width="55" style="777" customWidth="1"/>
    <col min="3339" max="3339" width="176.6640625" style="777" customWidth="1"/>
    <col min="3340" max="3351" width="53" style="777" customWidth="1"/>
    <col min="3352" max="3352" width="176.5" style="777" customWidth="1"/>
    <col min="3353" max="3364" width="53" style="777" customWidth="1"/>
    <col min="3365" max="3365" width="176.5" style="777" customWidth="1"/>
    <col min="3366" max="3373" width="63" style="777" customWidth="1"/>
    <col min="3374" max="3375" width="45.1640625" style="777" customWidth="1"/>
    <col min="3376" max="3376" width="36.83203125" style="777" customWidth="1"/>
    <col min="3377" max="3581" width="9.33203125" style="777"/>
    <col min="3582" max="3582" width="176.6640625" style="777" customWidth="1"/>
    <col min="3583" max="3594" width="55" style="777" customWidth="1"/>
    <col min="3595" max="3595" width="176.6640625" style="777" customWidth="1"/>
    <col min="3596" max="3607" width="53" style="777" customWidth="1"/>
    <col min="3608" max="3608" width="176.5" style="777" customWidth="1"/>
    <col min="3609" max="3620" width="53" style="777" customWidth="1"/>
    <col min="3621" max="3621" width="176.5" style="777" customWidth="1"/>
    <col min="3622" max="3629" width="63" style="777" customWidth="1"/>
    <col min="3630" max="3631" width="45.1640625" style="777" customWidth="1"/>
    <col min="3632" max="3632" width="36.83203125" style="777" customWidth="1"/>
    <col min="3633" max="3837" width="9.33203125" style="777"/>
    <col min="3838" max="3838" width="176.6640625" style="777" customWidth="1"/>
    <col min="3839" max="3850" width="55" style="777" customWidth="1"/>
    <col min="3851" max="3851" width="176.6640625" style="777" customWidth="1"/>
    <col min="3852" max="3863" width="53" style="777" customWidth="1"/>
    <col min="3864" max="3864" width="176.5" style="777" customWidth="1"/>
    <col min="3865" max="3876" width="53" style="777" customWidth="1"/>
    <col min="3877" max="3877" width="176.5" style="777" customWidth="1"/>
    <col min="3878" max="3885" width="63" style="777" customWidth="1"/>
    <col min="3886" max="3887" width="45.1640625" style="777" customWidth="1"/>
    <col min="3888" max="3888" width="36.83203125" style="777" customWidth="1"/>
    <col min="3889" max="4093" width="9.33203125" style="777"/>
    <col min="4094" max="4094" width="176.6640625" style="777" customWidth="1"/>
    <col min="4095" max="4106" width="55" style="777" customWidth="1"/>
    <col min="4107" max="4107" width="176.6640625" style="777" customWidth="1"/>
    <col min="4108" max="4119" width="53" style="777" customWidth="1"/>
    <col min="4120" max="4120" width="176.5" style="777" customWidth="1"/>
    <col min="4121" max="4132" width="53" style="777" customWidth="1"/>
    <col min="4133" max="4133" width="176.5" style="777" customWidth="1"/>
    <col min="4134" max="4141" width="63" style="777" customWidth="1"/>
    <col min="4142" max="4143" width="45.1640625" style="777" customWidth="1"/>
    <col min="4144" max="4144" width="36.83203125" style="777" customWidth="1"/>
    <col min="4145" max="4349" width="9.33203125" style="777"/>
    <col min="4350" max="4350" width="176.6640625" style="777" customWidth="1"/>
    <col min="4351" max="4362" width="55" style="777" customWidth="1"/>
    <col min="4363" max="4363" width="176.6640625" style="777" customWidth="1"/>
    <col min="4364" max="4375" width="53" style="777" customWidth="1"/>
    <col min="4376" max="4376" width="176.5" style="777" customWidth="1"/>
    <col min="4377" max="4388" width="53" style="777" customWidth="1"/>
    <col min="4389" max="4389" width="176.5" style="777" customWidth="1"/>
    <col min="4390" max="4397" width="63" style="777" customWidth="1"/>
    <col min="4398" max="4399" width="45.1640625" style="777" customWidth="1"/>
    <col min="4400" max="4400" width="36.83203125" style="777" customWidth="1"/>
    <col min="4401" max="4605" width="9.33203125" style="777"/>
    <col min="4606" max="4606" width="176.6640625" style="777" customWidth="1"/>
    <col min="4607" max="4618" width="55" style="777" customWidth="1"/>
    <col min="4619" max="4619" width="176.6640625" style="777" customWidth="1"/>
    <col min="4620" max="4631" width="53" style="777" customWidth="1"/>
    <col min="4632" max="4632" width="176.5" style="777" customWidth="1"/>
    <col min="4633" max="4644" width="53" style="777" customWidth="1"/>
    <col min="4645" max="4645" width="176.5" style="777" customWidth="1"/>
    <col min="4646" max="4653" width="63" style="777" customWidth="1"/>
    <col min="4654" max="4655" width="45.1640625" style="777" customWidth="1"/>
    <col min="4656" max="4656" width="36.83203125" style="777" customWidth="1"/>
    <col min="4657" max="4861" width="9.33203125" style="777"/>
    <col min="4862" max="4862" width="176.6640625" style="777" customWidth="1"/>
    <col min="4863" max="4874" width="55" style="777" customWidth="1"/>
    <col min="4875" max="4875" width="176.6640625" style="777" customWidth="1"/>
    <col min="4876" max="4887" width="53" style="777" customWidth="1"/>
    <col min="4888" max="4888" width="176.5" style="777" customWidth="1"/>
    <col min="4889" max="4900" width="53" style="777" customWidth="1"/>
    <col min="4901" max="4901" width="176.5" style="777" customWidth="1"/>
    <col min="4902" max="4909" width="63" style="777" customWidth="1"/>
    <col min="4910" max="4911" width="45.1640625" style="777" customWidth="1"/>
    <col min="4912" max="4912" width="36.83203125" style="777" customWidth="1"/>
    <col min="4913" max="5117" width="9.33203125" style="777"/>
    <col min="5118" max="5118" width="176.6640625" style="777" customWidth="1"/>
    <col min="5119" max="5130" width="55" style="777" customWidth="1"/>
    <col min="5131" max="5131" width="176.6640625" style="777" customWidth="1"/>
    <col min="5132" max="5143" width="53" style="777" customWidth="1"/>
    <col min="5144" max="5144" width="176.5" style="777" customWidth="1"/>
    <col min="5145" max="5156" width="53" style="777" customWidth="1"/>
    <col min="5157" max="5157" width="176.5" style="777" customWidth="1"/>
    <col min="5158" max="5165" width="63" style="777" customWidth="1"/>
    <col min="5166" max="5167" width="45.1640625" style="777" customWidth="1"/>
    <col min="5168" max="5168" width="36.83203125" style="777" customWidth="1"/>
    <col min="5169" max="5373" width="9.33203125" style="777"/>
    <col min="5374" max="5374" width="176.6640625" style="777" customWidth="1"/>
    <col min="5375" max="5386" width="55" style="777" customWidth="1"/>
    <col min="5387" max="5387" width="176.6640625" style="777" customWidth="1"/>
    <col min="5388" max="5399" width="53" style="777" customWidth="1"/>
    <col min="5400" max="5400" width="176.5" style="777" customWidth="1"/>
    <col min="5401" max="5412" width="53" style="777" customWidth="1"/>
    <col min="5413" max="5413" width="176.5" style="777" customWidth="1"/>
    <col min="5414" max="5421" width="63" style="777" customWidth="1"/>
    <col min="5422" max="5423" width="45.1640625" style="777" customWidth="1"/>
    <col min="5424" max="5424" width="36.83203125" style="777" customWidth="1"/>
    <col min="5425" max="5629" width="9.33203125" style="777"/>
    <col min="5630" max="5630" width="176.6640625" style="777" customWidth="1"/>
    <col min="5631" max="5642" width="55" style="777" customWidth="1"/>
    <col min="5643" max="5643" width="176.6640625" style="777" customWidth="1"/>
    <col min="5644" max="5655" width="53" style="777" customWidth="1"/>
    <col min="5656" max="5656" width="176.5" style="777" customWidth="1"/>
    <col min="5657" max="5668" width="53" style="777" customWidth="1"/>
    <col min="5669" max="5669" width="176.5" style="777" customWidth="1"/>
    <col min="5670" max="5677" width="63" style="777" customWidth="1"/>
    <col min="5678" max="5679" width="45.1640625" style="777" customWidth="1"/>
    <col min="5680" max="5680" width="36.83203125" style="777" customWidth="1"/>
    <col min="5681" max="5885" width="9.33203125" style="777"/>
    <col min="5886" max="5886" width="176.6640625" style="777" customWidth="1"/>
    <col min="5887" max="5898" width="55" style="777" customWidth="1"/>
    <col min="5899" max="5899" width="176.6640625" style="777" customWidth="1"/>
    <col min="5900" max="5911" width="53" style="777" customWidth="1"/>
    <col min="5912" max="5912" width="176.5" style="777" customWidth="1"/>
    <col min="5913" max="5924" width="53" style="777" customWidth="1"/>
    <col min="5925" max="5925" width="176.5" style="777" customWidth="1"/>
    <col min="5926" max="5933" width="63" style="777" customWidth="1"/>
    <col min="5934" max="5935" width="45.1640625" style="777" customWidth="1"/>
    <col min="5936" max="5936" width="36.83203125" style="777" customWidth="1"/>
    <col min="5937" max="6141" width="9.33203125" style="777"/>
    <col min="6142" max="6142" width="176.6640625" style="777" customWidth="1"/>
    <col min="6143" max="6154" width="55" style="777" customWidth="1"/>
    <col min="6155" max="6155" width="176.6640625" style="777" customWidth="1"/>
    <col min="6156" max="6167" width="53" style="777" customWidth="1"/>
    <col min="6168" max="6168" width="176.5" style="777" customWidth="1"/>
    <col min="6169" max="6180" width="53" style="777" customWidth="1"/>
    <col min="6181" max="6181" width="176.5" style="777" customWidth="1"/>
    <col min="6182" max="6189" width="63" style="777" customWidth="1"/>
    <col min="6190" max="6191" width="45.1640625" style="777" customWidth="1"/>
    <col min="6192" max="6192" width="36.83203125" style="777" customWidth="1"/>
    <col min="6193" max="6397" width="9.33203125" style="777"/>
    <col min="6398" max="6398" width="176.6640625" style="777" customWidth="1"/>
    <col min="6399" max="6410" width="55" style="777" customWidth="1"/>
    <col min="6411" max="6411" width="176.6640625" style="777" customWidth="1"/>
    <col min="6412" max="6423" width="53" style="777" customWidth="1"/>
    <col min="6424" max="6424" width="176.5" style="777" customWidth="1"/>
    <col min="6425" max="6436" width="53" style="777" customWidth="1"/>
    <col min="6437" max="6437" width="176.5" style="777" customWidth="1"/>
    <col min="6438" max="6445" width="63" style="777" customWidth="1"/>
    <col min="6446" max="6447" width="45.1640625" style="777" customWidth="1"/>
    <col min="6448" max="6448" width="36.83203125" style="777" customWidth="1"/>
    <col min="6449" max="6653" width="9.33203125" style="777"/>
    <col min="6654" max="6654" width="176.6640625" style="777" customWidth="1"/>
    <col min="6655" max="6666" width="55" style="777" customWidth="1"/>
    <col min="6667" max="6667" width="176.6640625" style="777" customWidth="1"/>
    <col min="6668" max="6679" width="53" style="777" customWidth="1"/>
    <col min="6680" max="6680" width="176.5" style="777" customWidth="1"/>
    <col min="6681" max="6692" width="53" style="777" customWidth="1"/>
    <col min="6693" max="6693" width="176.5" style="777" customWidth="1"/>
    <col min="6694" max="6701" width="63" style="777" customWidth="1"/>
    <col min="6702" max="6703" width="45.1640625" style="777" customWidth="1"/>
    <col min="6704" max="6704" width="36.83203125" style="777" customWidth="1"/>
    <col min="6705" max="6909" width="9.33203125" style="777"/>
    <col min="6910" max="6910" width="176.6640625" style="777" customWidth="1"/>
    <col min="6911" max="6922" width="55" style="777" customWidth="1"/>
    <col min="6923" max="6923" width="176.6640625" style="777" customWidth="1"/>
    <col min="6924" max="6935" width="53" style="777" customWidth="1"/>
    <col min="6936" max="6936" width="176.5" style="777" customWidth="1"/>
    <col min="6937" max="6948" width="53" style="777" customWidth="1"/>
    <col min="6949" max="6949" width="176.5" style="777" customWidth="1"/>
    <col min="6950" max="6957" width="63" style="777" customWidth="1"/>
    <col min="6958" max="6959" width="45.1640625" style="777" customWidth="1"/>
    <col min="6960" max="6960" width="36.83203125" style="777" customWidth="1"/>
    <col min="6961" max="7165" width="9.33203125" style="777"/>
    <col min="7166" max="7166" width="176.6640625" style="777" customWidth="1"/>
    <col min="7167" max="7178" width="55" style="777" customWidth="1"/>
    <col min="7179" max="7179" width="176.6640625" style="777" customWidth="1"/>
    <col min="7180" max="7191" width="53" style="777" customWidth="1"/>
    <col min="7192" max="7192" width="176.5" style="777" customWidth="1"/>
    <col min="7193" max="7204" width="53" style="777" customWidth="1"/>
    <col min="7205" max="7205" width="176.5" style="777" customWidth="1"/>
    <col min="7206" max="7213" width="63" style="777" customWidth="1"/>
    <col min="7214" max="7215" width="45.1640625" style="777" customWidth="1"/>
    <col min="7216" max="7216" width="36.83203125" style="777" customWidth="1"/>
    <col min="7217" max="7421" width="9.33203125" style="777"/>
    <col min="7422" max="7422" width="176.6640625" style="777" customWidth="1"/>
    <col min="7423" max="7434" width="55" style="777" customWidth="1"/>
    <col min="7435" max="7435" width="176.6640625" style="777" customWidth="1"/>
    <col min="7436" max="7447" width="53" style="777" customWidth="1"/>
    <col min="7448" max="7448" width="176.5" style="777" customWidth="1"/>
    <col min="7449" max="7460" width="53" style="777" customWidth="1"/>
    <col min="7461" max="7461" width="176.5" style="777" customWidth="1"/>
    <col min="7462" max="7469" width="63" style="777" customWidth="1"/>
    <col min="7470" max="7471" width="45.1640625" style="777" customWidth="1"/>
    <col min="7472" max="7472" width="36.83203125" style="777" customWidth="1"/>
    <col min="7473" max="7677" width="9.33203125" style="777"/>
    <col min="7678" max="7678" width="176.6640625" style="777" customWidth="1"/>
    <col min="7679" max="7690" width="55" style="777" customWidth="1"/>
    <col min="7691" max="7691" width="176.6640625" style="777" customWidth="1"/>
    <col min="7692" max="7703" width="53" style="777" customWidth="1"/>
    <col min="7704" max="7704" width="176.5" style="777" customWidth="1"/>
    <col min="7705" max="7716" width="53" style="777" customWidth="1"/>
    <col min="7717" max="7717" width="176.5" style="777" customWidth="1"/>
    <col min="7718" max="7725" width="63" style="777" customWidth="1"/>
    <col min="7726" max="7727" width="45.1640625" style="777" customWidth="1"/>
    <col min="7728" max="7728" width="36.83203125" style="777" customWidth="1"/>
    <col min="7729" max="7933" width="9.33203125" style="777"/>
    <col min="7934" max="7934" width="176.6640625" style="777" customWidth="1"/>
    <col min="7935" max="7946" width="55" style="777" customWidth="1"/>
    <col min="7947" max="7947" width="176.6640625" style="777" customWidth="1"/>
    <col min="7948" max="7959" width="53" style="777" customWidth="1"/>
    <col min="7960" max="7960" width="176.5" style="777" customWidth="1"/>
    <col min="7961" max="7972" width="53" style="777" customWidth="1"/>
    <col min="7973" max="7973" width="176.5" style="777" customWidth="1"/>
    <col min="7974" max="7981" width="63" style="777" customWidth="1"/>
    <col min="7982" max="7983" width="45.1640625" style="777" customWidth="1"/>
    <col min="7984" max="7984" width="36.83203125" style="777" customWidth="1"/>
    <col min="7985" max="8189" width="9.33203125" style="777"/>
    <col min="8190" max="8190" width="176.6640625" style="777" customWidth="1"/>
    <col min="8191" max="8202" width="55" style="777" customWidth="1"/>
    <col min="8203" max="8203" width="176.6640625" style="777" customWidth="1"/>
    <col min="8204" max="8215" width="53" style="777" customWidth="1"/>
    <col min="8216" max="8216" width="176.5" style="777" customWidth="1"/>
    <col min="8217" max="8228" width="53" style="777" customWidth="1"/>
    <col min="8229" max="8229" width="176.5" style="777" customWidth="1"/>
    <col min="8230" max="8237" width="63" style="777" customWidth="1"/>
    <col min="8238" max="8239" width="45.1640625" style="777" customWidth="1"/>
    <col min="8240" max="8240" width="36.83203125" style="777" customWidth="1"/>
    <col min="8241" max="8445" width="9.33203125" style="777"/>
    <col min="8446" max="8446" width="176.6640625" style="777" customWidth="1"/>
    <col min="8447" max="8458" width="55" style="777" customWidth="1"/>
    <col min="8459" max="8459" width="176.6640625" style="777" customWidth="1"/>
    <col min="8460" max="8471" width="53" style="777" customWidth="1"/>
    <col min="8472" max="8472" width="176.5" style="777" customWidth="1"/>
    <col min="8473" max="8484" width="53" style="777" customWidth="1"/>
    <col min="8485" max="8485" width="176.5" style="777" customWidth="1"/>
    <col min="8486" max="8493" width="63" style="777" customWidth="1"/>
    <col min="8494" max="8495" width="45.1640625" style="777" customWidth="1"/>
    <col min="8496" max="8496" width="36.83203125" style="777" customWidth="1"/>
    <col min="8497" max="8701" width="9.33203125" style="777"/>
    <col min="8702" max="8702" width="176.6640625" style="777" customWidth="1"/>
    <col min="8703" max="8714" width="55" style="777" customWidth="1"/>
    <col min="8715" max="8715" width="176.6640625" style="777" customWidth="1"/>
    <col min="8716" max="8727" width="53" style="777" customWidth="1"/>
    <col min="8728" max="8728" width="176.5" style="777" customWidth="1"/>
    <col min="8729" max="8740" width="53" style="777" customWidth="1"/>
    <col min="8741" max="8741" width="176.5" style="777" customWidth="1"/>
    <col min="8742" max="8749" width="63" style="777" customWidth="1"/>
    <col min="8750" max="8751" width="45.1640625" style="777" customWidth="1"/>
    <col min="8752" max="8752" width="36.83203125" style="777" customWidth="1"/>
    <col min="8753" max="8957" width="9.33203125" style="777"/>
    <col min="8958" max="8958" width="176.6640625" style="777" customWidth="1"/>
    <col min="8959" max="8970" width="55" style="777" customWidth="1"/>
    <col min="8971" max="8971" width="176.6640625" style="777" customWidth="1"/>
    <col min="8972" max="8983" width="53" style="777" customWidth="1"/>
    <col min="8984" max="8984" width="176.5" style="777" customWidth="1"/>
    <col min="8985" max="8996" width="53" style="777" customWidth="1"/>
    <col min="8997" max="8997" width="176.5" style="777" customWidth="1"/>
    <col min="8998" max="9005" width="63" style="777" customWidth="1"/>
    <col min="9006" max="9007" width="45.1640625" style="777" customWidth="1"/>
    <col min="9008" max="9008" width="36.83203125" style="777" customWidth="1"/>
    <col min="9009" max="9213" width="9.33203125" style="777"/>
    <col min="9214" max="9214" width="176.6640625" style="777" customWidth="1"/>
    <col min="9215" max="9226" width="55" style="777" customWidth="1"/>
    <col min="9227" max="9227" width="176.6640625" style="777" customWidth="1"/>
    <col min="9228" max="9239" width="53" style="777" customWidth="1"/>
    <col min="9240" max="9240" width="176.5" style="777" customWidth="1"/>
    <col min="9241" max="9252" width="53" style="777" customWidth="1"/>
    <col min="9253" max="9253" width="176.5" style="777" customWidth="1"/>
    <col min="9254" max="9261" width="63" style="777" customWidth="1"/>
    <col min="9262" max="9263" width="45.1640625" style="777" customWidth="1"/>
    <col min="9264" max="9264" width="36.83203125" style="777" customWidth="1"/>
    <col min="9265" max="9469" width="9.33203125" style="777"/>
    <col min="9470" max="9470" width="176.6640625" style="777" customWidth="1"/>
    <col min="9471" max="9482" width="55" style="777" customWidth="1"/>
    <col min="9483" max="9483" width="176.6640625" style="777" customWidth="1"/>
    <col min="9484" max="9495" width="53" style="777" customWidth="1"/>
    <col min="9496" max="9496" width="176.5" style="777" customWidth="1"/>
    <col min="9497" max="9508" width="53" style="777" customWidth="1"/>
    <col min="9509" max="9509" width="176.5" style="777" customWidth="1"/>
    <col min="9510" max="9517" width="63" style="777" customWidth="1"/>
    <col min="9518" max="9519" width="45.1640625" style="777" customWidth="1"/>
    <col min="9520" max="9520" width="36.83203125" style="777" customWidth="1"/>
    <col min="9521" max="9725" width="9.33203125" style="777"/>
    <col min="9726" max="9726" width="176.6640625" style="777" customWidth="1"/>
    <col min="9727" max="9738" width="55" style="777" customWidth="1"/>
    <col min="9739" max="9739" width="176.6640625" style="777" customWidth="1"/>
    <col min="9740" max="9751" width="53" style="777" customWidth="1"/>
    <col min="9752" max="9752" width="176.5" style="777" customWidth="1"/>
    <col min="9753" max="9764" width="53" style="777" customWidth="1"/>
    <col min="9765" max="9765" width="176.5" style="777" customWidth="1"/>
    <col min="9766" max="9773" width="63" style="777" customWidth="1"/>
    <col min="9774" max="9775" width="45.1640625" style="777" customWidth="1"/>
    <col min="9776" max="9776" width="36.83203125" style="777" customWidth="1"/>
    <col min="9777" max="9981" width="9.33203125" style="777"/>
    <col min="9982" max="9982" width="176.6640625" style="777" customWidth="1"/>
    <col min="9983" max="9994" width="55" style="777" customWidth="1"/>
    <col min="9995" max="9995" width="176.6640625" style="777" customWidth="1"/>
    <col min="9996" max="10007" width="53" style="777" customWidth="1"/>
    <col min="10008" max="10008" width="176.5" style="777" customWidth="1"/>
    <col min="10009" max="10020" width="53" style="777" customWidth="1"/>
    <col min="10021" max="10021" width="176.5" style="777" customWidth="1"/>
    <col min="10022" max="10029" width="63" style="777" customWidth="1"/>
    <col min="10030" max="10031" width="45.1640625" style="777" customWidth="1"/>
    <col min="10032" max="10032" width="36.83203125" style="777" customWidth="1"/>
    <col min="10033" max="10237" width="9.33203125" style="777"/>
    <col min="10238" max="10238" width="176.6640625" style="777" customWidth="1"/>
    <col min="10239" max="10250" width="55" style="777" customWidth="1"/>
    <col min="10251" max="10251" width="176.6640625" style="777" customWidth="1"/>
    <col min="10252" max="10263" width="53" style="777" customWidth="1"/>
    <col min="10264" max="10264" width="176.5" style="777" customWidth="1"/>
    <col min="10265" max="10276" width="53" style="777" customWidth="1"/>
    <col min="10277" max="10277" width="176.5" style="777" customWidth="1"/>
    <col min="10278" max="10285" width="63" style="777" customWidth="1"/>
    <col min="10286" max="10287" width="45.1640625" style="777" customWidth="1"/>
    <col min="10288" max="10288" width="36.83203125" style="777" customWidth="1"/>
    <col min="10289" max="10493" width="9.33203125" style="777"/>
    <col min="10494" max="10494" width="176.6640625" style="777" customWidth="1"/>
    <col min="10495" max="10506" width="55" style="777" customWidth="1"/>
    <col min="10507" max="10507" width="176.6640625" style="777" customWidth="1"/>
    <col min="10508" max="10519" width="53" style="777" customWidth="1"/>
    <col min="10520" max="10520" width="176.5" style="777" customWidth="1"/>
    <col min="10521" max="10532" width="53" style="777" customWidth="1"/>
    <col min="10533" max="10533" width="176.5" style="777" customWidth="1"/>
    <col min="10534" max="10541" width="63" style="777" customWidth="1"/>
    <col min="10542" max="10543" width="45.1640625" style="777" customWidth="1"/>
    <col min="10544" max="10544" width="36.83203125" style="777" customWidth="1"/>
    <col min="10545" max="10749" width="9.33203125" style="777"/>
    <col min="10750" max="10750" width="176.6640625" style="777" customWidth="1"/>
    <col min="10751" max="10762" width="55" style="777" customWidth="1"/>
    <col min="10763" max="10763" width="176.6640625" style="777" customWidth="1"/>
    <col min="10764" max="10775" width="53" style="777" customWidth="1"/>
    <col min="10776" max="10776" width="176.5" style="777" customWidth="1"/>
    <col min="10777" max="10788" width="53" style="777" customWidth="1"/>
    <col min="10789" max="10789" width="176.5" style="777" customWidth="1"/>
    <col min="10790" max="10797" width="63" style="777" customWidth="1"/>
    <col min="10798" max="10799" width="45.1640625" style="777" customWidth="1"/>
    <col min="10800" max="10800" width="36.83203125" style="777" customWidth="1"/>
    <col min="10801" max="11005" width="9.33203125" style="777"/>
    <col min="11006" max="11006" width="176.6640625" style="777" customWidth="1"/>
    <col min="11007" max="11018" width="55" style="777" customWidth="1"/>
    <col min="11019" max="11019" width="176.6640625" style="777" customWidth="1"/>
    <col min="11020" max="11031" width="53" style="777" customWidth="1"/>
    <col min="11032" max="11032" width="176.5" style="777" customWidth="1"/>
    <col min="11033" max="11044" width="53" style="777" customWidth="1"/>
    <col min="11045" max="11045" width="176.5" style="777" customWidth="1"/>
    <col min="11046" max="11053" width="63" style="777" customWidth="1"/>
    <col min="11054" max="11055" width="45.1640625" style="777" customWidth="1"/>
    <col min="11056" max="11056" width="36.83203125" style="777" customWidth="1"/>
    <col min="11057" max="11261" width="9.33203125" style="777"/>
    <col min="11262" max="11262" width="176.6640625" style="777" customWidth="1"/>
    <col min="11263" max="11274" width="55" style="777" customWidth="1"/>
    <col min="11275" max="11275" width="176.6640625" style="777" customWidth="1"/>
    <col min="11276" max="11287" width="53" style="777" customWidth="1"/>
    <col min="11288" max="11288" width="176.5" style="777" customWidth="1"/>
    <col min="11289" max="11300" width="53" style="777" customWidth="1"/>
    <col min="11301" max="11301" width="176.5" style="777" customWidth="1"/>
    <col min="11302" max="11309" width="63" style="777" customWidth="1"/>
    <col min="11310" max="11311" width="45.1640625" style="777" customWidth="1"/>
    <col min="11312" max="11312" width="36.83203125" style="777" customWidth="1"/>
    <col min="11313" max="11517" width="9.33203125" style="777"/>
    <col min="11518" max="11518" width="176.6640625" style="777" customWidth="1"/>
    <col min="11519" max="11530" width="55" style="777" customWidth="1"/>
    <col min="11531" max="11531" width="176.6640625" style="777" customWidth="1"/>
    <col min="11532" max="11543" width="53" style="777" customWidth="1"/>
    <col min="11544" max="11544" width="176.5" style="777" customWidth="1"/>
    <col min="11545" max="11556" width="53" style="777" customWidth="1"/>
    <col min="11557" max="11557" width="176.5" style="777" customWidth="1"/>
    <col min="11558" max="11565" width="63" style="777" customWidth="1"/>
    <col min="11566" max="11567" width="45.1640625" style="777" customWidth="1"/>
    <col min="11568" max="11568" width="36.83203125" style="777" customWidth="1"/>
    <col min="11569" max="11773" width="9.33203125" style="777"/>
    <col min="11774" max="11774" width="176.6640625" style="777" customWidth="1"/>
    <col min="11775" max="11786" width="55" style="777" customWidth="1"/>
    <col min="11787" max="11787" width="176.6640625" style="777" customWidth="1"/>
    <col min="11788" max="11799" width="53" style="777" customWidth="1"/>
    <col min="11800" max="11800" width="176.5" style="777" customWidth="1"/>
    <col min="11801" max="11812" width="53" style="777" customWidth="1"/>
    <col min="11813" max="11813" width="176.5" style="777" customWidth="1"/>
    <col min="11814" max="11821" width="63" style="777" customWidth="1"/>
    <col min="11822" max="11823" width="45.1640625" style="777" customWidth="1"/>
    <col min="11824" max="11824" width="36.83203125" style="777" customWidth="1"/>
    <col min="11825" max="12029" width="9.33203125" style="777"/>
    <col min="12030" max="12030" width="176.6640625" style="777" customWidth="1"/>
    <col min="12031" max="12042" width="55" style="777" customWidth="1"/>
    <col min="12043" max="12043" width="176.6640625" style="777" customWidth="1"/>
    <col min="12044" max="12055" width="53" style="777" customWidth="1"/>
    <col min="12056" max="12056" width="176.5" style="777" customWidth="1"/>
    <col min="12057" max="12068" width="53" style="777" customWidth="1"/>
    <col min="12069" max="12069" width="176.5" style="777" customWidth="1"/>
    <col min="12070" max="12077" width="63" style="777" customWidth="1"/>
    <col min="12078" max="12079" width="45.1640625" style="777" customWidth="1"/>
    <col min="12080" max="12080" width="36.83203125" style="777" customWidth="1"/>
    <col min="12081" max="12285" width="9.33203125" style="777"/>
    <col min="12286" max="12286" width="176.6640625" style="777" customWidth="1"/>
    <col min="12287" max="12298" width="55" style="777" customWidth="1"/>
    <col min="12299" max="12299" width="176.6640625" style="777" customWidth="1"/>
    <col min="12300" max="12311" width="53" style="777" customWidth="1"/>
    <col min="12312" max="12312" width="176.5" style="777" customWidth="1"/>
    <col min="12313" max="12324" width="53" style="777" customWidth="1"/>
    <col min="12325" max="12325" width="176.5" style="777" customWidth="1"/>
    <col min="12326" max="12333" width="63" style="777" customWidth="1"/>
    <col min="12334" max="12335" width="45.1640625" style="777" customWidth="1"/>
    <col min="12336" max="12336" width="36.83203125" style="777" customWidth="1"/>
    <col min="12337" max="12541" width="9.33203125" style="777"/>
    <col min="12542" max="12542" width="176.6640625" style="777" customWidth="1"/>
    <col min="12543" max="12554" width="55" style="777" customWidth="1"/>
    <col min="12555" max="12555" width="176.6640625" style="777" customWidth="1"/>
    <col min="12556" max="12567" width="53" style="777" customWidth="1"/>
    <col min="12568" max="12568" width="176.5" style="777" customWidth="1"/>
    <col min="12569" max="12580" width="53" style="777" customWidth="1"/>
    <col min="12581" max="12581" width="176.5" style="777" customWidth="1"/>
    <col min="12582" max="12589" width="63" style="777" customWidth="1"/>
    <col min="12590" max="12591" width="45.1640625" style="777" customWidth="1"/>
    <col min="12592" max="12592" width="36.83203125" style="777" customWidth="1"/>
    <col min="12593" max="12797" width="9.33203125" style="777"/>
    <col min="12798" max="12798" width="176.6640625" style="777" customWidth="1"/>
    <col min="12799" max="12810" width="55" style="777" customWidth="1"/>
    <col min="12811" max="12811" width="176.6640625" style="777" customWidth="1"/>
    <col min="12812" max="12823" width="53" style="777" customWidth="1"/>
    <col min="12824" max="12824" width="176.5" style="777" customWidth="1"/>
    <col min="12825" max="12836" width="53" style="777" customWidth="1"/>
    <col min="12837" max="12837" width="176.5" style="777" customWidth="1"/>
    <col min="12838" max="12845" width="63" style="777" customWidth="1"/>
    <col min="12846" max="12847" width="45.1640625" style="777" customWidth="1"/>
    <col min="12848" max="12848" width="36.83203125" style="777" customWidth="1"/>
    <col min="12849" max="13053" width="9.33203125" style="777"/>
    <col min="13054" max="13054" width="176.6640625" style="777" customWidth="1"/>
    <col min="13055" max="13066" width="55" style="777" customWidth="1"/>
    <col min="13067" max="13067" width="176.6640625" style="777" customWidth="1"/>
    <col min="13068" max="13079" width="53" style="777" customWidth="1"/>
    <col min="13080" max="13080" width="176.5" style="777" customWidth="1"/>
    <col min="13081" max="13092" width="53" style="777" customWidth="1"/>
    <col min="13093" max="13093" width="176.5" style="777" customWidth="1"/>
    <col min="13094" max="13101" width="63" style="777" customWidth="1"/>
    <col min="13102" max="13103" width="45.1640625" style="777" customWidth="1"/>
    <col min="13104" max="13104" width="36.83203125" style="777" customWidth="1"/>
    <col min="13105" max="13309" width="9.33203125" style="777"/>
    <col min="13310" max="13310" width="176.6640625" style="777" customWidth="1"/>
    <col min="13311" max="13322" width="55" style="777" customWidth="1"/>
    <col min="13323" max="13323" width="176.6640625" style="777" customWidth="1"/>
    <col min="13324" max="13335" width="53" style="777" customWidth="1"/>
    <col min="13336" max="13336" width="176.5" style="777" customWidth="1"/>
    <col min="13337" max="13348" width="53" style="777" customWidth="1"/>
    <col min="13349" max="13349" width="176.5" style="777" customWidth="1"/>
    <col min="13350" max="13357" width="63" style="777" customWidth="1"/>
    <col min="13358" max="13359" width="45.1640625" style="777" customWidth="1"/>
    <col min="13360" max="13360" width="36.83203125" style="777" customWidth="1"/>
    <col min="13361" max="13565" width="9.33203125" style="777"/>
    <col min="13566" max="13566" width="176.6640625" style="777" customWidth="1"/>
    <col min="13567" max="13578" width="55" style="777" customWidth="1"/>
    <col min="13579" max="13579" width="176.6640625" style="777" customWidth="1"/>
    <col min="13580" max="13591" width="53" style="777" customWidth="1"/>
    <col min="13592" max="13592" width="176.5" style="777" customWidth="1"/>
    <col min="13593" max="13604" width="53" style="777" customWidth="1"/>
    <col min="13605" max="13605" width="176.5" style="777" customWidth="1"/>
    <col min="13606" max="13613" width="63" style="777" customWidth="1"/>
    <col min="13614" max="13615" width="45.1640625" style="777" customWidth="1"/>
    <col min="13616" max="13616" width="36.83203125" style="777" customWidth="1"/>
    <col min="13617" max="13821" width="9.33203125" style="777"/>
    <col min="13822" max="13822" width="176.6640625" style="777" customWidth="1"/>
    <col min="13823" max="13834" width="55" style="777" customWidth="1"/>
    <col min="13835" max="13835" width="176.6640625" style="777" customWidth="1"/>
    <col min="13836" max="13847" width="53" style="777" customWidth="1"/>
    <col min="13848" max="13848" width="176.5" style="777" customWidth="1"/>
    <col min="13849" max="13860" width="53" style="777" customWidth="1"/>
    <col min="13861" max="13861" width="176.5" style="777" customWidth="1"/>
    <col min="13862" max="13869" width="63" style="777" customWidth="1"/>
    <col min="13870" max="13871" width="45.1640625" style="777" customWidth="1"/>
    <col min="13872" max="13872" width="36.83203125" style="777" customWidth="1"/>
    <col min="13873" max="14077" width="9.33203125" style="777"/>
    <col min="14078" max="14078" width="176.6640625" style="777" customWidth="1"/>
    <col min="14079" max="14090" width="55" style="777" customWidth="1"/>
    <col min="14091" max="14091" width="176.6640625" style="777" customWidth="1"/>
    <col min="14092" max="14103" width="53" style="777" customWidth="1"/>
    <col min="14104" max="14104" width="176.5" style="777" customWidth="1"/>
    <col min="14105" max="14116" width="53" style="777" customWidth="1"/>
    <col min="14117" max="14117" width="176.5" style="777" customWidth="1"/>
    <col min="14118" max="14125" width="63" style="777" customWidth="1"/>
    <col min="14126" max="14127" width="45.1640625" style="777" customWidth="1"/>
    <col min="14128" max="14128" width="36.83203125" style="777" customWidth="1"/>
    <col min="14129" max="14333" width="9.33203125" style="777"/>
    <col min="14334" max="14334" width="176.6640625" style="777" customWidth="1"/>
    <col min="14335" max="14346" width="55" style="777" customWidth="1"/>
    <col min="14347" max="14347" width="176.6640625" style="777" customWidth="1"/>
    <col min="14348" max="14359" width="53" style="777" customWidth="1"/>
    <col min="14360" max="14360" width="176.5" style="777" customWidth="1"/>
    <col min="14361" max="14372" width="53" style="777" customWidth="1"/>
    <col min="14373" max="14373" width="176.5" style="777" customWidth="1"/>
    <col min="14374" max="14381" width="63" style="777" customWidth="1"/>
    <col min="14382" max="14383" width="45.1640625" style="777" customWidth="1"/>
    <col min="14384" max="14384" width="36.83203125" style="777" customWidth="1"/>
    <col min="14385" max="14589" width="9.33203125" style="777"/>
    <col min="14590" max="14590" width="176.6640625" style="777" customWidth="1"/>
    <col min="14591" max="14602" width="55" style="777" customWidth="1"/>
    <col min="14603" max="14603" width="176.6640625" style="777" customWidth="1"/>
    <col min="14604" max="14615" width="53" style="777" customWidth="1"/>
    <col min="14616" max="14616" width="176.5" style="777" customWidth="1"/>
    <col min="14617" max="14628" width="53" style="777" customWidth="1"/>
    <col min="14629" max="14629" width="176.5" style="777" customWidth="1"/>
    <col min="14630" max="14637" width="63" style="777" customWidth="1"/>
    <col min="14638" max="14639" width="45.1640625" style="777" customWidth="1"/>
    <col min="14640" max="14640" width="36.83203125" style="777" customWidth="1"/>
    <col min="14641" max="14845" width="9.33203125" style="777"/>
    <col min="14846" max="14846" width="176.6640625" style="777" customWidth="1"/>
    <col min="14847" max="14858" width="55" style="777" customWidth="1"/>
    <col min="14859" max="14859" width="176.6640625" style="777" customWidth="1"/>
    <col min="14860" max="14871" width="53" style="777" customWidth="1"/>
    <col min="14872" max="14872" width="176.5" style="777" customWidth="1"/>
    <col min="14873" max="14884" width="53" style="777" customWidth="1"/>
    <col min="14885" max="14885" width="176.5" style="777" customWidth="1"/>
    <col min="14886" max="14893" width="63" style="777" customWidth="1"/>
    <col min="14894" max="14895" width="45.1640625" style="777" customWidth="1"/>
    <col min="14896" max="14896" width="36.83203125" style="777" customWidth="1"/>
    <col min="14897" max="15101" width="9.33203125" style="777"/>
    <col min="15102" max="15102" width="176.6640625" style="777" customWidth="1"/>
    <col min="15103" max="15114" width="55" style="777" customWidth="1"/>
    <col min="15115" max="15115" width="176.6640625" style="777" customWidth="1"/>
    <col min="15116" max="15127" width="53" style="777" customWidth="1"/>
    <col min="15128" max="15128" width="176.5" style="777" customWidth="1"/>
    <col min="15129" max="15140" width="53" style="777" customWidth="1"/>
    <col min="15141" max="15141" width="176.5" style="777" customWidth="1"/>
    <col min="15142" max="15149" width="63" style="777" customWidth="1"/>
    <col min="15150" max="15151" width="45.1640625" style="777" customWidth="1"/>
    <col min="15152" max="15152" width="36.83203125" style="777" customWidth="1"/>
    <col min="15153" max="15357" width="9.33203125" style="777"/>
    <col min="15358" max="15358" width="176.6640625" style="777" customWidth="1"/>
    <col min="15359" max="15370" width="55" style="777" customWidth="1"/>
    <col min="15371" max="15371" width="176.6640625" style="777" customWidth="1"/>
    <col min="15372" max="15383" width="53" style="777" customWidth="1"/>
    <col min="15384" max="15384" width="176.5" style="777" customWidth="1"/>
    <col min="15385" max="15396" width="53" style="777" customWidth="1"/>
    <col min="15397" max="15397" width="176.5" style="777" customWidth="1"/>
    <col min="15398" max="15405" width="63" style="777" customWidth="1"/>
    <col min="15406" max="15407" width="45.1640625" style="777" customWidth="1"/>
    <col min="15408" max="15408" width="36.83203125" style="777" customWidth="1"/>
    <col min="15409" max="15613" width="9.33203125" style="777"/>
    <col min="15614" max="15614" width="176.6640625" style="777" customWidth="1"/>
    <col min="15615" max="15626" width="55" style="777" customWidth="1"/>
    <col min="15627" max="15627" width="176.6640625" style="777" customWidth="1"/>
    <col min="15628" max="15639" width="53" style="777" customWidth="1"/>
    <col min="15640" max="15640" width="176.5" style="777" customWidth="1"/>
    <col min="15641" max="15652" width="53" style="777" customWidth="1"/>
    <col min="15653" max="15653" width="176.5" style="777" customWidth="1"/>
    <col min="15654" max="15661" width="63" style="777" customWidth="1"/>
    <col min="15662" max="15663" width="45.1640625" style="777" customWidth="1"/>
    <col min="15664" max="15664" width="36.83203125" style="777" customWidth="1"/>
    <col min="15665" max="15869" width="9.33203125" style="777"/>
    <col min="15870" max="15870" width="176.6640625" style="777" customWidth="1"/>
    <col min="15871" max="15882" width="55" style="777" customWidth="1"/>
    <col min="15883" max="15883" width="176.6640625" style="777" customWidth="1"/>
    <col min="15884" max="15895" width="53" style="777" customWidth="1"/>
    <col min="15896" max="15896" width="176.5" style="777" customWidth="1"/>
    <col min="15897" max="15908" width="53" style="777" customWidth="1"/>
    <col min="15909" max="15909" width="176.5" style="777" customWidth="1"/>
    <col min="15910" max="15917" width="63" style="777" customWidth="1"/>
    <col min="15918" max="15919" width="45.1640625" style="777" customWidth="1"/>
    <col min="15920" max="15920" width="36.83203125" style="777" customWidth="1"/>
    <col min="15921" max="16125" width="9.33203125" style="777"/>
    <col min="16126" max="16126" width="176.6640625" style="777" customWidth="1"/>
    <col min="16127" max="16138" width="55" style="777" customWidth="1"/>
    <col min="16139" max="16139" width="176.6640625" style="777" customWidth="1"/>
    <col min="16140" max="16151" width="53" style="777" customWidth="1"/>
    <col min="16152" max="16152" width="176.5" style="777" customWidth="1"/>
    <col min="16153" max="16164" width="53" style="777" customWidth="1"/>
    <col min="16165" max="16165" width="176.5" style="777" customWidth="1"/>
    <col min="16166" max="16173" width="63" style="777" customWidth="1"/>
    <col min="16174" max="16175" width="45.1640625" style="777" customWidth="1"/>
    <col min="16176" max="16176" width="36.83203125" style="777" customWidth="1"/>
    <col min="16177" max="16384" width="9.33203125" style="777"/>
  </cols>
  <sheetData>
    <row r="1" spans="1:61" ht="38.25" customHeight="1" x14ac:dyDescent="0.35">
      <c r="A1" s="773"/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3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  <c r="AA1" s="775"/>
      <c r="AB1" s="773"/>
      <c r="AC1" s="773"/>
      <c r="AD1" s="773"/>
      <c r="AE1" s="773"/>
      <c r="AF1" s="773"/>
      <c r="AG1" s="773"/>
      <c r="AH1" s="773"/>
      <c r="AI1" s="773"/>
      <c r="AJ1" s="773"/>
      <c r="AK1" s="773"/>
      <c r="AL1" s="773"/>
      <c r="AM1" s="773"/>
      <c r="AN1" s="775"/>
      <c r="AO1" s="773"/>
      <c r="AP1" s="773"/>
      <c r="AQ1" s="773"/>
      <c r="AR1" s="773"/>
      <c r="AS1" s="773"/>
      <c r="AT1" s="773"/>
      <c r="AU1" s="773"/>
      <c r="AV1" s="773"/>
      <c r="AW1" s="776"/>
      <c r="AX1" s="776"/>
      <c r="AY1" s="776"/>
      <c r="AZ1" s="776"/>
      <c r="BA1" s="776"/>
      <c r="BB1" s="776"/>
      <c r="BC1" s="776"/>
      <c r="BD1" s="776"/>
      <c r="BE1" s="776"/>
      <c r="BF1" s="776"/>
      <c r="BG1" s="776"/>
      <c r="BH1" s="776"/>
      <c r="BI1" s="776"/>
    </row>
    <row r="2" spans="1:61" s="779" customFormat="1" ht="54" customHeight="1" x14ac:dyDescent="0.9">
      <c r="A2" s="1933" t="s">
        <v>658</v>
      </c>
      <c r="B2" s="1933"/>
      <c r="C2" s="1933"/>
      <c r="D2" s="1933"/>
      <c r="E2" s="1933"/>
      <c r="F2" s="1933"/>
      <c r="G2" s="1933"/>
      <c r="H2" s="1933"/>
      <c r="I2" s="1933"/>
      <c r="J2" s="1933"/>
      <c r="K2" s="1933"/>
      <c r="L2" s="1933"/>
      <c r="M2" s="1933"/>
      <c r="N2" s="1905" t="s">
        <v>658</v>
      </c>
      <c r="O2" s="1905"/>
      <c r="P2" s="1905"/>
      <c r="Q2" s="1905"/>
      <c r="R2" s="1905"/>
      <c r="S2" s="1905"/>
      <c r="T2" s="1905"/>
      <c r="U2" s="1905"/>
      <c r="V2" s="1905"/>
      <c r="W2" s="1905"/>
      <c r="X2" s="1905"/>
      <c r="Y2" s="1905"/>
      <c r="Z2" s="1905"/>
      <c r="AA2" s="1905" t="s">
        <v>658</v>
      </c>
      <c r="AB2" s="1905"/>
      <c r="AC2" s="1905"/>
      <c r="AD2" s="1905"/>
      <c r="AE2" s="1905"/>
      <c r="AF2" s="1905"/>
      <c r="AG2" s="1905"/>
      <c r="AH2" s="1905"/>
      <c r="AI2" s="1905"/>
      <c r="AJ2" s="1905"/>
      <c r="AK2" s="1905"/>
      <c r="AL2" s="1905"/>
      <c r="AM2" s="1905"/>
      <c r="AN2" s="1905" t="s">
        <v>658</v>
      </c>
      <c r="AO2" s="1905"/>
      <c r="AP2" s="1905"/>
      <c r="AQ2" s="1905"/>
      <c r="AR2" s="1905"/>
      <c r="AS2" s="1905"/>
      <c r="AT2" s="1905"/>
      <c r="AU2" s="1905"/>
      <c r="AV2" s="1905"/>
      <c r="AW2" s="778"/>
      <c r="AX2" s="778"/>
      <c r="AY2" s="778"/>
      <c r="AZ2" s="778"/>
      <c r="BA2" s="778"/>
      <c r="BB2" s="778"/>
      <c r="BC2" s="778"/>
      <c r="BD2" s="778"/>
      <c r="BE2" s="778"/>
      <c r="BF2" s="778"/>
      <c r="BG2" s="778"/>
      <c r="BH2" s="778"/>
      <c r="BI2" s="778"/>
    </row>
    <row r="3" spans="1:61" s="779" customFormat="1" ht="54" customHeight="1" x14ac:dyDescent="0.9">
      <c r="A3" s="1933" t="s">
        <v>1260</v>
      </c>
      <c r="B3" s="1933"/>
      <c r="C3" s="1933"/>
      <c r="D3" s="1933"/>
      <c r="E3" s="1933"/>
      <c r="F3" s="1933"/>
      <c r="G3" s="1933"/>
      <c r="H3" s="1933"/>
      <c r="I3" s="1933"/>
      <c r="J3" s="1933"/>
      <c r="K3" s="1933"/>
      <c r="L3" s="1933"/>
      <c r="M3" s="1933"/>
      <c r="N3" s="1905" t="s">
        <v>1260</v>
      </c>
      <c r="O3" s="1905"/>
      <c r="P3" s="1905"/>
      <c r="Q3" s="1905"/>
      <c r="R3" s="1905"/>
      <c r="S3" s="1905"/>
      <c r="T3" s="1905"/>
      <c r="U3" s="1905"/>
      <c r="V3" s="1905"/>
      <c r="W3" s="1905"/>
      <c r="X3" s="1905"/>
      <c r="Y3" s="1905"/>
      <c r="Z3" s="1905"/>
      <c r="AA3" s="1905" t="s">
        <v>1260</v>
      </c>
      <c r="AB3" s="1905"/>
      <c r="AC3" s="1905"/>
      <c r="AD3" s="1905"/>
      <c r="AE3" s="1905"/>
      <c r="AF3" s="1905"/>
      <c r="AG3" s="1905"/>
      <c r="AH3" s="1905"/>
      <c r="AI3" s="1905"/>
      <c r="AJ3" s="1905"/>
      <c r="AK3" s="1905"/>
      <c r="AL3" s="1905"/>
      <c r="AM3" s="1905"/>
      <c r="AN3" s="1905" t="s">
        <v>1260</v>
      </c>
      <c r="AO3" s="1905"/>
      <c r="AP3" s="1905"/>
      <c r="AQ3" s="1905"/>
      <c r="AR3" s="1905"/>
      <c r="AS3" s="1905"/>
      <c r="AT3" s="1905"/>
      <c r="AU3" s="1905"/>
      <c r="AV3" s="1905"/>
      <c r="AW3" s="778"/>
      <c r="AX3" s="778"/>
      <c r="AY3" s="778"/>
      <c r="AZ3" s="778"/>
      <c r="BA3" s="778"/>
      <c r="BB3" s="778"/>
      <c r="BC3" s="778"/>
      <c r="BD3" s="778"/>
      <c r="BE3" s="778"/>
      <c r="BF3" s="778"/>
      <c r="BG3" s="778"/>
      <c r="BH3" s="778"/>
      <c r="BI3" s="778"/>
    </row>
    <row r="4" spans="1:61" ht="62.25" customHeight="1" thickBot="1" x14ac:dyDescent="0.4">
      <c r="A4" s="773"/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3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5"/>
      <c r="AB4" s="773"/>
      <c r="AC4" s="773"/>
      <c r="AD4" s="773"/>
      <c r="AE4" s="773"/>
      <c r="AF4" s="773"/>
      <c r="AG4" s="773"/>
      <c r="AH4" s="773"/>
      <c r="AI4" s="773"/>
      <c r="AJ4" s="773"/>
      <c r="AK4" s="773"/>
      <c r="AL4" s="773"/>
      <c r="AM4" s="773"/>
      <c r="AN4" s="775"/>
      <c r="AO4" s="773"/>
      <c r="AP4" s="773"/>
      <c r="AQ4" s="773"/>
      <c r="AR4" s="773"/>
      <c r="AS4" s="773"/>
      <c r="AT4" s="773"/>
      <c r="AU4" s="773"/>
      <c r="AV4" s="773"/>
      <c r="AW4" s="776"/>
      <c r="AX4" s="776"/>
      <c r="AY4" s="776"/>
      <c r="AZ4" s="776"/>
      <c r="BA4" s="776"/>
      <c r="BB4" s="776"/>
      <c r="BC4" s="776"/>
      <c r="BD4" s="776"/>
      <c r="BE4" s="776"/>
      <c r="BF4" s="776"/>
      <c r="BG4" s="776"/>
      <c r="BH4" s="776"/>
      <c r="BI4" s="776"/>
    </row>
    <row r="5" spans="1:61" s="781" customFormat="1" ht="55.5" customHeight="1" x14ac:dyDescent="0.8">
      <c r="A5" s="1749"/>
      <c r="B5" s="1924" t="s">
        <v>675</v>
      </c>
      <c r="C5" s="1925"/>
      <c r="D5" s="1925"/>
      <c r="E5" s="1926"/>
      <c r="F5" s="1934" t="s">
        <v>678</v>
      </c>
      <c r="G5" s="1935"/>
      <c r="H5" s="1935"/>
      <c r="I5" s="1936"/>
      <c r="J5" s="1924" t="s">
        <v>1261</v>
      </c>
      <c r="K5" s="1925"/>
      <c r="L5" s="1925"/>
      <c r="M5" s="1926"/>
      <c r="N5" s="1749"/>
      <c r="O5" s="1924" t="s">
        <v>685</v>
      </c>
      <c r="P5" s="1925"/>
      <c r="Q5" s="1925"/>
      <c r="R5" s="1926"/>
      <c r="S5" s="1924" t="s">
        <v>687</v>
      </c>
      <c r="T5" s="1925"/>
      <c r="U5" s="1925"/>
      <c r="V5" s="1926"/>
      <c r="W5" s="1924" t="s">
        <v>689</v>
      </c>
      <c r="X5" s="1925"/>
      <c r="Y5" s="1925"/>
      <c r="Z5" s="1926"/>
      <c r="AA5" s="1750"/>
      <c r="AB5" s="1924" t="s">
        <v>173</v>
      </c>
      <c r="AC5" s="1925"/>
      <c r="AD5" s="1925"/>
      <c r="AE5" s="1926"/>
      <c r="AF5" s="1924" t="s">
        <v>695</v>
      </c>
      <c r="AG5" s="1925"/>
      <c r="AH5" s="1925"/>
      <c r="AI5" s="1926"/>
      <c r="AJ5" s="1924" t="s">
        <v>699</v>
      </c>
      <c r="AK5" s="1925"/>
      <c r="AL5" s="1925"/>
      <c r="AM5" s="1926"/>
      <c r="AN5" s="1750"/>
      <c r="AO5" s="1924" t="s">
        <v>701</v>
      </c>
      <c r="AP5" s="1925"/>
      <c r="AQ5" s="1925"/>
      <c r="AR5" s="1926"/>
      <c r="AS5" s="1924" t="s">
        <v>1262</v>
      </c>
      <c r="AT5" s="1925"/>
      <c r="AU5" s="1925"/>
      <c r="AV5" s="1926"/>
      <c r="AW5" s="761"/>
      <c r="AX5" s="761"/>
      <c r="AY5" s="761"/>
      <c r="AZ5" s="761"/>
      <c r="BA5" s="761"/>
      <c r="BB5" s="780"/>
      <c r="BC5" s="780"/>
      <c r="BD5" s="780"/>
      <c r="BE5" s="780"/>
      <c r="BF5" s="780"/>
      <c r="BG5" s="780"/>
      <c r="BH5" s="780"/>
      <c r="BI5" s="780"/>
    </row>
    <row r="6" spans="1:61" s="781" customFormat="1" ht="54" customHeight="1" x14ac:dyDescent="0.8">
      <c r="A6" s="1751"/>
      <c r="B6" s="1927"/>
      <c r="C6" s="1928"/>
      <c r="D6" s="1928"/>
      <c r="E6" s="1929"/>
      <c r="F6" s="1937"/>
      <c r="G6" s="1938"/>
      <c r="H6" s="1938"/>
      <c r="I6" s="1939"/>
      <c r="J6" s="1927"/>
      <c r="K6" s="1928"/>
      <c r="L6" s="1928"/>
      <c r="M6" s="1929"/>
      <c r="N6" s="1751"/>
      <c r="O6" s="1927"/>
      <c r="P6" s="1928"/>
      <c r="Q6" s="1928"/>
      <c r="R6" s="1929"/>
      <c r="S6" s="1927"/>
      <c r="T6" s="1928"/>
      <c r="U6" s="1928"/>
      <c r="V6" s="1929"/>
      <c r="W6" s="1927"/>
      <c r="X6" s="1928"/>
      <c r="Y6" s="1928"/>
      <c r="Z6" s="1929"/>
      <c r="AA6" s="1753"/>
      <c r="AB6" s="1927"/>
      <c r="AC6" s="1928"/>
      <c r="AD6" s="1928"/>
      <c r="AE6" s="1929"/>
      <c r="AF6" s="1927"/>
      <c r="AG6" s="1928"/>
      <c r="AH6" s="1928"/>
      <c r="AI6" s="1929"/>
      <c r="AJ6" s="1927"/>
      <c r="AK6" s="1928"/>
      <c r="AL6" s="1928"/>
      <c r="AM6" s="1929"/>
      <c r="AN6" s="1753"/>
      <c r="AO6" s="1927"/>
      <c r="AP6" s="1928"/>
      <c r="AQ6" s="1928"/>
      <c r="AR6" s="1929"/>
      <c r="AS6" s="1927"/>
      <c r="AT6" s="1928"/>
      <c r="AU6" s="1928"/>
      <c r="AV6" s="1929"/>
      <c r="AW6" s="761"/>
      <c r="AX6" s="761"/>
      <c r="AY6" s="761"/>
      <c r="AZ6" s="761"/>
      <c r="BA6" s="761"/>
      <c r="BB6" s="780"/>
      <c r="BC6" s="780"/>
      <c r="BD6" s="780"/>
      <c r="BE6" s="780"/>
      <c r="BF6" s="780"/>
      <c r="BG6" s="780"/>
      <c r="BH6" s="780"/>
      <c r="BI6" s="780"/>
    </row>
    <row r="7" spans="1:61" s="783" customFormat="1" ht="106.5" customHeight="1" thickBot="1" x14ac:dyDescent="0.75">
      <c r="A7" s="1752" t="s">
        <v>1217</v>
      </c>
      <c r="B7" s="1930"/>
      <c r="C7" s="1931"/>
      <c r="D7" s="1931"/>
      <c r="E7" s="1932"/>
      <c r="F7" s="1940"/>
      <c r="G7" s="1941"/>
      <c r="H7" s="1941"/>
      <c r="I7" s="1942"/>
      <c r="J7" s="1930"/>
      <c r="K7" s="1931"/>
      <c r="L7" s="1931"/>
      <c r="M7" s="1932"/>
      <c r="N7" s="1752" t="s">
        <v>1217</v>
      </c>
      <c r="O7" s="1930"/>
      <c r="P7" s="1931"/>
      <c r="Q7" s="1931"/>
      <c r="R7" s="1932"/>
      <c r="S7" s="1930"/>
      <c r="T7" s="1931"/>
      <c r="U7" s="1931"/>
      <c r="V7" s="1932"/>
      <c r="W7" s="1930"/>
      <c r="X7" s="1931"/>
      <c r="Y7" s="1931"/>
      <c r="Z7" s="1932"/>
      <c r="AA7" s="1752" t="s">
        <v>1217</v>
      </c>
      <c r="AB7" s="1930"/>
      <c r="AC7" s="1931"/>
      <c r="AD7" s="1931"/>
      <c r="AE7" s="1932"/>
      <c r="AF7" s="1930"/>
      <c r="AG7" s="1931"/>
      <c r="AH7" s="1931"/>
      <c r="AI7" s="1932"/>
      <c r="AJ7" s="1930"/>
      <c r="AK7" s="1931"/>
      <c r="AL7" s="1931"/>
      <c r="AM7" s="1932"/>
      <c r="AN7" s="1752" t="s">
        <v>1217</v>
      </c>
      <c r="AO7" s="1930"/>
      <c r="AP7" s="1931"/>
      <c r="AQ7" s="1931"/>
      <c r="AR7" s="1932"/>
      <c r="AS7" s="1930"/>
      <c r="AT7" s="1931"/>
      <c r="AU7" s="1931"/>
      <c r="AV7" s="1932"/>
      <c r="AW7" s="764"/>
      <c r="AX7" s="764"/>
      <c r="AY7" s="764"/>
      <c r="AZ7" s="764"/>
      <c r="BA7" s="764"/>
      <c r="BB7" s="782"/>
      <c r="BC7" s="782"/>
      <c r="BD7" s="782"/>
      <c r="BE7" s="782"/>
      <c r="BF7" s="782"/>
      <c r="BG7" s="782"/>
      <c r="BH7" s="782"/>
      <c r="BI7" s="782"/>
    </row>
    <row r="8" spans="1:61" s="785" customFormat="1" ht="162.75" thickBot="1" x14ac:dyDescent="0.75">
      <c r="A8" s="1754">
        <v>2023</v>
      </c>
      <c r="B8" s="1755" t="s">
        <v>1220</v>
      </c>
      <c r="C8" s="1755" t="s">
        <v>1221</v>
      </c>
      <c r="D8" s="1755" t="s">
        <v>90</v>
      </c>
      <c r="E8" s="1755" t="s">
        <v>1263</v>
      </c>
      <c r="F8" s="1755" t="s">
        <v>1220</v>
      </c>
      <c r="G8" s="1755" t="s">
        <v>1221</v>
      </c>
      <c r="H8" s="1755" t="s">
        <v>90</v>
      </c>
      <c r="I8" s="1755" t="s">
        <v>1263</v>
      </c>
      <c r="J8" s="1755" t="s">
        <v>1220</v>
      </c>
      <c r="K8" s="1755" t="s">
        <v>1221</v>
      </c>
      <c r="L8" s="1755" t="s">
        <v>90</v>
      </c>
      <c r="M8" s="1755" t="s">
        <v>1263</v>
      </c>
      <c r="N8" s="1754">
        <v>2023</v>
      </c>
      <c r="O8" s="1755" t="s">
        <v>1220</v>
      </c>
      <c r="P8" s="1755" t="s">
        <v>1221</v>
      </c>
      <c r="Q8" s="1755" t="s">
        <v>90</v>
      </c>
      <c r="R8" s="1755" t="s">
        <v>1263</v>
      </c>
      <c r="S8" s="1755" t="s">
        <v>1220</v>
      </c>
      <c r="T8" s="1755" t="s">
        <v>1221</v>
      </c>
      <c r="U8" s="1755" t="s">
        <v>90</v>
      </c>
      <c r="V8" s="1755" t="s">
        <v>1263</v>
      </c>
      <c r="W8" s="1755" t="s">
        <v>1220</v>
      </c>
      <c r="X8" s="1755" t="s">
        <v>1221</v>
      </c>
      <c r="Y8" s="1755" t="s">
        <v>90</v>
      </c>
      <c r="Z8" s="1755" t="s">
        <v>1263</v>
      </c>
      <c r="AA8" s="1754">
        <v>2023</v>
      </c>
      <c r="AB8" s="1755" t="s">
        <v>1220</v>
      </c>
      <c r="AC8" s="1755" t="s">
        <v>1221</v>
      </c>
      <c r="AD8" s="1755" t="s">
        <v>90</v>
      </c>
      <c r="AE8" s="1755" t="s">
        <v>1263</v>
      </c>
      <c r="AF8" s="1755" t="s">
        <v>1220</v>
      </c>
      <c r="AG8" s="1755" t="s">
        <v>1221</v>
      </c>
      <c r="AH8" s="1755" t="s">
        <v>90</v>
      </c>
      <c r="AI8" s="1755" t="s">
        <v>1263</v>
      </c>
      <c r="AJ8" s="1755" t="s">
        <v>1220</v>
      </c>
      <c r="AK8" s="1755" t="s">
        <v>1221</v>
      </c>
      <c r="AL8" s="1755" t="s">
        <v>90</v>
      </c>
      <c r="AM8" s="1755" t="s">
        <v>1263</v>
      </c>
      <c r="AN8" s="1754">
        <v>2023</v>
      </c>
      <c r="AO8" s="1755" t="s">
        <v>1220</v>
      </c>
      <c r="AP8" s="1755" t="s">
        <v>1221</v>
      </c>
      <c r="AQ8" s="1755" t="s">
        <v>90</v>
      </c>
      <c r="AR8" s="1755" t="s">
        <v>1263</v>
      </c>
      <c r="AS8" s="1755" t="s">
        <v>1220</v>
      </c>
      <c r="AT8" s="1755" t="s">
        <v>1221</v>
      </c>
      <c r="AU8" s="1755" t="s">
        <v>90</v>
      </c>
      <c r="AV8" s="1755" t="s">
        <v>1263</v>
      </c>
      <c r="AW8" s="764"/>
      <c r="AX8" s="764"/>
      <c r="AY8" s="764"/>
      <c r="AZ8" s="764"/>
      <c r="BA8" s="764"/>
      <c r="BB8" s="784"/>
      <c r="BC8" s="784"/>
      <c r="BD8" s="784"/>
      <c r="BE8" s="784"/>
      <c r="BF8" s="784"/>
      <c r="BG8" s="784"/>
      <c r="BH8" s="784"/>
      <c r="BI8" s="784"/>
    </row>
    <row r="9" spans="1:61" s="787" customFormat="1" ht="60" customHeight="1" x14ac:dyDescent="0.9">
      <c r="A9" s="1748" t="s">
        <v>1223</v>
      </c>
      <c r="B9" s="1747"/>
      <c r="C9" s="1747"/>
      <c r="D9" s="1747"/>
      <c r="E9" s="1747"/>
      <c r="F9" s="1747"/>
      <c r="G9" s="1747"/>
      <c r="H9" s="1747"/>
      <c r="I9" s="1747"/>
      <c r="J9" s="1747"/>
      <c r="K9" s="1747"/>
      <c r="L9" s="1747"/>
      <c r="M9" s="1747"/>
      <c r="N9" s="1748" t="s">
        <v>1223</v>
      </c>
      <c r="O9" s="1747"/>
      <c r="P9" s="1747"/>
      <c r="Q9" s="1747"/>
      <c r="R9" s="1747"/>
      <c r="S9" s="1747"/>
      <c r="T9" s="1747"/>
      <c r="U9" s="1747"/>
      <c r="V9" s="1747"/>
      <c r="W9" s="1747"/>
      <c r="X9" s="1747"/>
      <c r="Y9" s="1747"/>
      <c r="Z9" s="1747"/>
      <c r="AA9" s="1748" t="s">
        <v>1223</v>
      </c>
      <c r="AB9" s="1748"/>
      <c r="AC9" s="1748"/>
      <c r="AD9" s="1748"/>
      <c r="AE9" s="1748"/>
      <c r="AF9" s="1748"/>
      <c r="AG9" s="1748"/>
      <c r="AH9" s="1748"/>
      <c r="AI9" s="1748"/>
      <c r="AJ9" s="1747"/>
      <c r="AK9" s="1747"/>
      <c r="AL9" s="1747"/>
      <c r="AM9" s="1747"/>
      <c r="AN9" s="1748" t="s">
        <v>1223</v>
      </c>
      <c r="AO9" s="1748"/>
      <c r="AP9" s="1748"/>
      <c r="AQ9" s="1748"/>
      <c r="AR9" s="1748"/>
      <c r="AS9" s="1748"/>
      <c r="AT9" s="1748"/>
      <c r="AU9" s="1748"/>
      <c r="AV9" s="1748"/>
      <c r="AW9" s="758"/>
      <c r="AX9" s="758"/>
      <c r="AY9" s="758"/>
      <c r="AZ9" s="758"/>
      <c r="BA9" s="758"/>
      <c r="BB9" s="786"/>
      <c r="BC9" s="786"/>
      <c r="BD9" s="786"/>
      <c r="BE9" s="786"/>
      <c r="BF9" s="786"/>
      <c r="BG9" s="786"/>
      <c r="BH9" s="786"/>
      <c r="BI9" s="786"/>
    </row>
    <row r="10" spans="1:61" s="1762" customFormat="1" ht="60" customHeight="1" x14ac:dyDescent="0.75">
      <c r="A10" s="1756" t="s">
        <v>1224</v>
      </c>
      <c r="B10" s="1757">
        <f>'[4]int.kiadások RM I'!B10</f>
        <v>170659</v>
      </c>
      <c r="C10" s="1757">
        <f>'[4]int.kiadások RM III'!D10</f>
        <v>177899</v>
      </c>
      <c r="D10" s="1757">
        <v>174088</v>
      </c>
      <c r="E10" s="1758">
        <f t="shared" ref="E10:E30" si="0">D10/C10</f>
        <v>0.97857773230878198</v>
      </c>
      <c r="F10" s="1757">
        <f>'[4]int.kiadások RM I'!E10</f>
        <v>25634</v>
      </c>
      <c r="G10" s="1757">
        <f>'[4]int.kiadások RM III'!G10</f>
        <v>26584</v>
      </c>
      <c r="H10" s="1757">
        <v>25629</v>
      </c>
      <c r="I10" s="1758">
        <f t="shared" ref="I10:I30" si="1">H10/G10</f>
        <v>0.9640761360216672</v>
      </c>
      <c r="J10" s="1757">
        <f>'[4]int.kiadások RM I'!H10</f>
        <v>4330</v>
      </c>
      <c r="K10" s="1757">
        <f>'[4]int.kiadások RM III'!J10</f>
        <v>6032</v>
      </c>
      <c r="L10" s="1757">
        <v>5309</v>
      </c>
      <c r="M10" s="1758">
        <f t="shared" ref="M10:M30" si="2">L10/K10</f>
        <v>0.88013925729442966</v>
      </c>
      <c r="N10" s="1756" t="s">
        <v>1224</v>
      </c>
      <c r="O10" s="1757">
        <f>'[4]int.kiadások RM I'!L10</f>
        <v>0</v>
      </c>
      <c r="P10" s="1757">
        <f>'[4]int.kiadások RM III'!N10</f>
        <v>0</v>
      </c>
      <c r="Q10" s="1757"/>
      <c r="R10" s="1758"/>
      <c r="S10" s="1757">
        <f>'[4]int.kiadások RM I'!O10</f>
        <v>0</v>
      </c>
      <c r="T10" s="1757">
        <f>'[4]int.kiadások RM III'!Q10</f>
        <v>0</v>
      </c>
      <c r="U10" s="1757"/>
      <c r="V10" s="1758"/>
      <c r="W10" s="1759">
        <f t="shared" ref="W10:Y27" si="3">B10+F10+J10+O10+S10</f>
        <v>200623</v>
      </c>
      <c r="X10" s="1759">
        <f t="shared" si="3"/>
        <v>210515</v>
      </c>
      <c r="Y10" s="1759">
        <f t="shared" si="3"/>
        <v>205026</v>
      </c>
      <c r="Z10" s="1760">
        <f t="shared" ref="Z10:Z30" si="4">Y10/X10</f>
        <v>0.97392584851435759</v>
      </c>
      <c r="AA10" s="1756" t="s">
        <v>1224</v>
      </c>
      <c r="AB10" s="1757">
        <f>'[4]int.kiadások RM I'!V10</f>
        <v>0</v>
      </c>
      <c r="AC10" s="1757">
        <f>'[4]int.kiadások RM III'!X10</f>
        <v>2948</v>
      </c>
      <c r="AD10" s="1757">
        <v>1488</v>
      </c>
      <c r="AE10" s="1758">
        <f t="shared" ref="AE10:AE30" si="5">AD10/AC10</f>
        <v>0.50474898236092269</v>
      </c>
      <c r="AF10" s="1757">
        <f>'[4]int.kiadások RM I'!Y10</f>
        <v>0</v>
      </c>
      <c r="AG10" s="1757">
        <f>'[4]int.kiadások RM III'!AA10</f>
        <v>0</v>
      </c>
      <c r="AH10" s="1757"/>
      <c r="AI10" s="1758"/>
      <c r="AJ10" s="1757">
        <f>'[4]int.kiadások RM I'!AB10</f>
        <v>0</v>
      </c>
      <c r="AK10" s="1757">
        <f>'[4]int.kiadások RM III'!AD10</f>
        <v>0</v>
      </c>
      <c r="AL10" s="1757"/>
      <c r="AM10" s="1758"/>
      <c r="AN10" s="1756" t="s">
        <v>1224</v>
      </c>
      <c r="AO10" s="1759">
        <f t="shared" ref="AO10:AQ27" si="6">AB10+AF10+AJ10</f>
        <v>0</v>
      </c>
      <c r="AP10" s="1759">
        <f t="shared" si="6"/>
        <v>2948</v>
      </c>
      <c r="AQ10" s="1759">
        <f t="shared" si="6"/>
        <v>1488</v>
      </c>
      <c r="AR10" s="1760">
        <f t="shared" ref="AR10:AR30" si="7">AQ10/AP10</f>
        <v>0.50474898236092269</v>
      </c>
      <c r="AS10" s="1759">
        <f t="shared" ref="AS10:AU27" si="8">W10+AO10</f>
        <v>200623</v>
      </c>
      <c r="AT10" s="1759">
        <f t="shared" si="8"/>
        <v>213463</v>
      </c>
      <c r="AU10" s="1759">
        <f t="shared" si="8"/>
        <v>206514</v>
      </c>
      <c r="AV10" s="1760">
        <f t="shared" ref="AV10:AV30" si="9">AU10/AT10</f>
        <v>0.96744634901598869</v>
      </c>
      <c r="AW10" s="1761"/>
      <c r="AX10" s="1761"/>
      <c r="AY10" s="1761"/>
      <c r="AZ10" s="1761"/>
      <c r="BA10" s="1761"/>
      <c r="BB10" s="1761"/>
      <c r="BC10" s="1761"/>
      <c r="BD10" s="1761"/>
      <c r="BE10" s="1761"/>
      <c r="BF10" s="1761"/>
      <c r="BG10" s="1761"/>
      <c r="BH10" s="1761"/>
      <c r="BI10" s="1761"/>
    </row>
    <row r="11" spans="1:61" s="1762" customFormat="1" ht="60" customHeight="1" x14ac:dyDescent="0.75">
      <c r="A11" s="1756" t="s">
        <v>1225</v>
      </c>
      <c r="B11" s="1757">
        <f>'[4]int.kiadások RM I'!B11</f>
        <v>122409</v>
      </c>
      <c r="C11" s="1757">
        <f>'[4]int.kiadások RM III'!D11</f>
        <v>128318</v>
      </c>
      <c r="D11" s="1757">
        <v>122064</v>
      </c>
      <c r="E11" s="1758">
        <f t="shared" si="0"/>
        <v>0.95126170919122799</v>
      </c>
      <c r="F11" s="1757">
        <f>'[4]int.kiadások RM I'!E11</f>
        <v>15874</v>
      </c>
      <c r="G11" s="1757">
        <f>'[4]int.kiadások RM III'!G11</f>
        <v>16658</v>
      </c>
      <c r="H11" s="1757">
        <v>15854</v>
      </c>
      <c r="I11" s="1758">
        <f t="shared" si="1"/>
        <v>0.95173490214911749</v>
      </c>
      <c r="J11" s="1757">
        <f>'[4]int.kiadások RM I'!H11</f>
        <v>2434</v>
      </c>
      <c r="K11" s="1757">
        <f>'[4]int.kiadások RM III'!J11</f>
        <v>6818</v>
      </c>
      <c r="L11" s="1757">
        <v>5544</v>
      </c>
      <c r="M11" s="1758">
        <f t="shared" si="2"/>
        <v>0.81314168377823404</v>
      </c>
      <c r="N11" s="1756" t="s">
        <v>1225</v>
      </c>
      <c r="O11" s="1757">
        <f>'[4]int.kiadások RM I'!L11</f>
        <v>0</v>
      </c>
      <c r="P11" s="1757">
        <f>'[4]int.kiadások RM III'!N11</f>
        <v>0</v>
      </c>
      <c r="Q11" s="1757"/>
      <c r="R11" s="1758"/>
      <c r="S11" s="1757">
        <f>'[4]int.kiadások RM I'!O11</f>
        <v>0</v>
      </c>
      <c r="T11" s="1757">
        <f>'[4]int.kiadások RM III'!Q11</f>
        <v>0</v>
      </c>
      <c r="U11" s="1757"/>
      <c r="V11" s="1758"/>
      <c r="W11" s="1759">
        <f t="shared" si="3"/>
        <v>140717</v>
      </c>
      <c r="X11" s="1759">
        <f t="shared" si="3"/>
        <v>151794</v>
      </c>
      <c r="Y11" s="1759">
        <f t="shared" si="3"/>
        <v>143462</v>
      </c>
      <c r="Z11" s="1760">
        <f t="shared" si="4"/>
        <v>0.94510981988747911</v>
      </c>
      <c r="AA11" s="1756" t="s">
        <v>1225</v>
      </c>
      <c r="AB11" s="1757">
        <f>'[4]int.kiadások RM I'!V11</f>
        <v>0</v>
      </c>
      <c r="AC11" s="1757">
        <f>'[4]int.kiadások RM III'!X11</f>
        <v>3622</v>
      </c>
      <c r="AD11" s="1757">
        <f>3621+1</f>
        <v>3622</v>
      </c>
      <c r="AE11" s="1758">
        <f t="shared" si="5"/>
        <v>1</v>
      </c>
      <c r="AF11" s="1757">
        <f>'[4]int.kiadások RM I'!Y11</f>
        <v>0</v>
      </c>
      <c r="AG11" s="1757">
        <f>'[4]int.kiadások RM III'!AA11</f>
        <v>0</v>
      </c>
      <c r="AH11" s="1757"/>
      <c r="AI11" s="1758"/>
      <c r="AJ11" s="1757">
        <f>'[4]int.kiadások RM I'!AB11</f>
        <v>0</v>
      </c>
      <c r="AK11" s="1757">
        <f>'[4]int.kiadások RM III'!AD11</f>
        <v>0</v>
      </c>
      <c r="AL11" s="1757"/>
      <c r="AM11" s="1758"/>
      <c r="AN11" s="1756" t="s">
        <v>1225</v>
      </c>
      <c r="AO11" s="1759">
        <f t="shared" si="6"/>
        <v>0</v>
      </c>
      <c r="AP11" s="1759">
        <f t="shared" si="6"/>
        <v>3622</v>
      </c>
      <c r="AQ11" s="1759">
        <f t="shared" si="6"/>
        <v>3622</v>
      </c>
      <c r="AR11" s="1760">
        <f t="shared" si="7"/>
        <v>1</v>
      </c>
      <c r="AS11" s="1759">
        <f t="shared" si="8"/>
        <v>140717</v>
      </c>
      <c r="AT11" s="1759">
        <f t="shared" si="8"/>
        <v>155416</v>
      </c>
      <c r="AU11" s="1759">
        <f t="shared" si="8"/>
        <v>147084</v>
      </c>
      <c r="AV11" s="1760">
        <f t="shared" si="9"/>
        <v>0.94638904617285224</v>
      </c>
      <c r="AW11" s="1761"/>
      <c r="AX11" s="1761"/>
      <c r="AY11" s="1761"/>
      <c r="AZ11" s="1761"/>
      <c r="BA11" s="1761"/>
      <c r="BB11" s="1761"/>
      <c r="BC11" s="1761"/>
      <c r="BD11" s="1761"/>
      <c r="BE11" s="1761"/>
      <c r="BF11" s="1761"/>
      <c r="BG11" s="1761"/>
      <c r="BH11" s="1761"/>
      <c r="BI11" s="1761"/>
    </row>
    <row r="12" spans="1:61" s="1762" customFormat="1" ht="60" customHeight="1" x14ac:dyDescent="0.75">
      <c r="A12" s="1756" t="s">
        <v>1226</v>
      </c>
      <c r="B12" s="1757">
        <f>'[4]int.kiadások RM I'!B12</f>
        <v>119453</v>
      </c>
      <c r="C12" s="1757">
        <f>'[4]int.kiadások RM III'!D12</f>
        <v>122509</v>
      </c>
      <c r="D12" s="1757">
        <v>118503</v>
      </c>
      <c r="E12" s="1758">
        <f t="shared" si="0"/>
        <v>0.96730036160608612</v>
      </c>
      <c r="F12" s="1757">
        <f>'[4]int.kiadások RM I'!E12</f>
        <v>15559</v>
      </c>
      <c r="G12" s="1757">
        <f>'[4]int.kiadások RM III'!G12</f>
        <v>16129</v>
      </c>
      <c r="H12" s="1757">
        <v>15601</v>
      </c>
      <c r="I12" s="1758">
        <f t="shared" si="1"/>
        <v>0.96726393452786907</v>
      </c>
      <c r="J12" s="1757">
        <f>'[4]int.kiadások RM I'!H12</f>
        <v>2944</v>
      </c>
      <c r="K12" s="1757">
        <f>'[4]int.kiadások RM III'!J12</f>
        <v>5640</v>
      </c>
      <c r="L12" s="1757">
        <v>4200</v>
      </c>
      <c r="M12" s="1758">
        <f t="shared" si="2"/>
        <v>0.74468085106382975</v>
      </c>
      <c r="N12" s="1756" t="s">
        <v>1226</v>
      </c>
      <c r="O12" s="1757">
        <f>'[4]int.kiadások RM I'!L12</f>
        <v>0</v>
      </c>
      <c r="P12" s="1757">
        <f>'[4]int.kiadások RM III'!N12</f>
        <v>0</v>
      </c>
      <c r="Q12" s="1757"/>
      <c r="R12" s="1758"/>
      <c r="S12" s="1757">
        <f>'[4]int.kiadások RM I'!O12</f>
        <v>0</v>
      </c>
      <c r="T12" s="1757">
        <f>'[4]int.kiadások RM III'!Q12</f>
        <v>0</v>
      </c>
      <c r="U12" s="1757"/>
      <c r="V12" s="1758"/>
      <c r="W12" s="1759">
        <f t="shared" si="3"/>
        <v>137956</v>
      </c>
      <c r="X12" s="1759">
        <f t="shared" si="3"/>
        <v>144278</v>
      </c>
      <c r="Y12" s="1759">
        <f t="shared" si="3"/>
        <v>138304</v>
      </c>
      <c r="Z12" s="1760">
        <f t="shared" si="4"/>
        <v>0.9585938258085086</v>
      </c>
      <c r="AA12" s="1756" t="s">
        <v>1226</v>
      </c>
      <c r="AB12" s="1757">
        <f>'[4]int.kiadások RM I'!V12</f>
        <v>0</v>
      </c>
      <c r="AC12" s="1757">
        <f>'[4]int.kiadások RM III'!X12</f>
        <v>6509</v>
      </c>
      <c r="AD12" s="1757">
        <v>6508</v>
      </c>
      <c r="AE12" s="1758">
        <f t="shared" si="5"/>
        <v>0.99984636656936554</v>
      </c>
      <c r="AF12" s="1757">
        <f>'[4]int.kiadások RM I'!Y12</f>
        <v>0</v>
      </c>
      <c r="AG12" s="1757">
        <f>'[4]int.kiadások RM III'!AA12</f>
        <v>0</v>
      </c>
      <c r="AH12" s="1757"/>
      <c r="AI12" s="1758"/>
      <c r="AJ12" s="1757">
        <f>'[4]int.kiadások RM I'!AB12</f>
        <v>0</v>
      </c>
      <c r="AK12" s="1757">
        <f>'[4]int.kiadások RM III'!AD12</f>
        <v>0</v>
      </c>
      <c r="AL12" s="1757"/>
      <c r="AM12" s="1758"/>
      <c r="AN12" s="1756" t="s">
        <v>1226</v>
      </c>
      <c r="AO12" s="1759">
        <f t="shared" si="6"/>
        <v>0</v>
      </c>
      <c r="AP12" s="1759">
        <f t="shared" si="6"/>
        <v>6509</v>
      </c>
      <c r="AQ12" s="1759">
        <f t="shared" si="6"/>
        <v>6508</v>
      </c>
      <c r="AR12" s="1760">
        <f t="shared" si="7"/>
        <v>0.99984636656936554</v>
      </c>
      <c r="AS12" s="1759">
        <f t="shared" si="8"/>
        <v>137956</v>
      </c>
      <c r="AT12" s="1759">
        <f t="shared" si="8"/>
        <v>150787</v>
      </c>
      <c r="AU12" s="1759">
        <f t="shared" si="8"/>
        <v>144812</v>
      </c>
      <c r="AV12" s="1760">
        <f t="shared" si="9"/>
        <v>0.96037456809937194</v>
      </c>
      <c r="AW12" s="1761"/>
      <c r="AX12" s="1761"/>
      <c r="AY12" s="1761"/>
      <c r="AZ12" s="1761"/>
      <c r="BA12" s="1761"/>
      <c r="BB12" s="1761"/>
      <c r="BC12" s="1761"/>
      <c r="BD12" s="1761"/>
      <c r="BE12" s="1761"/>
      <c r="BF12" s="1761"/>
      <c r="BG12" s="1761"/>
      <c r="BH12" s="1761"/>
      <c r="BI12" s="1761"/>
    </row>
    <row r="13" spans="1:61" s="1762" customFormat="1" ht="60" customHeight="1" x14ac:dyDescent="0.75">
      <c r="A13" s="1756" t="s">
        <v>1227</v>
      </c>
      <c r="B13" s="1757">
        <f>'[4]int.kiadások RM I'!B13</f>
        <v>142746</v>
      </c>
      <c r="C13" s="1757">
        <f>'[4]int.kiadások RM III'!D13</f>
        <v>142153</v>
      </c>
      <c r="D13" s="1757">
        <v>141004</v>
      </c>
      <c r="E13" s="1758">
        <f t="shared" si="0"/>
        <v>0.991917159680063</v>
      </c>
      <c r="F13" s="1757">
        <f>'[4]int.kiadások RM I'!E13</f>
        <v>21770</v>
      </c>
      <c r="G13" s="1757">
        <f>'[4]int.kiadások RM III'!G13</f>
        <v>21738</v>
      </c>
      <c r="H13" s="1757">
        <v>17563</v>
      </c>
      <c r="I13" s="1758">
        <f t="shared" si="1"/>
        <v>0.80794001288066974</v>
      </c>
      <c r="J13" s="1757">
        <f>'[4]int.kiadások RM I'!H13</f>
        <v>3220</v>
      </c>
      <c r="K13" s="1757">
        <f>'[4]int.kiadások RM III'!J13</f>
        <v>6653</v>
      </c>
      <c r="L13" s="1757">
        <v>6652</v>
      </c>
      <c r="M13" s="1758">
        <f t="shared" si="2"/>
        <v>0.99984969186833006</v>
      </c>
      <c r="N13" s="1756" t="s">
        <v>1227</v>
      </c>
      <c r="O13" s="1757">
        <f>'[4]int.kiadások RM I'!L13</f>
        <v>0</v>
      </c>
      <c r="P13" s="1757">
        <f>'[4]int.kiadások RM III'!N13</f>
        <v>0</v>
      </c>
      <c r="Q13" s="1757"/>
      <c r="R13" s="1758"/>
      <c r="S13" s="1757">
        <f>'[4]int.kiadások RM I'!O13</f>
        <v>0</v>
      </c>
      <c r="T13" s="1757">
        <f>'[4]int.kiadások RM III'!Q13</f>
        <v>0</v>
      </c>
      <c r="U13" s="1757"/>
      <c r="V13" s="1758"/>
      <c r="W13" s="1759">
        <f t="shared" si="3"/>
        <v>167736</v>
      </c>
      <c r="X13" s="1759">
        <f t="shared" si="3"/>
        <v>170544</v>
      </c>
      <c r="Y13" s="1759">
        <f t="shared" si="3"/>
        <v>165219</v>
      </c>
      <c r="Z13" s="1760">
        <f t="shared" si="4"/>
        <v>0.96877638615254713</v>
      </c>
      <c r="AA13" s="1756" t="s">
        <v>1227</v>
      </c>
      <c r="AB13" s="1757">
        <f>'[4]int.kiadások RM I'!V13</f>
        <v>0</v>
      </c>
      <c r="AC13" s="1757">
        <f>'[4]int.kiadások RM III'!X13</f>
        <v>1102</v>
      </c>
      <c r="AD13" s="1757">
        <v>1102</v>
      </c>
      <c r="AE13" s="1758">
        <f t="shared" si="5"/>
        <v>1</v>
      </c>
      <c r="AF13" s="1757">
        <f>'[4]int.kiadások RM I'!Y13</f>
        <v>0</v>
      </c>
      <c r="AG13" s="1757">
        <f>'[4]int.kiadások RM III'!AA13</f>
        <v>0</v>
      </c>
      <c r="AH13" s="1757"/>
      <c r="AI13" s="1758"/>
      <c r="AJ13" s="1757">
        <f>'[4]int.kiadások RM I'!AB13</f>
        <v>0</v>
      </c>
      <c r="AK13" s="1757">
        <f>'[4]int.kiadások RM III'!AD13</f>
        <v>0</v>
      </c>
      <c r="AL13" s="1757"/>
      <c r="AM13" s="1758"/>
      <c r="AN13" s="1756" t="s">
        <v>1227</v>
      </c>
      <c r="AO13" s="1759">
        <f t="shared" si="6"/>
        <v>0</v>
      </c>
      <c r="AP13" s="1759">
        <f t="shared" si="6"/>
        <v>1102</v>
      </c>
      <c r="AQ13" s="1759">
        <f t="shared" si="6"/>
        <v>1102</v>
      </c>
      <c r="AR13" s="1760">
        <f t="shared" si="7"/>
        <v>1</v>
      </c>
      <c r="AS13" s="1759">
        <f t="shared" si="8"/>
        <v>167736</v>
      </c>
      <c r="AT13" s="1759">
        <f t="shared" si="8"/>
        <v>171646</v>
      </c>
      <c r="AU13" s="1759">
        <f>Y13+AQ13</f>
        <v>166321</v>
      </c>
      <c r="AV13" s="1760">
        <f t="shared" si="9"/>
        <v>0.9689768476981695</v>
      </c>
      <c r="AW13" s="1761"/>
      <c r="AX13" s="1761"/>
      <c r="AY13" s="1761"/>
      <c r="AZ13" s="1761"/>
      <c r="BA13" s="1761"/>
      <c r="BB13" s="1761"/>
      <c r="BC13" s="1761"/>
      <c r="BD13" s="1761"/>
      <c r="BE13" s="1761"/>
      <c r="BF13" s="1761"/>
      <c r="BG13" s="1761"/>
      <c r="BH13" s="1761"/>
      <c r="BI13" s="1761"/>
    </row>
    <row r="14" spans="1:61" s="1762" customFormat="1" ht="60" customHeight="1" x14ac:dyDescent="0.75">
      <c r="A14" s="1756" t="s">
        <v>1228</v>
      </c>
      <c r="B14" s="1757">
        <f>'[4]int.kiadások RM I'!B14</f>
        <v>138151</v>
      </c>
      <c r="C14" s="1757">
        <f>'[4]int.kiadások RM III'!D14</f>
        <v>139264</v>
      </c>
      <c r="D14" s="1757">
        <v>132345</v>
      </c>
      <c r="E14" s="1758">
        <f t="shared" si="0"/>
        <v>0.9503173828125</v>
      </c>
      <c r="F14" s="1757">
        <f>'[4]int.kiadások RM I'!E14</f>
        <v>20844</v>
      </c>
      <c r="G14" s="1757">
        <f>'[4]int.kiadások RM III'!G14</f>
        <v>20998</v>
      </c>
      <c r="H14" s="1757">
        <v>17480</v>
      </c>
      <c r="I14" s="1758">
        <f t="shared" si="1"/>
        <v>0.83246023430802929</v>
      </c>
      <c r="J14" s="1757">
        <f>'[4]int.kiadások RM I'!H14</f>
        <v>2853</v>
      </c>
      <c r="K14" s="1757">
        <f>'[4]int.kiadások RM III'!J14</f>
        <v>7097</v>
      </c>
      <c r="L14" s="1757">
        <f>6811-1</f>
        <v>6810</v>
      </c>
      <c r="M14" s="1758">
        <f t="shared" si="2"/>
        <v>0.95956037762434832</v>
      </c>
      <c r="N14" s="1756" t="s">
        <v>1228</v>
      </c>
      <c r="O14" s="1757">
        <f>'[4]int.kiadások RM I'!L14</f>
        <v>0</v>
      </c>
      <c r="P14" s="1757">
        <f>'[4]int.kiadások RM III'!N14</f>
        <v>0</v>
      </c>
      <c r="Q14" s="1757"/>
      <c r="R14" s="1758"/>
      <c r="S14" s="1757">
        <f>'[4]int.kiadások RM I'!O14</f>
        <v>0</v>
      </c>
      <c r="T14" s="1757">
        <f>'[4]int.kiadások RM III'!Q14</f>
        <v>0</v>
      </c>
      <c r="U14" s="1757"/>
      <c r="V14" s="1758"/>
      <c r="W14" s="1759">
        <f t="shared" si="3"/>
        <v>161848</v>
      </c>
      <c r="X14" s="1759">
        <f t="shared" si="3"/>
        <v>167359</v>
      </c>
      <c r="Y14" s="1759">
        <f t="shared" si="3"/>
        <v>156635</v>
      </c>
      <c r="Z14" s="1760">
        <f t="shared" si="4"/>
        <v>0.93592217926732357</v>
      </c>
      <c r="AA14" s="1756" t="s">
        <v>1228</v>
      </c>
      <c r="AB14" s="1757">
        <f>'[4]int.kiadások RM I'!V14</f>
        <v>0</v>
      </c>
      <c r="AC14" s="1757">
        <f>'[4]int.kiadások RM III'!X14</f>
        <v>8782</v>
      </c>
      <c r="AD14" s="1757">
        <v>8588</v>
      </c>
      <c r="AE14" s="1758">
        <f t="shared" si="5"/>
        <v>0.97790936005465723</v>
      </c>
      <c r="AF14" s="1757">
        <f>'[4]int.kiadások RM I'!Y14</f>
        <v>0</v>
      </c>
      <c r="AG14" s="1757">
        <f>'[4]int.kiadások RM III'!AA14</f>
        <v>0</v>
      </c>
      <c r="AH14" s="1757"/>
      <c r="AI14" s="1758"/>
      <c r="AJ14" s="1757">
        <f>'[4]int.kiadások RM I'!AB14</f>
        <v>0</v>
      </c>
      <c r="AK14" s="1757">
        <f>'[4]int.kiadások RM III'!AD14</f>
        <v>0</v>
      </c>
      <c r="AL14" s="1757"/>
      <c r="AM14" s="1758"/>
      <c r="AN14" s="1756" t="s">
        <v>1228</v>
      </c>
      <c r="AO14" s="1759">
        <f t="shared" si="6"/>
        <v>0</v>
      </c>
      <c r="AP14" s="1759">
        <f t="shared" si="6"/>
        <v>8782</v>
      </c>
      <c r="AQ14" s="1759">
        <f t="shared" si="6"/>
        <v>8588</v>
      </c>
      <c r="AR14" s="1760">
        <f t="shared" si="7"/>
        <v>0.97790936005465723</v>
      </c>
      <c r="AS14" s="1759">
        <f t="shared" si="8"/>
        <v>161848</v>
      </c>
      <c r="AT14" s="1759">
        <f t="shared" si="8"/>
        <v>176141</v>
      </c>
      <c r="AU14" s="1759">
        <f t="shared" si="8"/>
        <v>165223</v>
      </c>
      <c r="AV14" s="1760">
        <f t="shared" si="9"/>
        <v>0.93801556707410538</v>
      </c>
      <c r="AW14" s="1761"/>
      <c r="AX14" s="1761"/>
      <c r="AY14" s="1761"/>
      <c r="AZ14" s="1761"/>
      <c r="BA14" s="1761"/>
      <c r="BB14" s="1761"/>
      <c r="BC14" s="1761"/>
      <c r="BD14" s="1761"/>
      <c r="BE14" s="1761"/>
      <c r="BF14" s="1761"/>
      <c r="BG14" s="1761"/>
      <c r="BH14" s="1761"/>
      <c r="BI14" s="1761"/>
    </row>
    <row r="15" spans="1:61" s="1762" customFormat="1" ht="60" customHeight="1" x14ac:dyDescent="0.75">
      <c r="A15" s="1756" t="s">
        <v>1229</v>
      </c>
      <c r="B15" s="1757">
        <f>'[4]int.kiadások RM I'!B15</f>
        <v>117974</v>
      </c>
      <c r="C15" s="1757">
        <f>'[4]int.kiadások RM III'!D15</f>
        <v>120441</v>
      </c>
      <c r="D15" s="1757">
        <v>114911</v>
      </c>
      <c r="E15" s="1758">
        <f t="shared" si="0"/>
        <v>0.95408540281133503</v>
      </c>
      <c r="F15" s="1757">
        <f>'[4]int.kiadások RM I'!E15</f>
        <v>15483</v>
      </c>
      <c r="G15" s="1757">
        <f>'[4]int.kiadások RM III'!G15</f>
        <v>15921</v>
      </c>
      <c r="H15" s="1757">
        <v>13829</v>
      </c>
      <c r="I15" s="1758">
        <f t="shared" si="1"/>
        <v>0.8686012185164248</v>
      </c>
      <c r="J15" s="1757">
        <f>'[4]int.kiadások RM I'!H15</f>
        <v>2564</v>
      </c>
      <c r="K15" s="1757">
        <f>'[4]int.kiadások RM III'!J15</f>
        <v>5937</v>
      </c>
      <c r="L15" s="1757">
        <v>4811</v>
      </c>
      <c r="M15" s="1758">
        <f t="shared" si="2"/>
        <v>0.81034192353040257</v>
      </c>
      <c r="N15" s="1756" t="s">
        <v>1229</v>
      </c>
      <c r="O15" s="1757">
        <f>'[4]int.kiadások RM I'!L15</f>
        <v>0</v>
      </c>
      <c r="P15" s="1757">
        <f>'[4]int.kiadások RM III'!N15</f>
        <v>0</v>
      </c>
      <c r="Q15" s="1757"/>
      <c r="R15" s="1758"/>
      <c r="S15" s="1757">
        <f>'[4]int.kiadások RM I'!O15</f>
        <v>0</v>
      </c>
      <c r="T15" s="1757">
        <f>'[4]int.kiadások RM III'!Q15</f>
        <v>0</v>
      </c>
      <c r="U15" s="1757"/>
      <c r="V15" s="1758"/>
      <c r="W15" s="1759">
        <f t="shared" si="3"/>
        <v>136021</v>
      </c>
      <c r="X15" s="1759">
        <f t="shared" si="3"/>
        <v>142299</v>
      </c>
      <c r="Y15" s="1759">
        <f t="shared" si="3"/>
        <v>133551</v>
      </c>
      <c r="Z15" s="1760">
        <f t="shared" si="4"/>
        <v>0.93852381253557648</v>
      </c>
      <c r="AA15" s="1756" t="s">
        <v>1229</v>
      </c>
      <c r="AB15" s="1757">
        <f>'[4]int.kiadások RM I'!V15</f>
        <v>0</v>
      </c>
      <c r="AC15" s="1757">
        <f>'[4]int.kiadások RM III'!X15</f>
        <v>2527</v>
      </c>
      <c r="AD15" s="1757">
        <f>2526+1</f>
        <v>2527</v>
      </c>
      <c r="AE15" s="1758">
        <f t="shared" si="5"/>
        <v>1</v>
      </c>
      <c r="AF15" s="1757">
        <f>'[4]int.kiadások RM I'!Y15</f>
        <v>0</v>
      </c>
      <c r="AG15" s="1757">
        <f>'[4]int.kiadások RM III'!AA15</f>
        <v>1495</v>
      </c>
      <c r="AH15" s="1757">
        <v>1495</v>
      </c>
      <c r="AI15" s="1758">
        <f>AH15/AG15</f>
        <v>1</v>
      </c>
      <c r="AJ15" s="1757">
        <f>'[4]int.kiadások RM I'!AB15</f>
        <v>0</v>
      </c>
      <c r="AK15" s="1757">
        <f>'[4]int.kiadások RM III'!AD15</f>
        <v>0</v>
      </c>
      <c r="AL15" s="1757"/>
      <c r="AM15" s="1758"/>
      <c r="AN15" s="1756" t="s">
        <v>1229</v>
      </c>
      <c r="AO15" s="1759">
        <f t="shared" si="6"/>
        <v>0</v>
      </c>
      <c r="AP15" s="1759">
        <f t="shared" si="6"/>
        <v>4022</v>
      </c>
      <c r="AQ15" s="1759">
        <f t="shared" si="6"/>
        <v>4022</v>
      </c>
      <c r="AR15" s="1760">
        <f t="shared" si="7"/>
        <v>1</v>
      </c>
      <c r="AS15" s="1759">
        <f t="shared" si="8"/>
        <v>136021</v>
      </c>
      <c r="AT15" s="1759">
        <f t="shared" si="8"/>
        <v>146321</v>
      </c>
      <c r="AU15" s="1759">
        <f t="shared" si="8"/>
        <v>137573</v>
      </c>
      <c r="AV15" s="1760">
        <f t="shared" si="9"/>
        <v>0.94021363987397566</v>
      </c>
      <c r="AW15" s="1761"/>
      <c r="AX15" s="1761"/>
      <c r="AY15" s="1761"/>
      <c r="AZ15" s="1761"/>
      <c r="BA15" s="1761"/>
      <c r="BB15" s="1761"/>
      <c r="BC15" s="1761"/>
      <c r="BD15" s="1761"/>
      <c r="BE15" s="1761"/>
      <c r="BF15" s="1761"/>
      <c r="BG15" s="1761"/>
      <c r="BH15" s="1761"/>
      <c r="BI15" s="1761"/>
    </row>
    <row r="16" spans="1:61" s="1762" customFormat="1" ht="60" customHeight="1" x14ac:dyDescent="0.75">
      <c r="A16" s="1756" t="s">
        <v>1230</v>
      </c>
      <c r="B16" s="1757">
        <f>'[4]int.kiadások RM I'!B16</f>
        <v>90936</v>
      </c>
      <c r="C16" s="1757">
        <f>'[4]int.kiadások RM III'!D16</f>
        <v>92336</v>
      </c>
      <c r="D16" s="1757">
        <v>89634</v>
      </c>
      <c r="E16" s="1758">
        <f t="shared" si="0"/>
        <v>0.97073730722578411</v>
      </c>
      <c r="F16" s="1757">
        <f>'[4]int.kiadások RM I'!E16</f>
        <v>11892</v>
      </c>
      <c r="G16" s="1757">
        <f>'[4]int.kiadások RM III'!G16</f>
        <v>12120</v>
      </c>
      <c r="H16" s="1757">
        <v>11779</v>
      </c>
      <c r="I16" s="1758">
        <f t="shared" si="1"/>
        <v>0.97186468646864688</v>
      </c>
      <c r="J16" s="1757">
        <f>'[4]int.kiadások RM I'!H16</f>
        <v>2324</v>
      </c>
      <c r="K16" s="1757">
        <f>'[4]int.kiadások RM III'!J16</f>
        <v>3555</v>
      </c>
      <c r="L16" s="1757">
        <v>3387</v>
      </c>
      <c r="M16" s="1758">
        <f t="shared" si="2"/>
        <v>0.95274261603375532</v>
      </c>
      <c r="N16" s="1756" t="s">
        <v>1230</v>
      </c>
      <c r="O16" s="1757">
        <f>'[4]int.kiadások RM I'!L16</f>
        <v>0</v>
      </c>
      <c r="P16" s="1757">
        <f>'[4]int.kiadások RM III'!N16</f>
        <v>0</v>
      </c>
      <c r="Q16" s="1757"/>
      <c r="R16" s="1758"/>
      <c r="S16" s="1757">
        <f>'[4]int.kiadások RM I'!O16</f>
        <v>0</v>
      </c>
      <c r="T16" s="1757">
        <f>'[4]int.kiadások RM III'!Q16</f>
        <v>0</v>
      </c>
      <c r="U16" s="1757"/>
      <c r="V16" s="1758"/>
      <c r="W16" s="1759">
        <f t="shared" si="3"/>
        <v>105152</v>
      </c>
      <c r="X16" s="1759">
        <f t="shared" si="3"/>
        <v>108011</v>
      </c>
      <c r="Y16" s="1759">
        <f t="shared" si="3"/>
        <v>104800</v>
      </c>
      <c r="Z16" s="1760">
        <f t="shared" si="4"/>
        <v>0.97027154641656865</v>
      </c>
      <c r="AA16" s="1756" t="s">
        <v>1230</v>
      </c>
      <c r="AB16" s="1757">
        <f>'[4]int.kiadások RM I'!V16</f>
        <v>0</v>
      </c>
      <c r="AC16" s="1757">
        <f>'[4]int.kiadások RM III'!X16</f>
        <v>2385</v>
      </c>
      <c r="AD16" s="1757">
        <v>2384</v>
      </c>
      <c r="AE16" s="1758">
        <f t="shared" si="5"/>
        <v>0.99958071278826</v>
      </c>
      <c r="AF16" s="1757">
        <f>'[4]int.kiadások RM I'!Y16</f>
        <v>0</v>
      </c>
      <c r="AG16" s="1757">
        <f>'[4]int.kiadások RM III'!AA16</f>
        <v>0</v>
      </c>
      <c r="AH16" s="1763"/>
      <c r="AI16" s="1758"/>
      <c r="AJ16" s="1757">
        <f>'[4]int.kiadások RM I'!AB16</f>
        <v>0</v>
      </c>
      <c r="AK16" s="1757">
        <f>'[4]int.kiadások RM III'!AD16</f>
        <v>0</v>
      </c>
      <c r="AL16" s="1757"/>
      <c r="AM16" s="1758"/>
      <c r="AN16" s="1756" t="s">
        <v>1230</v>
      </c>
      <c r="AO16" s="1759">
        <f t="shared" si="6"/>
        <v>0</v>
      </c>
      <c r="AP16" s="1759">
        <f t="shared" si="6"/>
        <v>2385</v>
      </c>
      <c r="AQ16" s="1759">
        <f t="shared" si="6"/>
        <v>2384</v>
      </c>
      <c r="AR16" s="1760">
        <f t="shared" si="7"/>
        <v>0.99958071278826</v>
      </c>
      <c r="AS16" s="1759">
        <f t="shared" si="8"/>
        <v>105152</v>
      </c>
      <c r="AT16" s="1759">
        <f t="shared" si="8"/>
        <v>110396</v>
      </c>
      <c r="AU16" s="1759">
        <f>Y16+AQ16</f>
        <v>107184</v>
      </c>
      <c r="AV16" s="1760">
        <f t="shared" si="9"/>
        <v>0.97090474292546836</v>
      </c>
      <c r="AW16" s="1761"/>
      <c r="AX16" s="1761"/>
      <c r="AY16" s="1761"/>
      <c r="AZ16" s="1761"/>
      <c r="BA16" s="1761"/>
      <c r="BB16" s="1761"/>
      <c r="BC16" s="1761"/>
      <c r="BD16" s="1761"/>
      <c r="BE16" s="1761"/>
      <c r="BF16" s="1761"/>
      <c r="BG16" s="1761"/>
      <c r="BH16" s="1761"/>
      <c r="BI16" s="1761"/>
    </row>
    <row r="17" spans="1:61" s="1762" customFormat="1" ht="60" customHeight="1" x14ac:dyDescent="0.75">
      <c r="A17" s="1756" t="s">
        <v>1231</v>
      </c>
      <c r="B17" s="1757">
        <f>'[4]int.kiadások RM I'!B17</f>
        <v>96042</v>
      </c>
      <c r="C17" s="1757">
        <f>'[4]int.kiadások RM III'!D17</f>
        <v>99086</v>
      </c>
      <c r="D17" s="1757">
        <f>92996</f>
        <v>92996</v>
      </c>
      <c r="E17" s="1758">
        <f t="shared" si="0"/>
        <v>0.9385382395091133</v>
      </c>
      <c r="F17" s="1757">
        <f>'[4]int.kiadások RM I'!E17</f>
        <v>12459</v>
      </c>
      <c r="G17" s="1757">
        <f>'[4]int.kiadások RM III'!G17</f>
        <v>12928</v>
      </c>
      <c r="H17" s="1757">
        <f>11323-1</f>
        <v>11322</v>
      </c>
      <c r="I17" s="1758">
        <f t="shared" si="1"/>
        <v>0.87577351485148514</v>
      </c>
      <c r="J17" s="1757">
        <f>'[4]int.kiadások RM I'!H17</f>
        <v>2373</v>
      </c>
      <c r="K17" s="1757">
        <f>'[4]int.kiadások RM III'!J17</f>
        <v>3918</v>
      </c>
      <c r="L17" s="1757">
        <v>3918</v>
      </c>
      <c r="M17" s="1758">
        <f t="shared" si="2"/>
        <v>1</v>
      </c>
      <c r="N17" s="1756" t="s">
        <v>1231</v>
      </c>
      <c r="O17" s="1757">
        <f>'[4]int.kiadások RM I'!L17</f>
        <v>0</v>
      </c>
      <c r="P17" s="1757">
        <f>'[4]int.kiadások RM III'!N17</f>
        <v>0</v>
      </c>
      <c r="Q17" s="1757"/>
      <c r="R17" s="1758"/>
      <c r="S17" s="1757">
        <f>'[4]int.kiadások RM I'!O17</f>
        <v>0</v>
      </c>
      <c r="T17" s="1757">
        <f>'[4]int.kiadások RM III'!Q17</f>
        <v>0</v>
      </c>
      <c r="U17" s="1757"/>
      <c r="V17" s="1758"/>
      <c r="W17" s="1759">
        <f t="shared" si="3"/>
        <v>110874</v>
      </c>
      <c r="X17" s="1759">
        <f t="shared" si="3"/>
        <v>115932</v>
      </c>
      <c r="Y17" s="1759">
        <f t="shared" si="3"/>
        <v>108236</v>
      </c>
      <c r="Z17" s="1760">
        <f t="shared" si="4"/>
        <v>0.9336162578063002</v>
      </c>
      <c r="AA17" s="1756" t="s">
        <v>1231</v>
      </c>
      <c r="AB17" s="1757">
        <f>'[4]int.kiadások RM I'!V17</f>
        <v>0</v>
      </c>
      <c r="AC17" s="1757">
        <f>'[4]int.kiadások RM III'!X17</f>
        <v>3128</v>
      </c>
      <c r="AD17" s="1757">
        <v>3127</v>
      </c>
      <c r="AE17" s="1758">
        <f t="shared" si="5"/>
        <v>0.9996803069053708</v>
      </c>
      <c r="AF17" s="1757">
        <f>'[4]int.kiadások RM I'!Y17</f>
        <v>0</v>
      </c>
      <c r="AG17" s="1757">
        <f>'[4]int.kiadások RM III'!AA17</f>
        <v>4239</v>
      </c>
      <c r="AH17" s="1757">
        <v>4238</v>
      </c>
      <c r="AI17" s="1758">
        <f>AH17/AG17</f>
        <v>0.99976409530549659</v>
      </c>
      <c r="AJ17" s="1757">
        <f>'[4]int.kiadások RM I'!AB17</f>
        <v>0</v>
      </c>
      <c r="AK17" s="1757">
        <f>'[4]int.kiadások RM III'!AD17</f>
        <v>0</v>
      </c>
      <c r="AL17" s="1757"/>
      <c r="AM17" s="1758"/>
      <c r="AN17" s="1756" t="s">
        <v>1231</v>
      </c>
      <c r="AO17" s="1759">
        <f t="shared" si="6"/>
        <v>0</v>
      </c>
      <c r="AP17" s="1759">
        <f t="shared" si="6"/>
        <v>7367</v>
      </c>
      <c r="AQ17" s="1759">
        <f t="shared" si="6"/>
        <v>7365</v>
      </c>
      <c r="AR17" s="1760">
        <f t="shared" si="7"/>
        <v>0.99972851907153526</v>
      </c>
      <c r="AS17" s="1759">
        <f t="shared" si="8"/>
        <v>110874</v>
      </c>
      <c r="AT17" s="1759">
        <f t="shared" si="8"/>
        <v>123299</v>
      </c>
      <c r="AU17" s="1759">
        <f t="shared" si="8"/>
        <v>115601</v>
      </c>
      <c r="AV17" s="1760">
        <f t="shared" si="9"/>
        <v>0.93756640362046728</v>
      </c>
      <c r="AW17" s="1761"/>
      <c r="AX17" s="1761"/>
      <c r="AY17" s="1761"/>
      <c r="AZ17" s="1761"/>
      <c r="BA17" s="1761"/>
      <c r="BB17" s="1761"/>
      <c r="BC17" s="1761"/>
      <c r="BD17" s="1761"/>
      <c r="BE17" s="1761"/>
      <c r="BF17" s="1761"/>
      <c r="BG17" s="1761"/>
      <c r="BH17" s="1761"/>
      <c r="BI17" s="1761"/>
    </row>
    <row r="18" spans="1:61" s="1762" customFormat="1" ht="60" customHeight="1" x14ac:dyDescent="0.75">
      <c r="A18" s="1756" t="s">
        <v>1232</v>
      </c>
      <c r="B18" s="1757">
        <f>'[4]int.kiadások RM I'!B18</f>
        <v>132836</v>
      </c>
      <c r="C18" s="1757">
        <f>'[4]int.kiadások RM III'!D18</f>
        <v>138416</v>
      </c>
      <c r="D18" s="1757">
        <f>135536+1</f>
        <v>135537</v>
      </c>
      <c r="E18" s="1758">
        <f t="shared" si="0"/>
        <v>0.97920038145879085</v>
      </c>
      <c r="F18" s="1757">
        <f>'[4]int.kiadások RM I'!E18</f>
        <v>20098</v>
      </c>
      <c r="G18" s="1757">
        <f>'[4]int.kiadások RM III'!G18</f>
        <v>20841</v>
      </c>
      <c r="H18" s="1757">
        <f>19546-1</f>
        <v>19545</v>
      </c>
      <c r="I18" s="1758">
        <f t="shared" si="1"/>
        <v>0.93781488412264291</v>
      </c>
      <c r="J18" s="1757">
        <f>'[4]int.kiadások RM I'!H18</f>
        <v>2963</v>
      </c>
      <c r="K18" s="1757">
        <f>'[4]int.kiadások RM III'!J18</f>
        <v>4750</v>
      </c>
      <c r="L18" s="1757">
        <v>3213</v>
      </c>
      <c r="M18" s="1758">
        <f t="shared" si="2"/>
        <v>0.67642105263157892</v>
      </c>
      <c r="N18" s="1756" t="s">
        <v>1232</v>
      </c>
      <c r="O18" s="1757">
        <f>'[4]int.kiadások RM I'!L18</f>
        <v>0</v>
      </c>
      <c r="P18" s="1757">
        <f>'[4]int.kiadások RM III'!N18</f>
        <v>0</v>
      </c>
      <c r="Q18" s="1757"/>
      <c r="R18" s="1758"/>
      <c r="S18" s="1757">
        <f>'[4]int.kiadások RM I'!O18</f>
        <v>0</v>
      </c>
      <c r="T18" s="1757">
        <f>'[4]int.kiadások RM III'!Q18</f>
        <v>0</v>
      </c>
      <c r="U18" s="1757"/>
      <c r="V18" s="1758"/>
      <c r="W18" s="1759">
        <f t="shared" si="3"/>
        <v>155897</v>
      </c>
      <c r="X18" s="1759">
        <f t="shared" si="3"/>
        <v>164007</v>
      </c>
      <c r="Y18" s="1759">
        <f t="shared" si="3"/>
        <v>158295</v>
      </c>
      <c r="Z18" s="1760">
        <f t="shared" si="4"/>
        <v>0.9651722182589767</v>
      </c>
      <c r="AA18" s="1756" t="s">
        <v>1232</v>
      </c>
      <c r="AB18" s="1757">
        <f>'[4]int.kiadások RM I'!V18</f>
        <v>0</v>
      </c>
      <c r="AC18" s="1757">
        <f>'[4]int.kiadások RM III'!X18</f>
        <v>3163</v>
      </c>
      <c r="AD18" s="1757">
        <v>1610</v>
      </c>
      <c r="AE18" s="1758">
        <f t="shared" si="5"/>
        <v>0.50901043313310146</v>
      </c>
      <c r="AF18" s="1757">
        <f>'[4]int.kiadások RM I'!Y18</f>
        <v>0</v>
      </c>
      <c r="AG18" s="1757">
        <f>'[4]int.kiadások RM III'!AA18</f>
        <v>0</v>
      </c>
      <c r="AH18" s="1757"/>
      <c r="AI18" s="1758"/>
      <c r="AJ18" s="1757">
        <f>'[4]int.kiadások RM I'!AB18</f>
        <v>0</v>
      </c>
      <c r="AK18" s="1757">
        <f>'[4]int.kiadások RM III'!AD18</f>
        <v>0</v>
      </c>
      <c r="AL18" s="1757"/>
      <c r="AM18" s="1758"/>
      <c r="AN18" s="1756" t="s">
        <v>1232</v>
      </c>
      <c r="AO18" s="1759">
        <f t="shared" si="6"/>
        <v>0</v>
      </c>
      <c r="AP18" s="1759">
        <f t="shared" si="6"/>
        <v>3163</v>
      </c>
      <c r="AQ18" s="1759">
        <f t="shared" si="6"/>
        <v>1610</v>
      </c>
      <c r="AR18" s="1760">
        <f t="shared" si="7"/>
        <v>0.50901043313310146</v>
      </c>
      <c r="AS18" s="1759">
        <f t="shared" si="8"/>
        <v>155897</v>
      </c>
      <c r="AT18" s="1759">
        <f t="shared" si="8"/>
        <v>167170</v>
      </c>
      <c r="AU18" s="1759">
        <f t="shared" si="8"/>
        <v>159905</v>
      </c>
      <c r="AV18" s="1760">
        <f t="shared" si="9"/>
        <v>0.95654124543877495</v>
      </c>
      <c r="AW18" s="1761"/>
      <c r="AX18" s="1761"/>
      <c r="AY18" s="1761"/>
      <c r="AZ18" s="1761"/>
      <c r="BA18" s="1761"/>
      <c r="BB18" s="1761"/>
      <c r="BC18" s="1761"/>
      <c r="BD18" s="1761"/>
      <c r="BE18" s="1761"/>
      <c r="BF18" s="1761"/>
      <c r="BG18" s="1761"/>
      <c r="BH18" s="1761"/>
      <c r="BI18" s="1761"/>
    </row>
    <row r="19" spans="1:61" s="1762" customFormat="1" ht="60" customHeight="1" x14ac:dyDescent="0.75">
      <c r="A19" s="1756" t="s">
        <v>1233</v>
      </c>
      <c r="B19" s="1757">
        <f>'[4]int.kiadások RM I'!B19</f>
        <v>149563</v>
      </c>
      <c r="C19" s="1757">
        <f>'[4]int.kiadások RM III'!D19</f>
        <v>157972</v>
      </c>
      <c r="D19" s="1757">
        <v>151752</v>
      </c>
      <c r="E19" s="1758">
        <f t="shared" si="0"/>
        <v>0.96062593370977134</v>
      </c>
      <c r="F19" s="1757">
        <f>'[4]int.kiadások RM I'!E19</f>
        <v>22374</v>
      </c>
      <c r="G19" s="1757">
        <f>'[4]int.kiadások RM III'!G19</f>
        <v>23461</v>
      </c>
      <c r="H19" s="1757">
        <v>19931</v>
      </c>
      <c r="I19" s="1758">
        <f t="shared" si="1"/>
        <v>0.84953753036954949</v>
      </c>
      <c r="J19" s="1757">
        <f>'[4]int.kiadások RM I'!H19</f>
        <v>3415</v>
      </c>
      <c r="K19" s="1757">
        <f>'[4]int.kiadások RM III'!J19</f>
        <v>7857</v>
      </c>
      <c r="L19" s="1757">
        <v>7056</v>
      </c>
      <c r="M19" s="1758">
        <f t="shared" si="2"/>
        <v>0.89805269186712489</v>
      </c>
      <c r="N19" s="1756" t="s">
        <v>1233</v>
      </c>
      <c r="O19" s="1757">
        <f>'[4]int.kiadások RM I'!L19</f>
        <v>0</v>
      </c>
      <c r="P19" s="1757">
        <f>'[4]int.kiadások RM III'!N19</f>
        <v>0</v>
      </c>
      <c r="Q19" s="1757"/>
      <c r="R19" s="1758"/>
      <c r="S19" s="1757">
        <f>'[4]int.kiadások RM I'!O19</f>
        <v>0</v>
      </c>
      <c r="T19" s="1757">
        <f>'[4]int.kiadások RM III'!Q19</f>
        <v>0</v>
      </c>
      <c r="U19" s="1757"/>
      <c r="V19" s="1758"/>
      <c r="W19" s="1759">
        <f t="shared" si="3"/>
        <v>175352</v>
      </c>
      <c r="X19" s="1759">
        <f t="shared" si="3"/>
        <v>189290</v>
      </c>
      <c r="Y19" s="1759">
        <f t="shared" si="3"/>
        <v>178739</v>
      </c>
      <c r="Z19" s="1760">
        <f t="shared" si="4"/>
        <v>0.94426012995932163</v>
      </c>
      <c r="AA19" s="1756" t="s">
        <v>1233</v>
      </c>
      <c r="AB19" s="1757">
        <f>'[4]int.kiadások RM I'!V19</f>
        <v>0</v>
      </c>
      <c r="AC19" s="1757">
        <f>'[4]int.kiadások RM III'!X19</f>
        <v>1916</v>
      </c>
      <c r="AD19" s="1757">
        <v>1916</v>
      </c>
      <c r="AE19" s="1758">
        <f t="shared" si="5"/>
        <v>1</v>
      </c>
      <c r="AF19" s="1757">
        <f>'[4]int.kiadások RM I'!Y19</f>
        <v>0</v>
      </c>
      <c r="AG19" s="1757">
        <f>'[4]int.kiadások RM III'!AA19</f>
        <v>2467</v>
      </c>
      <c r="AH19" s="1757">
        <v>2467</v>
      </c>
      <c r="AI19" s="1758">
        <f>AH19/AG19</f>
        <v>1</v>
      </c>
      <c r="AJ19" s="1757">
        <f>'[4]int.kiadások RM I'!AB19</f>
        <v>0</v>
      </c>
      <c r="AK19" s="1757">
        <f>'[4]int.kiadások RM III'!AD19</f>
        <v>0</v>
      </c>
      <c r="AL19" s="1757"/>
      <c r="AM19" s="1758"/>
      <c r="AN19" s="1756" t="s">
        <v>1233</v>
      </c>
      <c r="AO19" s="1759">
        <f t="shared" si="6"/>
        <v>0</v>
      </c>
      <c r="AP19" s="1759">
        <f t="shared" si="6"/>
        <v>4383</v>
      </c>
      <c r="AQ19" s="1759">
        <f t="shared" si="6"/>
        <v>4383</v>
      </c>
      <c r="AR19" s="1760">
        <f t="shared" si="7"/>
        <v>1</v>
      </c>
      <c r="AS19" s="1759">
        <f t="shared" si="8"/>
        <v>175352</v>
      </c>
      <c r="AT19" s="1759">
        <f t="shared" si="8"/>
        <v>193673</v>
      </c>
      <c r="AU19" s="1759">
        <f>Y19+AQ19</f>
        <v>183122</v>
      </c>
      <c r="AV19" s="1760">
        <f t="shared" si="9"/>
        <v>0.9455215750259458</v>
      </c>
      <c r="AW19" s="1761"/>
      <c r="AX19" s="1761"/>
      <c r="AY19" s="1761"/>
      <c r="AZ19" s="1761"/>
      <c r="BA19" s="1761"/>
      <c r="BB19" s="1761"/>
      <c r="BC19" s="1761"/>
      <c r="BD19" s="1761"/>
      <c r="BE19" s="1761"/>
      <c r="BF19" s="1761"/>
      <c r="BG19" s="1761"/>
      <c r="BH19" s="1761"/>
      <c r="BI19" s="1761"/>
    </row>
    <row r="20" spans="1:61" s="1762" customFormat="1" ht="60" customHeight="1" x14ac:dyDescent="0.75">
      <c r="A20" s="1756" t="s">
        <v>1234</v>
      </c>
      <c r="B20" s="1757">
        <f>'[4]int.kiadások RM I'!B20</f>
        <v>82398</v>
      </c>
      <c r="C20" s="1757">
        <f>'[4]int.kiadások RM III'!D20</f>
        <v>86378</v>
      </c>
      <c r="D20" s="1757">
        <v>79069</v>
      </c>
      <c r="E20" s="1758">
        <f t="shared" si="0"/>
        <v>0.91538354673643751</v>
      </c>
      <c r="F20" s="1757">
        <f>'[4]int.kiadások RM I'!E20</f>
        <v>10693</v>
      </c>
      <c r="G20" s="1757">
        <f>'[4]int.kiadások RM III'!G20</f>
        <v>11226</v>
      </c>
      <c r="H20" s="1757">
        <v>9628</v>
      </c>
      <c r="I20" s="1758">
        <f t="shared" si="1"/>
        <v>0.85765187956529487</v>
      </c>
      <c r="J20" s="1757">
        <f>'[4]int.kiadások RM I'!H20</f>
        <v>2124</v>
      </c>
      <c r="K20" s="1757">
        <f>'[4]int.kiadások RM III'!J20</f>
        <v>3270</v>
      </c>
      <c r="L20" s="1757">
        <v>2191</v>
      </c>
      <c r="M20" s="1758">
        <f t="shared" si="2"/>
        <v>0.67003058103975532</v>
      </c>
      <c r="N20" s="1756" t="s">
        <v>1234</v>
      </c>
      <c r="O20" s="1757">
        <f>'[4]int.kiadások RM I'!L20</f>
        <v>0</v>
      </c>
      <c r="P20" s="1757">
        <f>'[4]int.kiadások RM III'!N20</f>
        <v>0</v>
      </c>
      <c r="Q20" s="1757"/>
      <c r="R20" s="1758"/>
      <c r="S20" s="1757">
        <f>'[4]int.kiadások RM I'!O20</f>
        <v>0</v>
      </c>
      <c r="T20" s="1757">
        <f>'[4]int.kiadások RM III'!Q20</f>
        <v>0</v>
      </c>
      <c r="U20" s="1757"/>
      <c r="V20" s="1758"/>
      <c r="W20" s="1759">
        <f t="shared" si="3"/>
        <v>95215</v>
      </c>
      <c r="X20" s="1759">
        <f t="shared" si="3"/>
        <v>100874</v>
      </c>
      <c r="Y20" s="1759">
        <f t="shared" si="3"/>
        <v>90888</v>
      </c>
      <c r="Z20" s="1760">
        <f t="shared" si="4"/>
        <v>0.90100521442591752</v>
      </c>
      <c r="AA20" s="1756" t="s">
        <v>1234</v>
      </c>
      <c r="AB20" s="1757">
        <f>'[4]int.kiadások RM I'!V20</f>
        <v>0</v>
      </c>
      <c r="AC20" s="1757">
        <f>'[4]int.kiadások RM III'!X20</f>
        <v>1607</v>
      </c>
      <c r="AD20" s="1757">
        <v>1300</v>
      </c>
      <c r="AE20" s="1758">
        <f t="shared" si="5"/>
        <v>0.80896079651524577</v>
      </c>
      <c r="AF20" s="1757">
        <f>'[4]int.kiadások RM I'!Y20</f>
        <v>0</v>
      </c>
      <c r="AG20" s="1757">
        <f>'[4]int.kiadások RM III'!AA20</f>
        <v>0</v>
      </c>
      <c r="AH20" s="1757"/>
      <c r="AI20" s="1758"/>
      <c r="AJ20" s="1757">
        <f>'[4]int.kiadások RM I'!AB20</f>
        <v>0</v>
      </c>
      <c r="AK20" s="1757">
        <f>'[4]int.kiadások RM III'!AD20</f>
        <v>0</v>
      </c>
      <c r="AL20" s="1757"/>
      <c r="AM20" s="1758"/>
      <c r="AN20" s="1756" t="s">
        <v>1234</v>
      </c>
      <c r="AO20" s="1759">
        <f t="shared" si="6"/>
        <v>0</v>
      </c>
      <c r="AP20" s="1759">
        <f t="shared" si="6"/>
        <v>1607</v>
      </c>
      <c r="AQ20" s="1759">
        <f t="shared" si="6"/>
        <v>1300</v>
      </c>
      <c r="AR20" s="1760">
        <f t="shared" si="7"/>
        <v>0.80896079651524577</v>
      </c>
      <c r="AS20" s="1759">
        <f t="shared" si="8"/>
        <v>95215</v>
      </c>
      <c r="AT20" s="1759">
        <f t="shared" si="8"/>
        <v>102481</v>
      </c>
      <c r="AU20" s="1759">
        <f t="shared" si="8"/>
        <v>92188</v>
      </c>
      <c r="AV20" s="1760">
        <f t="shared" si="9"/>
        <v>0.89956187000517174</v>
      </c>
      <c r="AW20" s="1761"/>
      <c r="AX20" s="1761"/>
      <c r="AY20" s="1761"/>
      <c r="AZ20" s="1761"/>
      <c r="BA20" s="1761"/>
      <c r="BB20" s="1761"/>
      <c r="BC20" s="1761"/>
      <c r="BD20" s="1761"/>
      <c r="BE20" s="1761"/>
      <c r="BF20" s="1761"/>
      <c r="BG20" s="1761"/>
      <c r="BH20" s="1761"/>
      <c r="BI20" s="1761"/>
    </row>
    <row r="21" spans="1:61" s="1762" customFormat="1" ht="60" customHeight="1" x14ac:dyDescent="0.75">
      <c r="A21" s="1756" t="s">
        <v>1235</v>
      </c>
      <c r="B21" s="1757">
        <f>'[4]int.kiadások RM I'!B21</f>
        <v>72558</v>
      </c>
      <c r="C21" s="1757">
        <f>'[4]int.kiadások RM III'!D21</f>
        <v>75304</v>
      </c>
      <c r="D21" s="1757">
        <v>72529</v>
      </c>
      <c r="E21" s="1758">
        <f t="shared" si="0"/>
        <v>0.96314936789546368</v>
      </c>
      <c r="F21" s="1757">
        <f>'[4]int.kiadások RM I'!E21</f>
        <v>9504</v>
      </c>
      <c r="G21" s="1757">
        <f>'[4]int.kiadások RM III'!G21</f>
        <v>9929</v>
      </c>
      <c r="H21" s="1757">
        <v>9356</v>
      </c>
      <c r="I21" s="1758">
        <f t="shared" si="1"/>
        <v>0.94229026085204959</v>
      </c>
      <c r="J21" s="1757">
        <f>'[4]int.kiadások RM I'!H21</f>
        <v>1903</v>
      </c>
      <c r="K21" s="1757">
        <f>'[4]int.kiadások RM III'!J21</f>
        <v>3780</v>
      </c>
      <c r="L21" s="1757">
        <v>3310</v>
      </c>
      <c r="M21" s="1758">
        <f t="shared" si="2"/>
        <v>0.8756613756613757</v>
      </c>
      <c r="N21" s="1756" t="s">
        <v>1235</v>
      </c>
      <c r="O21" s="1757">
        <f>'[4]int.kiadások RM I'!L21</f>
        <v>0</v>
      </c>
      <c r="P21" s="1757">
        <f>'[4]int.kiadások RM III'!N21</f>
        <v>0</v>
      </c>
      <c r="Q21" s="1757"/>
      <c r="R21" s="1758"/>
      <c r="S21" s="1757">
        <f>'[4]int.kiadások RM I'!O21</f>
        <v>0</v>
      </c>
      <c r="T21" s="1757">
        <f>'[4]int.kiadások RM III'!Q21</f>
        <v>0</v>
      </c>
      <c r="U21" s="1757"/>
      <c r="V21" s="1758"/>
      <c r="W21" s="1759">
        <f t="shared" si="3"/>
        <v>83965</v>
      </c>
      <c r="X21" s="1759">
        <f t="shared" si="3"/>
        <v>89013</v>
      </c>
      <c r="Y21" s="1759">
        <f t="shared" si="3"/>
        <v>85195</v>
      </c>
      <c r="Z21" s="1760">
        <f t="shared" si="4"/>
        <v>0.95710738880837631</v>
      </c>
      <c r="AA21" s="1756" t="s">
        <v>1235</v>
      </c>
      <c r="AB21" s="1757">
        <f>'[4]int.kiadások RM I'!V21</f>
        <v>0</v>
      </c>
      <c r="AC21" s="1757">
        <f>'[4]int.kiadások RM III'!X21</f>
        <v>2374</v>
      </c>
      <c r="AD21" s="1757">
        <v>2374</v>
      </c>
      <c r="AE21" s="1758">
        <f t="shared" si="5"/>
        <v>1</v>
      </c>
      <c r="AF21" s="1757">
        <f>'[4]int.kiadások RM I'!Y21</f>
        <v>0</v>
      </c>
      <c r="AG21" s="1757">
        <f>'[4]int.kiadások RM III'!AA21</f>
        <v>0</v>
      </c>
      <c r="AH21" s="1757"/>
      <c r="AI21" s="1758"/>
      <c r="AJ21" s="1757">
        <f>'[4]int.kiadások RM I'!AB21</f>
        <v>0</v>
      </c>
      <c r="AK21" s="1757">
        <f>'[4]int.kiadások RM III'!AD21</f>
        <v>0</v>
      </c>
      <c r="AL21" s="1757"/>
      <c r="AM21" s="1758"/>
      <c r="AN21" s="1756" t="s">
        <v>1235</v>
      </c>
      <c r="AO21" s="1759">
        <f t="shared" si="6"/>
        <v>0</v>
      </c>
      <c r="AP21" s="1759">
        <f t="shared" si="6"/>
        <v>2374</v>
      </c>
      <c r="AQ21" s="1759">
        <f t="shared" si="6"/>
        <v>2374</v>
      </c>
      <c r="AR21" s="1760">
        <f t="shared" si="7"/>
        <v>1</v>
      </c>
      <c r="AS21" s="1759">
        <f t="shared" si="8"/>
        <v>83965</v>
      </c>
      <c r="AT21" s="1759">
        <f t="shared" si="8"/>
        <v>91387</v>
      </c>
      <c r="AU21" s="1759">
        <f t="shared" si="8"/>
        <v>87569</v>
      </c>
      <c r="AV21" s="1760">
        <f t="shared" si="9"/>
        <v>0.958221628896889</v>
      </c>
      <c r="AW21" s="1761"/>
      <c r="AX21" s="1761"/>
      <c r="AY21" s="1761"/>
      <c r="AZ21" s="1761"/>
      <c r="BA21" s="1761"/>
      <c r="BB21" s="1761"/>
      <c r="BC21" s="1761"/>
      <c r="BD21" s="1761"/>
      <c r="BE21" s="1761"/>
      <c r="BF21" s="1761"/>
      <c r="BG21" s="1761"/>
      <c r="BH21" s="1761"/>
      <c r="BI21" s="1761"/>
    </row>
    <row r="22" spans="1:61" s="1762" customFormat="1" ht="60" customHeight="1" x14ac:dyDescent="0.75">
      <c r="A22" s="1756" t="s">
        <v>1236</v>
      </c>
      <c r="B22" s="1757">
        <f>'[4]int.kiadások RM I'!B22</f>
        <v>96940</v>
      </c>
      <c r="C22" s="1757">
        <f>'[4]int.kiadások RM III'!D22</f>
        <v>104837</v>
      </c>
      <c r="D22" s="1757">
        <v>101945</v>
      </c>
      <c r="E22" s="1758">
        <f t="shared" si="0"/>
        <v>0.97241431937197742</v>
      </c>
      <c r="F22" s="1757">
        <f>'[4]int.kiadások RM I'!E22</f>
        <v>12542</v>
      </c>
      <c r="G22" s="1757">
        <f>'[4]int.kiadások RM III'!G22</f>
        <v>13578</v>
      </c>
      <c r="H22" s="1757">
        <v>12369</v>
      </c>
      <c r="I22" s="1758">
        <f t="shared" si="1"/>
        <v>0.91095890410958902</v>
      </c>
      <c r="J22" s="1757">
        <f>'[4]int.kiadások RM I'!H22</f>
        <v>2576</v>
      </c>
      <c r="K22" s="1757">
        <f>'[4]int.kiadások RM III'!J22</f>
        <v>4215</v>
      </c>
      <c r="L22" s="1757">
        <v>3273</v>
      </c>
      <c r="M22" s="1758">
        <f t="shared" si="2"/>
        <v>0.77651245551601422</v>
      </c>
      <c r="N22" s="1756" t="s">
        <v>1236</v>
      </c>
      <c r="O22" s="1757">
        <f>'[4]int.kiadások RM I'!L22</f>
        <v>0</v>
      </c>
      <c r="P22" s="1757">
        <f>'[4]int.kiadások RM III'!N22</f>
        <v>0</v>
      </c>
      <c r="Q22" s="1757"/>
      <c r="R22" s="1758"/>
      <c r="S22" s="1757">
        <f>'[4]int.kiadások RM I'!O22</f>
        <v>0</v>
      </c>
      <c r="T22" s="1757">
        <f>'[4]int.kiadások RM III'!Q22</f>
        <v>0</v>
      </c>
      <c r="U22" s="1757"/>
      <c r="V22" s="1758"/>
      <c r="W22" s="1759">
        <f t="shared" si="3"/>
        <v>112058</v>
      </c>
      <c r="X22" s="1759">
        <f t="shared" si="3"/>
        <v>122630</v>
      </c>
      <c r="Y22" s="1759">
        <f t="shared" si="3"/>
        <v>117587</v>
      </c>
      <c r="Z22" s="1760">
        <f t="shared" si="4"/>
        <v>0.95887629454456491</v>
      </c>
      <c r="AA22" s="1756" t="s">
        <v>1236</v>
      </c>
      <c r="AB22" s="1757">
        <f>'[4]int.kiadások RM I'!V22</f>
        <v>0</v>
      </c>
      <c r="AC22" s="1757">
        <f>'[4]int.kiadások RM III'!X22</f>
        <v>4434</v>
      </c>
      <c r="AD22" s="1757">
        <v>1318</v>
      </c>
      <c r="AE22" s="1758">
        <f t="shared" si="5"/>
        <v>0.29724853405502932</v>
      </c>
      <c r="AF22" s="1757">
        <f>'[4]int.kiadások RM I'!Y22</f>
        <v>0</v>
      </c>
      <c r="AG22" s="1757">
        <f>'[4]int.kiadások RM III'!AA22</f>
        <v>0</v>
      </c>
      <c r="AH22" s="1757"/>
      <c r="AI22" s="1758"/>
      <c r="AJ22" s="1757">
        <f>'[4]int.kiadások RM I'!AB22</f>
        <v>0</v>
      </c>
      <c r="AK22" s="1757">
        <f>'[4]int.kiadások RM III'!AD22</f>
        <v>0</v>
      </c>
      <c r="AL22" s="1757"/>
      <c r="AM22" s="1758"/>
      <c r="AN22" s="1756" t="s">
        <v>1236</v>
      </c>
      <c r="AO22" s="1759">
        <f t="shared" si="6"/>
        <v>0</v>
      </c>
      <c r="AP22" s="1759">
        <f t="shared" si="6"/>
        <v>4434</v>
      </c>
      <c r="AQ22" s="1759">
        <f t="shared" si="6"/>
        <v>1318</v>
      </c>
      <c r="AR22" s="1760">
        <f t="shared" si="7"/>
        <v>0.29724853405502932</v>
      </c>
      <c r="AS22" s="1759">
        <f t="shared" si="8"/>
        <v>112058</v>
      </c>
      <c r="AT22" s="1759">
        <f t="shared" si="8"/>
        <v>127064</v>
      </c>
      <c r="AU22" s="1759">
        <f t="shared" si="8"/>
        <v>118905</v>
      </c>
      <c r="AV22" s="1760">
        <f t="shared" si="9"/>
        <v>0.93578826418182959</v>
      </c>
      <c r="AW22" s="1761"/>
      <c r="AX22" s="1761"/>
      <c r="AY22" s="1761"/>
      <c r="AZ22" s="1761"/>
      <c r="BA22" s="1761"/>
      <c r="BB22" s="1761"/>
      <c r="BC22" s="1761"/>
      <c r="BD22" s="1761"/>
      <c r="BE22" s="1761"/>
      <c r="BF22" s="1761"/>
      <c r="BG22" s="1761"/>
      <c r="BH22" s="1761"/>
      <c r="BI22" s="1761"/>
    </row>
    <row r="23" spans="1:61" s="1762" customFormat="1" ht="60" customHeight="1" x14ac:dyDescent="0.75">
      <c r="A23" s="1756" t="s">
        <v>1237</v>
      </c>
      <c r="B23" s="1757">
        <f>'[4]int.kiadások RM I'!B23</f>
        <v>106593</v>
      </c>
      <c r="C23" s="1757">
        <f>'[4]int.kiadások RM III'!D23</f>
        <v>114080</v>
      </c>
      <c r="D23" s="1757">
        <f>101085+1</f>
        <v>101086</v>
      </c>
      <c r="E23" s="1758">
        <f t="shared" si="0"/>
        <v>0.88609747545582052</v>
      </c>
      <c r="F23" s="1757">
        <f>'[4]int.kiadások RM I'!E23</f>
        <v>13971</v>
      </c>
      <c r="G23" s="1757">
        <f>'[4]int.kiadások RM III'!G23</f>
        <v>15111</v>
      </c>
      <c r="H23" s="1757">
        <v>12979</v>
      </c>
      <c r="I23" s="1758">
        <f t="shared" si="1"/>
        <v>0.85891072728475948</v>
      </c>
      <c r="J23" s="1757">
        <f>'[4]int.kiadások RM I'!H23</f>
        <v>2560</v>
      </c>
      <c r="K23" s="1757">
        <f>'[4]int.kiadások RM III'!J23</f>
        <v>4629</v>
      </c>
      <c r="L23" s="1757">
        <v>4628</v>
      </c>
      <c r="M23" s="1758">
        <f t="shared" si="2"/>
        <v>0.99978397062000435</v>
      </c>
      <c r="N23" s="1756" t="s">
        <v>1237</v>
      </c>
      <c r="O23" s="1757">
        <f>'[4]int.kiadások RM I'!L23</f>
        <v>0</v>
      </c>
      <c r="P23" s="1757">
        <f>'[4]int.kiadások RM III'!N23</f>
        <v>0</v>
      </c>
      <c r="Q23" s="1757"/>
      <c r="R23" s="1758"/>
      <c r="S23" s="1757">
        <f>'[4]int.kiadások RM I'!O23</f>
        <v>0</v>
      </c>
      <c r="T23" s="1757">
        <f>'[4]int.kiadások RM III'!Q23</f>
        <v>0</v>
      </c>
      <c r="U23" s="1757"/>
      <c r="V23" s="1758"/>
      <c r="W23" s="1759">
        <f t="shared" si="3"/>
        <v>123124</v>
      </c>
      <c r="X23" s="1759">
        <f t="shared" si="3"/>
        <v>133820</v>
      </c>
      <c r="Y23" s="1759">
        <f t="shared" si="3"/>
        <v>118693</v>
      </c>
      <c r="Z23" s="1760">
        <f t="shared" si="4"/>
        <v>0.8869600956508743</v>
      </c>
      <c r="AA23" s="1756" t="s">
        <v>1237</v>
      </c>
      <c r="AB23" s="1757">
        <f>'[4]int.kiadások RM I'!V23</f>
        <v>0</v>
      </c>
      <c r="AC23" s="1757">
        <f>'[4]int.kiadások RM III'!X23</f>
        <v>742</v>
      </c>
      <c r="AD23" s="1757">
        <v>741</v>
      </c>
      <c r="AE23" s="1758">
        <f t="shared" si="5"/>
        <v>0.99865229110512133</v>
      </c>
      <c r="AF23" s="1757">
        <f>'[4]int.kiadások RM I'!Y23</f>
        <v>0</v>
      </c>
      <c r="AG23" s="1757">
        <f>'[4]int.kiadások RM III'!AA23</f>
        <v>2149</v>
      </c>
      <c r="AH23" s="1757">
        <v>2148</v>
      </c>
      <c r="AI23" s="1758">
        <f>AH23/AG23</f>
        <v>0.99953466728711027</v>
      </c>
      <c r="AJ23" s="1757">
        <f>'[4]int.kiadások RM I'!AB23</f>
        <v>0</v>
      </c>
      <c r="AK23" s="1757">
        <f>'[4]int.kiadások RM III'!AD23</f>
        <v>0</v>
      </c>
      <c r="AL23" s="1757"/>
      <c r="AM23" s="1758"/>
      <c r="AN23" s="1756" t="s">
        <v>1237</v>
      </c>
      <c r="AO23" s="1759">
        <f t="shared" si="6"/>
        <v>0</v>
      </c>
      <c r="AP23" s="1759">
        <f t="shared" si="6"/>
        <v>2891</v>
      </c>
      <c r="AQ23" s="1759">
        <f t="shared" si="6"/>
        <v>2889</v>
      </c>
      <c r="AR23" s="1760">
        <f t="shared" si="7"/>
        <v>0.99930819785541336</v>
      </c>
      <c r="AS23" s="1759">
        <f t="shared" si="8"/>
        <v>123124</v>
      </c>
      <c r="AT23" s="1759">
        <f t="shared" si="8"/>
        <v>136711</v>
      </c>
      <c r="AU23" s="1759">
        <f t="shared" si="8"/>
        <v>121582</v>
      </c>
      <c r="AV23" s="1760">
        <f t="shared" si="9"/>
        <v>0.88933589835492388</v>
      </c>
      <c r="AW23" s="1761"/>
      <c r="AX23" s="1761"/>
      <c r="AY23" s="1761"/>
      <c r="AZ23" s="1761"/>
      <c r="BA23" s="1761"/>
      <c r="BB23" s="1761"/>
      <c r="BC23" s="1761"/>
      <c r="BD23" s="1761"/>
      <c r="BE23" s="1761"/>
      <c r="BF23" s="1761"/>
      <c r="BG23" s="1761"/>
      <c r="BH23" s="1761"/>
      <c r="BI23" s="1761"/>
    </row>
    <row r="24" spans="1:61" s="1762" customFormat="1" ht="60" customHeight="1" x14ac:dyDescent="0.75">
      <c r="A24" s="1756" t="s">
        <v>1238</v>
      </c>
      <c r="B24" s="1757">
        <f>'[4]int.kiadások RM I'!B24</f>
        <v>156271</v>
      </c>
      <c r="C24" s="1757">
        <f>'[4]int.kiadások RM III'!D24</f>
        <v>161835</v>
      </c>
      <c r="D24" s="1757">
        <v>158538</v>
      </c>
      <c r="E24" s="1758">
        <f t="shared" si="0"/>
        <v>0.97962739827602185</v>
      </c>
      <c r="F24" s="1757">
        <f>'[4]int.kiadások RM I'!E24</f>
        <v>23503</v>
      </c>
      <c r="G24" s="1757">
        <f>'[4]int.kiadások RM III'!G24</f>
        <v>24230</v>
      </c>
      <c r="H24" s="1757">
        <v>22443</v>
      </c>
      <c r="I24" s="1758">
        <f t="shared" si="1"/>
        <v>0.92624845233182007</v>
      </c>
      <c r="J24" s="1757">
        <f>'[4]int.kiadások RM I'!H24</f>
        <v>3152</v>
      </c>
      <c r="K24" s="1757">
        <f>'[4]int.kiadások RM III'!J24</f>
        <v>5068</v>
      </c>
      <c r="L24" s="1757">
        <v>4667</v>
      </c>
      <c r="M24" s="1758">
        <f t="shared" si="2"/>
        <v>0.92087608524072617</v>
      </c>
      <c r="N24" s="1756" t="s">
        <v>1238</v>
      </c>
      <c r="O24" s="1757">
        <f>'[4]int.kiadások RM I'!L24</f>
        <v>0</v>
      </c>
      <c r="P24" s="1757">
        <f>'[4]int.kiadások RM III'!N24</f>
        <v>0</v>
      </c>
      <c r="Q24" s="1757"/>
      <c r="R24" s="1758"/>
      <c r="S24" s="1757">
        <f>'[4]int.kiadások RM I'!O24</f>
        <v>0</v>
      </c>
      <c r="T24" s="1757">
        <f>'[4]int.kiadások RM III'!Q24</f>
        <v>0</v>
      </c>
      <c r="U24" s="1757"/>
      <c r="V24" s="1758"/>
      <c r="W24" s="1759">
        <f t="shared" si="3"/>
        <v>182926</v>
      </c>
      <c r="X24" s="1759">
        <f t="shared" si="3"/>
        <v>191133</v>
      </c>
      <c r="Y24" s="1759">
        <f t="shared" si="3"/>
        <v>185648</v>
      </c>
      <c r="Z24" s="1760">
        <f t="shared" si="4"/>
        <v>0.97130270544594599</v>
      </c>
      <c r="AA24" s="1756" t="s">
        <v>1238</v>
      </c>
      <c r="AB24" s="1757">
        <f>'[4]int.kiadások RM I'!V24</f>
        <v>0</v>
      </c>
      <c r="AC24" s="1757">
        <f>'[4]int.kiadások RM III'!X24</f>
        <v>3234</v>
      </c>
      <c r="AD24" s="1757">
        <v>3233</v>
      </c>
      <c r="AE24" s="1758">
        <f t="shared" si="5"/>
        <v>0.99969078540507117</v>
      </c>
      <c r="AF24" s="1757">
        <f>'[4]int.kiadások RM I'!Y24</f>
        <v>0</v>
      </c>
      <c r="AG24" s="1757">
        <f>'[4]int.kiadások RM III'!AA24</f>
        <v>0</v>
      </c>
      <c r="AH24" s="1757"/>
      <c r="AI24" s="1758"/>
      <c r="AJ24" s="1757">
        <f>'[4]int.kiadások RM I'!AB24</f>
        <v>0</v>
      </c>
      <c r="AK24" s="1757">
        <f>'[4]int.kiadások RM III'!AD24</f>
        <v>0</v>
      </c>
      <c r="AL24" s="1757"/>
      <c r="AM24" s="1758"/>
      <c r="AN24" s="1756" t="s">
        <v>1238</v>
      </c>
      <c r="AO24" s="1759">
        <f t="shared" si="6"/>
        <v>0</v>
      </c>
      <c r="AP24" s="1759">
        <f t="shared" si="6"/>
        <v>3234</v>
      </c>
      <c r="AQ24" s="1759">
        <f t="shared" si="6"/>
        <v>3233</v>
      </c>
      <c r="AR24" s="1760">
        <f t="shared" si="7"/>
        <v>0.99969078540507117</v>
      </c>
      <c r="AS24" s="1759">
        <f t="shared" si="8"/>
        <v>182926</v>
      </c>
      <c r="AT24" s="1759">
        <f t="shared" si="8"/>
        <v>194367</v>
      </c>
      <c r="AU24" s="1759">
        <f t="shared" si="8"/>
        <v>188881</v>
      </c>
      <c r="AV24" s="1760">
        <f t="shared" si="9"/>
        <v>0.97177504411757143</v>
      </c>
      <c r="AW24" s="1761"/>
      <c r="AX24" s="1761"/>
      <c r="AY24" s="1761"/>
      <c r="AZ24" s="1761"/>
      <c r="BA24" s="1761"/>
      <c r="BB24" s="1761"/>
      <c r="BC24" s="1761"/>
      <c r="BD24" s="1761"/>
      <c r="BE24" s="1761"/>
      <c r="BF24" s="1761"/>
      <c r="BG24" s="1761"/>
      <c r="BH24" s="1761"/>
      <c r="BI24" s="1761"/>
    </row>
    <row r="25" spans="1:61" s="1762" customFormat="1" ht="60" customHeight="1" x14ac:dyDescent="0.75">
      <c r="A25" s="1756" t="s">
        <v>1264</v>
      </c>
      <c r="B25" s="1757">
        <f>'[4]int.kiadások RM I'!B25</f>
        <v>129995</v>
      </c>
      <c r="C25" s="1757">
        <f>'[4]int.kiadások RM III'!D25</f>
        <v>133447</v>
      </c>
      <c r="D25" s="1757">
        <v>116621</v>
      </c>
      <c r="E25" s="1758">
        <f t="shared" si="0"/>
        <v>0.87391248960261381</v>
      </c>
      <c r="F25" s="1757">
        <f>'[4]int.kiadások RM I'!E25</f>
        <v>17073</v>
      </c>
      <c r="G25" s="1757">
        <f>'[4]int.kiadások RM III'!G25</f>
        <v>17641</v>
      </c>
      <c r="H25" s="1757">
        <v>11486</v>
      </c>
      <c r="I25" s="1758">
        <f t="shared" si="1"/>
        <v>0.65109687659429738</v>
      </c>
      <c r="J25" s="1757">
        <f>'[4]int.kiadások RM I'!H25</f>
        <v>2403</v>
      </c>
      <c r="K25" s="1757">
        <f>'[4]int.kiadások RM III'!J25</f>
        <v>5386</v>
      </c>
      <c r="L25" s="1757">
        <v>5265</v>
      </c>
      <c r="M25" s="1758">
        <f t="shared" si="2"/>
        <v>0.97753434831043451</v>
      </c>
      <c r="N25" s="1756" t="s">
        <v>1264</v>
      </c>
      <c r="O25" s="1757">
        <f>'[4]int.kiadások RM I'!L25</f>
        <v>0</v>
      </c>
      <c r="P25" s="1757">
        <f>'[4]int.kiadások RM III'!N25</f>
        <v>0</v>
      </c>
      <c r="Q25" s="1757"/>
      <c r="R25" s="1758"/>
      <c r="S25" s="1757">
        <f>'[4]int.kiadások RM I'!O25</f>
        <v>0</v>
      </c>
      <c r="T25" s="1757">
        <f>'[4]int.kiadások RM III'!Q25</f>
        <v>0</v>
      </c>
      <c r="U25" s="1757"/>
      <c r="V25" s="1758"/>
      <c r="W25" s="1759">
        <f t="shared" si="3"/>
        <v>149471</v>
      </c>
      <c r="X25" s="1759">
        <f t="shared" si="3"/>
        <v>156474</v>
      </c>
      <c r="Y25" s="1759">
        <f t="shared" si="3"/>
        <v>133372</v>
      </c>
      <c r="Z25" s="1760">
        <f t="shared" si="4"/>
        <v>0.85235885834068281</v>
      </c>
      <c r="AA25" s="1756" t="s">
        <v>1264</v>
      </c>
      <c r="AB25" s="1757">
        <f>'[4]int.kiadások RM I'!V25</f>
        <v>0</v>
      </c>
      <c r="AC25" s="1757">
        <f>'[4]int.kiadások RM III'!X25</f>
        <v>3345</v>
      </c>
      <c r="AD25" s="1757">
        <v>3344</v>
      </c>
      <c r="AE25" s="1758">
        <f t="shared" si="5"/>
        <v>0.99970104633781764</v>
      </c>
      <c r="AF25" s="1757">
        <f>'[4]int.kiadások RM I'!Y25</f>
        <v>0</v>
      </c>
      <c r="AG25" s="1757">
        <f>'[4]int.kiadások RM III'!AA25</f>
        <v>0</v>
      </c>
      <c r="AH25" s="1757"/>
      <c r="AI25" s="1758"/>
      <c r="AJ25" s="1757">
        <f>'[4]int.kiadások RM I'!AB25</f>
        <v>0</v>
      </c>
      <c r="AK25" s="1757">
        <f>'[4]int.kiadások RM III'!AD25</f>
        <v>0</v>
      </c>
      <c r="AL25" s="1757"/>
      <c r="AM25" s="1758"/>
      <c r="AN25" s="1756" t="s">
        <v>1264</v>
      </c>
      <c r="AO25" s="1759">
        <f t="shared" si="6"/>
        <v>0</v>
      </c>
      <c r="AP25" s="1759">
        <f t="shared" si="6"/>
        <v>3345</v>
      </c>
      <c r="AQ25" s="1759">
        <f t="shared" si="6"/>
        <v>3344</v>
      </c>
      <c r="AR25" s="1760">
        <f t="shared" si="7"/>
        <v>0.99970104633781764</v>
      </c>
      <c r="AS25" s="1759">
        <f t="shared" si="8"/>
        <v>149471</v>
      </c>
      <c r="AT25" s="1759">
        <f t="shared" si="8"/>
        <v>159819</v>
      </c>
      <c r="AU25" s="1759">
        <f t="shared" si="8"/>
        <v>136716</v>
      </c>
      <c r="AV25" s="1760">
        <f t="shared" si="9"/>
        <v>0.85544271957652096</v>
      </c>
      <c r="AW25" s="1761"/>
      <c r="AX25" s="1761"/>
      <c r="AY25" s="1761"/>
      <c r="AZ25" s="1761"/>
      <c r="BA25" s="1761"/>
      <c r="BB25" s="1761"/>
      <c r="BC25" s="1761"/>
      <c r="BD25" s="1761"/>
      <c r="BE25" s="1761"/>
      <c r="BF25" s="1761"/>
      <c r="BG25" s="1761"/>
      <c r="BH25" s="1761"/>
      <c r="BI25" s="1761"/>
    </row>
    <row r="26" spans="1:61" s="1762" customFormat="1" ht="60" customHeight="1" x14ac:dyDescent="0.75">
      <c r="A26" s="1756" t="s">
        <v>1240</v>
      </c>
      <c r="B26" s="1757">
        <f>'[4]int.kiadások RM I'!B26</f>
        <v>85056</v>
      </c>
      <c r="C26" s="1757">
        <f>'[4]int.kiadások RM III'!D26</f>
        <v>87855</v>
      </c>
      <c r="D26" s="1757">
        <v>85455</v>
      </c>
      <c r="E26" s="1758">
        <f t="shared" si="0"/>
        <v>0.97268226054294005</v>
      </c>
      <c r="F26" s="1757">
        <f>'[4]int.kiadások RM I'!E26</f>
        <v>11014</v>
      </c>
      <c r="G26" s="1757">
        <f>'[4]int.kiadások RM III'!G26</f>
        <v>11449</v>
      </c>
      <c r="H26" s="1757">
        <v>10699</v>
      </c>
      <c r="I26" s="1758">
        <f t="shared" si="1"/>
        <v>0.93449209537950917</v>
      </c>
      <c r="J26" s="1757">
        <f>'[4]int.kiadások RM I'!H26</f>
        <v>2518</v>
      </c>
      <c r="K26" s="1757">
        <f>'[4]int.kiadások RM III'!J26</f>
        <v>4365</v>
      </c>
      <c r="L26" s="1757">
        <v>2817</v>
      </c>
      <c r="M26" s="1758">
        <f t="shared" si="2"/>
        <v>0.64536082474226808</v>
      </c>
      <c r="N26" s="1756" t="s">
        <v>1240</v>
      </c>
      <c r="O26" s="1757">
        <f>'[4]int.kiadások RM I'!L26</f>
        <v>0</v>
      </c>
      <c r="P26" s="1757">
        <f>'[4]int.kiadások RM III'!N26</f>
        <v>0</v>
      </c>
      <c r="Q26" s="1757"/>
      <c r="R26" s="1758"/>
      <c r="S26" s="1757">
        <f>'[4]int.kiadások RM I'!O26</f>
        <v>0</v>
      </c>
      <c r="T26" s="1757">
        <f>'[4]int.kiadások RM III'!Q26</f>
        <v>0</v>
      </c>
      <c r="U26" s="1757"/>
      <c r="V26" s="1758"/>
      <c r="W26" s="1759">
        <f t="shared" si="3"/>
        <v>98588</v>
      </c>
      <c r="X26" s="1759">
        <f t="shared" si="3"/>
        <v>103669</v>
      </c>
      <c r="Y26" s="1759">
        <f t="shared" si="3"/>
        <v>98971</v>
      </c>
      <c r="Z26" s="1760">
        <f t="shared" si="4"/>
        <v>0.95468269202943989</v>
      </c>
      <c r="AA26" s="1756" t="s">
        <v>1240</v>
      </c>
      <c r="AB26" s="1757">
        <f>'[4]int.kiadások RM I'!V26</f>
        <v>0</v>
      </c>
      <c r="AC26" s="1757">
        <f>'[4]int.kiadások RM III'!X26</f>
        <v>2780</v>
      </c>
      <c r="AD26" s="1757">
        <v>297</v>
      </c>
      <c r="AE26" s="1758">
        <f t="shared" si="5"/>
        <v>0.10683453237410072</v>
      </c>
      <c r="AF26" s="1757">
        <f>'[4]int.kiadások RM I'!Y26</f>
        <v>0</v>
      </c>
      <c r="AG26" s="1757">
        <f>'[4]int.kiadások RM III'!AA26</f>
        <v>0</v>
      </c>
      <c r="AH26" s="1757"/>
      <c r="AI26" s="1758"/>
      <c r="AJ26" s="1757">
        <f>'[4]int.kiadások RM I'!AB26</f>
        <v>0</v>
      </c>
      <c r="AK26" s="1757">
        <f>'[4]int.kiadások RM III'!AD26</f>
        <v>0</v>
      </c>
      <c r="AL26" s="1757"/>
      <c r="AM26" s="1758"/>
      <c r="AN26" s="1756" t="s">
        <v>1240</v>
      </c>
      <c r="AO26" s="1759">
        <f t="shared" si="6"/>
        <v>0</v>
      </c>
      <c r="AP26" s="1759">
        <f t="shared" si="6"/>
        <v>2780</v>
      </c>
      <c r="AQ26" s="1759">
        <f t="shared" si="6"/>
        <v>297</v>
      </c>
      <c r="AR26" s="1760">
        <f t="shared" si="7"/>
        <v>0.10683453237410072</v>
      </c>
      <c r="AS26" s="1759">
        <f t="shared" si="8"/>
        <v>98588</v>
      </c>
      <c r="AT26" s="1759">
        <f t="shared" si="8"/>
        <v>106449</v>
      </c>
      <c r="AU26" s="1759">
        <f t="shared" si="8"/>
        <v>99268</v>
      </c>
      <c r="AV26" s="1760">
        <f t="shared" si="9"/>
        <v>0.93254046538718072</v>
      </c>
      <c r="AW26" s="1761"/>
      <c r="AX26" s="1761"/>
      <c r="AY26" s="1761"/>
      <c r="AZ26" s="1761"/>
      <c r="BA26" s="1761"/>
      <c r="BB26" s="1761"/>
      <c r="BC26" s="1761"/>
      <c r="BD26" s="1761"/>
      <c r="BE26" s="1761"/>
      <c r="BF26" s="1761"/>
      <c r="BG26" s="1761"/>
      <c r="BH26" s="1761"/>
      <c r="BI26" s="1761"/>
    </row>
    <row r="27" spans="1:61" s="1762" customFormat="1" ht="60" customHeight="1" thickBot="1" x14ac:dyDescent="0.8">
      <c r="A27" s="1764" t="s">
        <v>1241</v>
      </c>
      <c r="B27" s="1765">
        <f>'[4]int.kiadások RM I'!B27</f>
        <v>65116</v>
      </c>
      <c r="C27" s="1757">
        <f>'[4]int.kiadások RM III'!D27</f>
        <v>66802</v>
      </c>
      <c r="D27" s="1765">
        <v>65675</v>
      </c>
      <c r="E27" s="1766">
        <f t="shared" si="0"/>
        <v>0.98312924762731657</v>
      </c>
      <c r="F27" s="1765">
        <f>'[4]int.kiadások RM I'!E27</f>
        <v>8472</v>
      </c>
      <c r="G27" s="1757">
        <f>'[4]int.kiadások RM III'!G27</f>
        <v>8736</v>
      </c>
      <c r="H27" s="1757">
        <v>8091</v>
      </c>
      <c r="I27" s="1766">
        <f t="shared" si="1"/>
        <v>0.92616758241758246</v>
      </c>
      <c r="J27" s="1765">
        <f>'[4]int.kiadások RM I'!H27</f>
        <v>2564</v>
      </c>
      <c r="K27" s="1757">
        <f>'[4]int.kiadások RM III'!J27</f>
        <v>5622</v>
      </c>
      <c r="L27" s="1765">
        <v>3702</v>
      </c>
      <c r="M27" s="1766">
        <f t="shared" si="2"/>
        <v>0.65848452508004274</v>
      </c>
      <c r="N27" s="1764" t="s">
        <v>1241</v>
      </c>
      <c r="O27" s="1765">
        <f>'[4]int.kiadások RM I'!L27</f>
        <v>0</v>
      </c>
      <c r="P27" s="1757">
        <f>'[4]int.kiadások RM III'!N27</f>
        <v>0</v>
      </c>
      <c r="Q27" s="1765"/>
      <c r="R27" s="1766"/>
      <c r="S27" s="1765">
        <f>'[4]int.kiadások RM I'!O27</f>
        <v>0</v>
      </c>
      <c r="T27" s="1765">
        <f>'[4]int.kiadások RM III'!Q27</f>
        <v>0</v>
      </c>
      <c r="U27" s="1765"/>
      <c r="V27" s="1766"/>
      <c r="W27" s="1759">
        <f t="shared" si="3"/>
        <v>76152</v>
      </c>
      <c r="X27" s="1759">
        <f t="shared" si="3"/>
        <v>81160</v>
      </c>
      <c r="Y27" s="1759">
        <f t="shared" si="3"/>
        <v>77468</v>
      </c>
      <c r="Z27" s="1767">
        <f t="shared" si="4"/>
        <v>0.95450961064563822</v>
      </c>
      <c r="AA27" s="1764" t="s">
        <v>1241</v>
      </c>
      <c r="AB27" s="1765">
        <f>'[4]int.kiadások RM I'!V27</f>
        <v>0</v>
      </c>
      <c r="AC27" s="1757">
        <f>'[4]int.kiadások RM III'!X27</f>
        <v>524</v>
      </c>
      <c r="AD27" s="1765">
        <v>524</v>
      </c>
      <c r="AE27" s="1766">
        <f t="shared" si="5"/>
        <v>1</v>
      </c>
      <c r="AF27" s="1765">
        <f>'[4]int.kiadások RM I'!Y27</f>
        <v>0</v>
      </c>
      <c r="AG27" s="1757">
        <f>'[4]int.kiadások RM III'!AA27</f>
        <v>0</v>
      </c>
      <c r="AH27" s="1765"/>
      <c r="AI27" s="1766"/>
      <c r="AJ27" s="1765">
        <f>'[4]int.kiadások RM I'!AB27</f>
        <v>0</v>
      </c>
      <c r="AK27" s="1765">
        <f>'[4]int.kiadások RM III'!AD27</f>
        <v>0</v>
      </c>
      <c r="AL27" s="1765"/>
      <c r="AM27" s="1766"/>
      <c r="AN27" s="1764" t="s">
        <v>1241</v>
      </c>
      <c r="AO27" s="1759">
        <f t="shared" si="6"/>
        <v>0</v>
      </c>
      <c r="AP27" s="1759">
        <f t="shared" si="6"/>
        <v>524</v>
      </c>
      <c r="AQ27" s="1759">
        <f t="shared" si="6"/>
        <v>524</v>
      </c>
      <c r="AR27" s="1767">
        <f t="shared" si="7"/>
        <v>1</v>
      </c>
      <c r="AS27" s="1759">
        <f t="shared" si="8"/>
        <v>76152</v>
      </c>
      <c r="AT27" s="1759">
        <f t="shared" si="8"/>
        <v>81684</v>
      </c>
      <c r="AU27" s="1759">
        <f t="shared" si="8"/>
        <v>77992</v>
      </c>
      <c r="AV27" s="1767">
        <f t="shared" si="9"/>
        <v>0.95480142990059258</v>
      </c>
      <c r="AW27" s="1761"/>
      <c r="AX27" s="1761"/>
      <c r="AY27" s="1761"/>
      <c r="AZ27" s="1761"/>
      <c r="BA27" s="1761"/>
      <c r="BB27" s="1761"/>
      <c r="BC27" s="1761"/>
      <c r="BD27" s="1761"/>
      <c r="BE27" s="1761"/>
      <c r="BF27" s="1761"/>
      <c r="BG27" s="1761"/>
      <c r="BH27" s="1761"/>
      <c r="BI27" s="1761"/>
    </row>
    <row r="28" spans="1:61" s="1762" customFormat="1" ht="60" customHeight="1" thickBot="1" x14ac:dyDescent="0.8">
      <c r="A28" s="1769" t="s">
        <v>1242</v>
      </c>
      <c r="B28" s="1770">
        <f>SUM(B10:B27)</f>
        <v>2075696</v>
      </c>
      <c r="C28" s="1770">
        <f>SUM(C10:C27)</f>
        <v>2148932</v>
      </c>
      <c r="D28" s="1770">
        <f>SUM(D10:D27)</f>
        <v>2053752</v>
      </c>
      <c r="E28" s="1771">
        <f t="shared" si="0"/>
        <v>0.95570823087933909</v>
      </c>
      <c r="F28" s="1770">
        <f>SUM(F10:F27)</f>
        <v>288759</v>
      </c>
      <c r="G28" s="1770">
        <f>SUM(G10:G27)</f>
        <v>299278</v>
      </c>
      <c r="H28" s="1770">
        <f>SUM(H10:H27)</f>
        <v>265584</v>
      </c>
      <c r="I28" s="1771">
        <f t="shared" si="1"/>
        <v>0.88741571381792184</v>
      </c>
      <c r="J28" s="1770">
        <f>SUM(J10:J27)</f>
        <v>49220</v>
      </c>
      <c r="K28" s="1770">
        <f>SUM(K10:K27)</f>
        <v>94592</v>
      </c>
      <c r="L28" s="1770">
        <f>SUM(L10:L27)</f>
        <v>80753</v>
      </c>
      <c r="M28" s="1771">
        <f t="shared" si="2"/>
        <v>0.85369798714479028</v>
      </c>
      <c r="N28" s="1769" t="s">
        <v>1242</v>
      </c>
      <c r="O28" s="1770">
        <f>SUM(O10:O27)</f>
        <v>0</v>
      </c>
      <c r="P28" s="1770">
        <f>SUM(P10:P27)</f>
        <v>0</v>
      </c>
      <c r="Q28" s="1770">
        <f>SUM(Q10:Q27)</f>
        <v>0</v>
      </c>
      <c r="R28" s="1771"/>
      <c r="S28" s="1770">
        <f>SUM(S10:S27)</f>
        <v>0</v>
      </c>
      <c r="T28" s="1770">
        <f>SUM(T10:T27)</f>
        <v>0</v>
      </c>
      <c r="U28" s="1770">
        <f>SUM(U10:U27)</f>
        <v>0</v>
      </c>
      <c r="V28" s="1771"/>
      <c r="W28" s="1770">
        <f>SUM(W10:W27)</f>
        <v>2413675</v>
      </c>
      <c r="X28" s="1770">
        <f>SUM(X10:X27)</f>
        <v>2542802</v>
      </c>
      <c r="Y28" s="1770">
        <f>SUM(Y10:Y27)</f>
        <v>2400089</v>
      </c>
      <c r="Z28" s="1771">
        <f t="shared" si="4"/>
        <v>0.94387569303469165</v>
      </c>
      <c r="AA28" s="1769" t="s">
        <v>1242</v>
      </c>
      <c r="AB28" s="1770">
        <f>SUM(AB10:AB27)</f>
        <v>0</v>
      </c>
      <c r="AC28" s="1770">
        <f>SUM(AC10:AC27)</f>
        <v>55122</v>
      </c>
      <c r="AD28" s="1770">
        <f>SUM(AD10:AD27)</f>
        <v>46003</v>
      </c>
      <c r="AE28" s="1771">
        <f t="shared" si="5"/>
        <v>0.83456696056021185</v>
      </c>
      <c r="AF28" s="1770">
        <f>SUM(AF10:AF27)</f>
        <v>0</v>
      </c>
      <c r="AG28" s="1770">
        <f>SUM(AG10:AG27)</f>
        <v>10350</v>
      </c>
      <c r="AH28" s="1770">
        <f>SUM(AH10:AH27)</f>
        <v>10348</v>
      </c>
      <c r="AI28" s="1771">
        <f>AH28/AG28</f>
        <v>0.99980676328502416</v>
      </c>
      <c r="AJ28" s="1770">
        <f>SUM(AJ10:AJ27)</f>
        <v>0</v>
      </c>
      <c r="AK28" s="1770">
        <f>SUM(AK10:AK27)</f>
        <v>0</v>
      </c>
      <c r="AL28" s="1770">
        <f>SUM(AL10:AL27)</f>
        <v>0</v>
      </c>
      <c r="AM28" s="1771"/>
      <c r="AN28" s="1769" t="s">
        <v>1242</v>
      </c>
      <c r="AO28" s="1770">
        <f>SUM(AO10:AO27)</f>
        <v>0</v>
      </c>
      <c r="AP28" s="1770">
        <f>SUM(AP10:AP27)</f>
        <v>65472</v>
      </c>
      <c r="AQ28" s="1770">
        <f>SUM(AQ10:AQ27)</f>
        <v>56351</v>
      </c>
      <c r="AR28" s="1771">
        <f t="shared" si="7"/>
        <v>0.86068853861192574</v>
      </c>
      <c r="AS28" s="1770">
        <f>SUM(AS10:AS27)</f>
        <v>2413675</v>
      </c>
      <c r="AT28" s="1770">
        <f>SUM(AT10:AT27)</f>
        <v>2608274</v>
      </c>
      <c r="AU28" s="1770">
        <f>SUM(AU10:AU27)</f>
        <v>2456440</v>
      </c>
      <c r="AV28" s="1771">
        <f t="shared" si="9"/>
        <v>0.94178755759555932</v>
      </c>
      <c r="AW28" s="1761"/>
      <c r="AX28" s="1761"/>
      <c r="AY28" s="1761"/>
      <c r="AZ28" s="1761"/>
      <c r="BA28" s="1761"/>
      <c r="BB28" s="1761"/>
      <c r="BC28" s="1761"/>
      <c r="BD28" s="1761"/>
      <c r="BE28" s="1761"/>
      <c r="BF28" s="1761"/>
      <c r="BG28" s="1761"/>
      <c r="BH28" s="1761"/>
      <c r="BI28" s="1761"/>
    </row>
    <row r="29" spans="1:61" s="1762" customFormat="1" ht="60" customHeight="1" thickBot="1" x14ac:dyDescent="0.8">
      <c r="A29" s="1772" t="s">
        <v>122</v>
      </c>
      <c r="B29" s="1773">
        <f>'[4]int.kiadások RM I'!B29</f>
        <v>271258</v>
      </c>
      <c r="C29" s="1757">
        <f>'[4]int.kiadások RM III'!D29</f>
        <v>276529</v>
      </c>
      <c r="D29" s="1773">
        <v>248912</v>
      </c>
      <c r="E29" s="1774">
        <f t="shared" si="0"/>
        <v>0.90012982363513416</v>
      </c>
      <c r="F29" s="1773">
        <f>'[4]int.kiadások RM I'!E29</f>
        <v>40235</v>
      </c>
      <c r="G29" s="1757">
        <f>'[4]int.kiadások RM III'!G29</f>
        <v>40669</v>
      </c>
      <c r="H29" s="1773">
        <v>32487</v>
      </c>
      <c r="I29" s="1774">
        <f t="shared" si="1"/>
        <v>0.79881482210037125</v>
      </c>
      <c r="J29" s="1773">
        <f>'[4]int.kiadások RM I'!H29</f>
        <v>1925509</v>
      </c>
      <c r="K29" s="1757">
        <f>'[4]int.kiadások RM III'!J29</f>
        <v>2144232</v>
      </c>
      <c r="L29" s="1773">
        <v>1933036</v>
      </c>
      <c r="M29" s="1774">
        <f t="shared" si="2"/>
        <v>0.90150506101951655</v>
      </c>
      <c r="N29" s="1772" t="s">
        <v>122</v>
      </c>
      <c r="O29" s="1773">
        <f>'[4]int.kiadások RM I'!L29</f>
        <v>0</v>
      </c>
      <c r="P29" s="1757">
        <f>'[4]int.kiadások RM III'!N29</f>
        <v>0</v>
      </c>
      <c r="Q29" s="1773"/>
      <c r="R29" s="1774"/>
      <c r="S29" s="1773">
        <f>'[4]int.kiadások RM I'!O29</f>
        <v>0</v>
      </c>
      <c r="T29" s="1773">
        <f>'[4]int.kiadások RM III'!Q29</f>
        <v>0</v>
      </c>
      <c r="U29" s="1773"/>
      <c r="V29" s="1774"/>
      <c r="W29" s="1759">
        <f>B29+F29+J29+O29+S29</f>
        <v>2237002</v>
      </c>
      <c r="X29" s="1759">
        <f>C29+G29+K29+P29+T29</f>
        <v>2461430</v>
      </c>
      <c r="Y29" s="1759">
        <f>D29+H29+L29+Q29+U29</f>
        <v>2214435</v>
      </c>
      <c r="Z29" s="1771">
        <f t="shared" si="4"/>
        <v>0.89965385974819512</v>
      </c>
      <c r="AA29" s="1772" t="s">
        <v>122</v>
      </c>
      <c r="AB29" s="1773">
        <f>'[4]int.kiadások RM I'!V29</f>
        <v>0</v>
      </c>
      <c r="AC29" s="1757">
        <f>'[4]int.kiadások RM III'!X29</f>
        <v>99592</v>
      </c>
      <c r="AD29" s="1773">
        <v>14719</v>
      </c>
      <c r="AE29" s="1774">
        <f t="shared" si="5"/>
        <v>0.14779299542131899</v>
      </c>
      <c r="AF29" s="1773">
        <f>'[4]int.kiadások RM I'!Y29</f>
        <v>0</v>
      </c>
      <c r="AG29" s="1757">
        <f>'[4]int.kiadások RM III'!AA29</f>
        <v>23925</v>
      </c>
      <c r="AH29" s="1773">
        <v>22501</v>
      </c>
      <c r="AI29" s="1774">
        <f>AH29/AG29</f>
        <v>0.9404806687565308</v>
      </c>
      <c r="AJ29" s="1773">
        <f>'[4]int.kiadások RM I'!AB29</f>
        <v>0</v>
      </c>
      <c r="AK29" s="1773">
        <f>'[4]int.kiadások RM III'!AD29</f>
        <v>0</v>
      </c>
      <c r="AL29" s="1773"/>
      <c r="AM29" s="1774"/>
      <c r="AN29" s="1772" t="s">
        <v>122</v>
      </c>
      <c r="AO29" s="1759">
        <f>AB29+AF29+AJ29</f>
        <v>0</v>
      </c>
      <c r="AP29" s="1759">
        <f>AC29+AG29+AK29</f>
        <v>123517</v>
      </c>
      <c r="AQ29" s="1759">
        <f>AD29+AH29+AL29</f>
        <v>37220</v>
      </c>
      <c r="AR29" s="1771">
        <f t="shared" si="7"/>
        <v>0.30133503890152774</v>
      </c>
      <c r="AS29" s="1759">
        <f>W29+AO29</f>
        <v>2237002</v>
      </c>
      <c r="AT29" s="1759">
        <f>X29+AP29</f>
        <v>2584947</v>
      </c>
      <c r="AU29" s="1759">
        <f>Y29+AQ29</f>
        <v>2251655</v>
      </c>
      <c r="AV29" s="1771">
        <f t="shared" si="9"/>
        <v>0.87106428100846944</v>
      </c>
      <c r="AW29" s="1761"/>
      <c r="AX29" s="1761"/>
      <c r="AY29" s="1761"/>
      <c r="AZ29" s="1761"/>
      <c r="BA29" s="1761"/>
      <c r="BB29" s="1761"/>
      <c r="BC29" s="1761"/>
      <c r="BD29" s="1761"/>
      <c r="BE29" s="1761"/>
      <c r="BF29" s="1761"/>
      <c r="BG29" s="1761"/>
      <c r="BH29" s="1761"/>
      <c r="BI29" s="1761"/>
    </row>
    <row r="30" spans="1:61" s="1762" customFormat="1" ht="60" customHeight="1" thickBot="1" x14ac:dyDescent="0.8">
      <c r="A30" s="1769" t="s">
        <v>1243</v>
      </c>
      <c r="B30" s="1770">
        <f>SUM(B28:B29)</f>
        <v>2346954</v>
      </c>
      <c r="C30" s="1770">
        <f>SUM(C28:C29)</f>
        <v>2425461</v>
      </c>
      <c r="D30" s="1770">
        <f>SUM(D28:D29)</f>
        <v>2302664</v>
      </c>
      <c r="E30" s="1775">
        <f t="shared" si="0"/>
        <v>0.94937168645465753</v>
      </c>
      <c r="F30" s="1770">
        <f>SUM(F28:F29)</f>
        <v>328994</v>
      </c>
      <c r="G30" s="1770">
        <f>SUM(G28:G29)</f>
        <v>339947</v>
      </c>
      <c r="H30" s="1770">
        <f>SUM(H28:H29)</f>
        <v>298071</v>
      </c>
      <c r="I30" s="1775">
        <f t="shared" si="1"/>
        <v>0.87681609192021104</v>
      </c>
      <c r="J30" s="1770">
        <f>SUM(J28:J29)</f>
        <v>1974729</v>
      </c>
      <c r="K30" s="1770">
        <f>SUM(K28:K29)</f>
        <v>2238824</v>
      </c>
      <c r="L30" s="1770">
        <f>SUM(L28:L29)</f>
        <v>2013789</v>
      </c>
      <c r="M30" s="1775">
        <f t="shared" si="2"/>
        <v>0.89948517614604806</v>
      </c>
      <c r="N30" s="1769" t="s">
        <v>1243</v>
      </c>
      <c r="O30" s="1770">
        <f>SUM(O28:O29)</f>
        <v>0</v>
      </c>
      <c r="P30" s="1770">
        <f>SUM(P28:P29)</f>
        <v>0</v>
      </c>
      <c r="Q30" s="1770">
        <f>SUM(Q28:Q29)</f>
        <v>0</v>
      </c>
      <c r="R30" s="1775"/>
      <c r="S30" s="1770">
        <f>SUM(S28:S29)</f>
        <v>0</v>
      </c>
      <c r="T30" s="1770">
        <f>SUM(T28:T29)</f>
        <v>0</v>
      </c>
      <c r="U30" s="1770">
        <f>SUM(U28:U29)</f>
        <v>0</v>
      </c>
      <c r="V30" s="1775"/>
      <c r="W30" s="1770">
        <f>SUM(W28:W29)</f>
        <v>4650677</v>
      </c>
      <c r="X30" s="1770">
        <f>SUM(X28:X29)</f>
        <v>5004232</v>
      </c>
      <c r="Y30" s="1770">
        <f>SUM(Y28:Y29)</f>
        <v>4614524</v>
      </c>
      <c r="Z30" s="1775">
        <f t="shared" si="4"/>
        <v>0.92212431398064676</v>
      </c>
      <c r="AA30" s="1769" t="s">
        <v>1243</v>
      </c>
      <c r="AB30" s="1770">
        <f>SUM(AB28:AB29)</f>
        <v>0</v>
      </c>
      <c r="AC30" s="1770">
        <f>SUM(AC28:AC29)</f>
        <v>154714</v>
      </c>
      <c r="AD30" s="1770">
        <f>SUM(AD28:AD29)</f>
        <v>60722</v>
      </c>
      <c r="AE30" s="1775">
        <f t="shared" si="5"/>
        <v>0.39247902581537547</v>
      </c>
      <c r="AF30" s="1770">
        <f>SUM(AF28:AF29)</f>
        <v>0</v>
      </c>
      <c r="AG30" s="1770">
        <f>SUM(AG28:AG29)</f>
        <v>34275</v>
      </c>
      <c r="AH30" s="1770">
        <f>SUM(AH28:AH29)</f>
        <v>32849</v>
      </c>
      <c r="AI30" s="1775">
        <f>AH30/AG30</f>
        <v>0.95839533187454418</v>
      </c>
      <c r="AJ30" s="1770">
        <f>SUM(AJ28:AJ29)</f>
        <v>0</v>
      </c>
      <c r="AK30" s="1770">
        <f>SUM(AK28:AK29)</f>
        <v>0</v>
      </c>
      <c r="AL30" s="1770">
        <f>SUM(AL28:AL29)</f>
        <v>0</v>
      </c>
      <c r="AM30" s="1775"/>
      <c r="AN30" s="1769" t="s">
        <v>1243</v>
      </c>
      <c r="AO30" s="1770">
        <f>SUM(AO28:AO29)</f>
        <v>0</v>
      </c>
      <c r="AP30" s="1770">
        <f>SUM(AP28:AP29)</f>
        <v>188989</v>
      </c>
      <c r="AQ30" s="1770">
        <f>SUM(AQ28:AQ29)</f>
        <v>93571</v>
      </c>
      <c r="AR30" s="1775">
        <f t="shared" si="7"/>
        <v>0.49511347221266844</v>
      </c>
      <c r="AS30" s="1770">
        <f>SUM(AS28:AS29)</f>
        <v>4650677</v>
      </c>
      <c r="AT30" s="1770">
        <f>SUM(AT28:AT29)</f>
        <v>5193221</v>
      </c>
      <c r="AU30" s="1770">
        <f>SUM(AU28:AU29)</f>
        <v>4708095</v>
      </c>
      <c r="AV30" s="1775">
        <f t="shared" si="9"/>
        <v>0.90658475732113075</v>
      </c>
      <c r="AW30" s="1761"/>
      <c r="AX30" s="1761"/>
      <c r="AY30" s="1761"/>
      <c r="AZ30" s="1761"/>
      <c r="BA30" s="1761"/>
      <c r="BB30" s="1761"/>
      <c r="BC30" s="1761"/>
      <c r="BD30" s="1761"/>
      <c r="BE30" s="1761"/>
      <c r="BF30" s="1761"/>
      <c r="BG30" s="1761"/>
      <c r="BH30" s="1761"/>
      <c r="BI30" s="1761"/>
    </row>
    <row r="31" spans="1:61" s="1762" customFormat="1" ht="60" customHeight="1" x14ac:dyDescent="0.75">
      <c r="A31" s="1776" t="s">
        <v>1244</v>
      </c>
      <c r="B31" s="1777"/>
      <c r="C31" s="1777"/>
      <c r="D31" s="1777"/>
      <c r="E31" s="1777"/>
      <c r="F31" s="1777"/>
      <c r="G31" s="1777"/>
      <c r="H31" s="1777"/>
      <c r="I31" s="1777"/>
      <c r="J31" s="1777"/>
      <c r="K31" s="1777"/>
      <c r="L31" s="1777"/>
      <c r="M31" s="1777"/>
      <c r="N31" s="1776" t="s">
        <v>1244</v>
      </c>
      <c r="O31" s="1777"/>
      <c r="P31" s="1777"/>
      <c r="Q31" s="1777"/>
      <c r="R31" s="1777"/>
      <c r="S31" s="1777"/>
      <c r="T31" s="1777"/>
      <c r="U31" s="1777"/>
      <c r="V31" s="1777"/>
      <c r="W31" s="1777"/>
      <c r="X31" s="1777"/>
      <c r="Y31" s="1777"/>
      <c r="Z31" s="1777"/>
      <c r="AA31" s="1776" t="s">
        <v>1244</v>
      </c>
      <c r="AB31" s="1777"/>
      <c r="AC31" s="1777"/>
      <c r="AD31" s="1777"/>
      <c r="AE31" s="1777"/>
      <c r="AF31" s="1777"/>
      <c r="AG31" s="1777"/>
      <c r="AH31" s="1777"/>
      <c r="AI31" s="1777"/>
      <c r="AJ31" s="1777"/>
      <c r="AK31" s="1777"/>
      <c r="AL31" s="1777"/>
      <c r="AM31" s="1777"/>
      <c r="AN31" s="1776" t="s">
        <v>1244</v>
      </c>
      <c r="AO31" s="1777"/>
      <c r="AP31" s="1777"/>
      <c r="AQ31" s="1777"/>
      <c r="AR31" s="1777"/>
      <c r="AS31" s="1777"/>
      <c r="AT31" s="1777"/>
      <c r="AU31" s="1777"/>
      <c r="AV31" s="1777"/>
      <c r="AW31" s="1761"/>
      <c r="AX31" s="1761"/>
      <c r="AY31" s="1761"/>
      <c r="AZ31" s="1761"/>
      <c r="BA31" s="1761"/>
      <c r="BB31" s="1761"/>
      <c r="BC31" s="1761"/>
      <c r="BD31" s="1761"/>
      <c r="BE31" s="1761"/>
      <c r="BF31" s="1761"/>
      <c r="BG31" s="1761"/>
      <c r="BH31" s="1761"/>
      <c r="BI31" s="1761"/>
    </row>
    <row r="32" spans="1:61" s="1762" customFormat="1" ht="60" customHeight="1" x14ac:dyDescent="0.75">
      <c r="A32" s="1778" t="s">
        <v>1245</v>
      </c>
      <c r="B32" s="1777"/>
      <c r="C32" s="1777"/>
      <c r="D32" s="1777"/>
      <c r="E32" s="1777"/>
      <c r="F32" s="1777"/>
      <c r="G32" s="1777"/>
      <c r="H32" s="1777"/>
      <c r="I32" s="1777"/>
      <c r="J32" s="1777"/>
      <c r="K32" s="1777"/>
      <c r="L32" s="1777"/>
      <c r="M32" s="1777"/>
      <c r="N32" s="1778" t="s">
        <v>1245</v>
      </c>
      <c r="O32" s="1777"/>
      <c r="P32" s="1777"/>
      <c r="Q32" s="1777"/>
      <c r="R32" s="1777"/>
      <c r="S32" s="1777"/>
      <c r="T32" s="1777"/>
      <c r="U32" s="1777"/>
      <c r="V32" s="1777"/>
      <c r="W32" s="1777"/>
      <c r="X32" s="1777"/>
      <c r="Y32" s="1777"/>
      <c r="Z32" s="1777"/>
      <c r="AA32" s="1778" t="s">
        <v>1245</v>
      </c>
      <c r="AB32" s="1777"/>
      <c r="AC32" s="1777"/>
      <c r="AD32" s="1777"/>
      <c r="AE32" s="1777"/>
      <c r="AF32" s="1777"/>
      <c r="AG32" s="1777"/>
      <c r="AH32" s="1777"/>
      <c r="AI32" s="1777"/>
      <c r="AJ32" s="1777"/>
      <c r="AK32" s="1777"/>
      <c r="AL32" s="1777"/>
      <c r="AM32" s="1777"/>
      <c r="AN32" s="1778" t="s">
        <v>1245</v>
      </c>
      <c r="AO32" s="1777"/>
      <c r="AP32" s="1777"/>
      <c r="AQ32" s="1777"/>
      <c r="AR32" s="1777"/>
      <c r="AS32" s="1777"/>
      <c r="AT32" s="1777"/>
      <c r="AU32" s="1777"/>
      <c r="AV32" s="1777"/>
      <c r="AW32" s="1761"/>
      <c r="AX32" s="1761"/>
      <c r="AY32" s="1761"/>
      <c r="AZ32" s="1761"/>
      <c r="BA32" s="1761"/>
      <c r="BB32" s="1761"/>
      <c r="BC32" s="1761"/>
      <c r="BD32" s="1761"/>
      <c r="BE32" s="1761"/>
      <c r="BF32" s="1761"/>
      <c r="BG32" s="1761"/>
      <c r="BH32" s="1761"/>
      <c r="BI32" s="1761"/>
    </row>
    <row r="33" spans="1:61" s="1762" customFormat="1" ht="60" customHeight="1" x14ac:dyDescent="0.75">
      <c r="A33" s="1779" t="s">
        <v>214</v>
      </c>
      <c r="B33" s="1757">
        <f>'[4]int.kiadások RM I'!B33</f>
        <v>104191</v>
      </c>
      <c r="C33" s="1757">
        <f>'[4]int.kiadások RM III'!D33</f>
        <v>143560</v>
      </c>
      <c r="D33" s="1757">
        <v>136318</v>
      </c>
      <c r="E33" s="1758">
        <f>D33/C33</f>
        <v>0.94955419336862634</v>
      </c>
      <c r="F33" s="1757">
        <f>'[4]int.kiadások RM I'!E33</f>
        <v>13178</v>
      </c>
      <c r="G33" s="1757">
        <f>'[4]int.kiadások RM III'!G33</f>
        <v>15196</v>
      </c>
      <c r="H33" s="1757">
        <v>14416</v>
      </c>
      <c r="I33" s="1758">
        <f>H33/G33</f>
        <v>0.94867070281653065</v>
      </c>
      <c r="J33" s="1757">
        <f>'[4]int.kiadások RM I'!H33</f>
        <v>24002</v>
      </c>
      <c r="K33" s="1757">
        <f>'[4]int.kiadások RM III'!J33</f>
        <v>191520</v>
      </c>
      <c r="L33" s="1757">
        <v>165815</v>
      </c>
      <c r="M33" s="1758">
        <f>L33/K33</f>
        <v>0.86578425229741018</v>
      </c>
      <c r="N33" s="1779" t="s">
        <v>214</v>
      </c>
      <c r="O33" s="1757">
        <f>'[4]int.kiadások RM I'!L33</f>
        <v>0</v>
      </c>
      <c r="P33" s="1757">
        <f>'[4]int.kiadások RM III'!N33</f>
        <v>0</v>
      </c>
      <c r="Q33" s="1757"/>
      <c r="R33" s="1758"/>
      <c r="S33" s="1757">
        <f>'[4]int.kiadások RM I'!O33</f>
        <v>0</v>
      </c>
      <c r="T33" s="1757">
        <f>'[4]int.kiadások RM III'!Q33</f>
        <v>37</v>
      </c>
      <c r="U33" s="1757">
        <v>36</v>
      </c>
      <c r="V33" s="1758">
        <f>U33/T33</f>
        <v>0.97297297297297303</v>
      </c>
      <c r="W33" s="1759">
        <f t="shared" ref="W33:Y36" si="10">B33+F33+J33+O33+S33</f>
        <v>141371</v>
      </c>
      <c r="X33" s="1759">
        <f t="shared" si="10"/>
        <v>350313</v>
      </c>
      <c r="Y33" s="1759">
        <f t="shared" si="10"/>
        <v>316585</v>
      </c>
      <c r="Z33" s="1760">
        <f>Y33/X33</f>
        <v>0.90372038719659276</v>
      </c>
      <c r="AA33" s="1779" t="s">
        <v>214</v>
      </c>
      <c r="AB33" s="1757">
        <f>'[4]int.kiadások RM I'!V33</f>
        <v>0</v>
      </c>
      <c r="AC33" s="1757">
        <f>'[4]int.kiadások RM III'!X33</f>
        <v>2575</v>
      </c>
      <c r="AD33" s="1757">
        <v>2074</v>
      </c>
      <c r="AE33" s="1758">
        <f>AD33/AC33</f>
        <v>0.80543689320388345</v>
      </c>
      <c r="AF33" s="1757">
        <f>'[4]int.kiadások RM I'!Y33</f>
        <v>0</v>
      </c>
      <c r="AG33" s="1757">
        <f>'[4]int.kiadások RM III'!AA33</f>
        <v>0</v>
      </c>
      <c r="AH33" s="1757"/>
      <c r="AI33" s="1758"/>
      <c r="AJ33" s="1757">
        <f>'[4]int.kiadások RM I'!AB33</f>
        <v>0</v>
      </c>
      <c r="AK33" s="1757">
        <f>'[4]int.kiadások RM III'!AD33</f>
        <v>0</v>
      </c>
      <c r="AL33" s="1757"/>
      <c r="AM33" s="1758"/>
      <c r="AN33" s="1779" t="s">
        <v>214</v>
      </c>
      <c r="AO33" s="1759">
        <f t="shared" ref="AO33:AQ36" si="11">AB33+AF33+AJ33</f>
        <v>0</v>
      </c>
      <c r="AP33" s="1759">
        <f t="shared" si="11"/>
        <v>2575</v>
      </c>
      <c r="AQ33" s="1759">
        <f t="shared" si="11"/>
        <v>2074</v>
      </c>
      <c r="AR33" s="1760">
        <f>AQ33/AP33</f>
        <v>0.80543689320388345</v>
      </c>
      <c r="AS33" s="1759">
        <f t="shared" ref="AS33:AU36" si="12">W33+AO33</f>
        <v>141371</v>
      </c>
      <c r="AT33" s="1759">
        <f t="shared" si="12"/>
        <v>352888</v>
      </c>
      <c r="AU33" s="1759">
        <f>Y33+AQ33</f>
        <v>318659</v>
      </c>
      <c r="AV33" s="1760">
        <f>AU33/AT33</f>
        <v>0.90300321915168547</v>
      </c>
      <c r="AW33" s="1761"/>
      <c r="AX33" s="1761"/>
      <c r="AY33" s="1761"/>
      <c r="AZ33" s="1761"/>
      <c r="BA33" s="1761"/>
      <c r="BB33" s="1761"/>
      <c r="BC33" s="1761"/>
      <c r="BD33" s="1761"/>
      <c r="BE33" s="1761"/>
      <c r="BF33" s="1761"/>
      <c r="BG33" s="1761"/>
      <c r="BH33" s="1761"/>
      <c r="BI33" s="1761"/>
    </row>
    <row r="34" spans="1:61" s="1762" customFormat="1" ht="60" customHeight="1" x14ac:dyDescent="0.75">
      <c r="A34" s="1780" t="s">
        <v>1246</v>
      </c>
      <c r="B34" s="1781">
        <f>'[4]int.kiadások RM I'!B34</f>
        <v>402163</v>
      </c>
      <c r="C34" s="1757">
        <f>'[4]int.kiadások RM III'!D34</f>
        <v>560736</v>
      </c>
      <c r="D34" s="1781">
        <v>474650</v>
      </c>
      <c r="E34" s="1758">
        <f>D34/C34</f>
        <v>0.84647677338355309</v>
      </c>
      <c r="F34" s="1781">
        <f>'[4]int.kiadások RM I'!E34</f>
        <v>51659</v>
      </c>
      <c r="G34" s="1757">
        <f>'[4]int.kiadások RM III'!G34</f>
        <v>69363</v>
      </c>
      <c r="H34" s="1757">
        <v>44087</v>
      </c>
      <c r="I34" s="1758">
        <f>H34/G34</f>
        <v>0.63559822960367918</v>
      </c>
      <c r="J34" s="1781">
        <f>'[4]int.kiadások RM I'!H34</f>
        <v>94373</v>
      </c>
      <c r="K34" s="1757">
        <f>'[4]int.kiadások RM III'!J34</f>
        <v>321185</v>
      </c>
      <c r="L34" s="1781">
        <v>154661</v>
      </c>
      <c r="M34" s="1758">
        <f>L34/K34</f>
        <v>0.48153245014555474</v>
      </c>
      <c r="N34" s="1780" t="s">
        <v>1246</v>
      </c>
      <c r="O34" s="1781">
        <f>'[4]int.kiadások RM I'!L34</f>
        <v>0</v>
      </c>
      <c r="P34" s="1757">
        <f>'[4]int.kiadások RM III'!N34</f>
        <v>0</v>
      </c>
      <c r="Q34" s="1781"/>
      <c r="R34" s="1758"/>
      <c r="S34" s="1781">
        <f>'[4]int.kiadások RM I'!O34</f>
        <v>0</v>
      </c>
      <c r="T34" s="1781">
        <f>'[4]int.kiadások RM III'!Q34</f>
        <v>8062</v>
      </c>
      <c r="U34" s="1781">
        <v>8062</v>
      </c>
      <c r="V34" s="1758">
        <f>U34/T34</f>
        <v>1</v>
      </c>
      <c r="W34" s="1759">
        <f t="shared" si="10"/>
        <v>548195</v>
      </c>
      <c r="X34" s="1759">
        <f t="shared" si="10"/>
        <v>959346</v>
      </c>
      <c r="Y34" s="1759">
        <f t="shared" si="10"/>
        <v>681460</v>
      </c>
      <c r="Z34" s="1760">
        <f>Y34/X34</f>
        <v>0.7103380844867232</v>
      </c>
      <c r="AA34" s="1780" t="s">
        <v>1246</v>
      </c>
      <c r="AB34" s="1781">
        <f>'[4]int.kiadások RM I'!V34</f>
        <v>0</v>
      </c>
      <c r="AC34" s="1757">
        <f>'[4]int.kiadások RM III'!X34</f>
        <v>63073</v>
      </c>
      <c r="AD34" s="1781">
        <f>13808-1</f>
        <v>13807</v>
      </c>
      <c r="AE34" s="1758">
        <f>AD34/AC34</f>
        <v>0.21890507824267119</v>
      </c>
      <c r="AF34" s="1781">
        <f>'[4]int.kiadások RM I'!Y34</f>
        <v>0</v>
      </c>
      <c r="AG34" s="1757">
        <f>'[4]int.kiadások RM III'!AA34</f>
        <v>0</v>
      </c>
      <c r="AH34" s="1781"/>
      <c r="AI34" s="1758"/>
      <c r="AJ34" s="1781">
        <f>'[4]int.kiadások RM I'!AB34</f>
        <v>0</v>
      </c>
      <c r="AK34" s="1781">
        <f>'[4]int.kiadások RM III'!AD34</f>
        <v>0</v>
      </c>
      <c r="AL34" s="1781"/>
      <c r="AM34" s="1758"/>
      <c r="AN34" s="1780" t="s">
        <v>1246</v>
      </c>
      <c r="AO34" s="1759">
        <f t="shared" si="11"/>
        <v>0</v>
      </c>
      <c r="AP34" s="1759">
        <f t="shared" si="11"/>
        <v>63073</v>
      </c>
      <c r="AQ34" s="1759">
        <f t="shared" si="11"/>
        <v>13807</v>
      </c>
      <c r="AR34" s="1760">
        <f>AQ34/AP34</f>
        <v>0.21890507824267119</v>
      </c>
      <c r="AS34" s="1759">
        <f t="shared" si="12"/>
        <v>548195</v>
      </c>
      <c r="AT34" s="1759">
        <f t="shared" si="12"/>
        <v>1022419</v>
      </c>
      <c r="AU34" s="1759">
        <f t="shared" si="12"/>
        <v>695267</v>
      </c>
      <c r="AV34" s="1760">
        <f>AU34/AT34</f>
        <v>0.68002159584280031</v>
      </c>
      <c r="AW34" s="1761"/>
      <c r="AX34" s="1761"/>
      <c r="AY34" s="1761"/>
      <c r="AZ34" s="1761"/>
      <c r="BA34" s="1761"/>
      <c r="BB34" s="1761"/>
      <c r="BC34" s="1761"/>
      <c r="BD34" s="1761"/>
      <c r="BE34" s="1761"/>
      <c r="BF34" s="1761"/>
      <c r="BG34" s="1761"/>
      <c r="BH34" s="1761"/>
      <c r="BI34" s="1761"/>
    </row>
    <row r="35" spans="1:61" s="1762" customFormat="1" ht="60" customHeight="1" x14ac:dyDescent="0.75">
      <c r="A35" s="1780" t="s">
        <v>502</v>
      </c>
      <c r="B35" s="1781">
        <f>'[4]int.kiadások RM I'!B35</f>
        <v>208494</v>
      </c>
      <c r="C35" s="1757">
        <f>'[4]int.kiadások RM III'!D35</f>
        <v>272019</v>
      </c>
      <c r="D35" s="1781">
        <v>246657</v>
      </c>
      <c r="E35" s="1758">
        <f>D35/C35</f>
        <v>0.90676386575937706</v>
      </c>
      <c r="F35" s="1781">
        <f>'[4]int.kiadások RM I'!E35</f>
        <v>26840</v>
      </c>
      <c r="G35" s="1757">
        <f>'[4]int.kiadások RM III'!G35</f>
        <v>37512</v>
      </c>
      <c r="H35" s="1757">
        <v>33859</v>
      </c>
      <c r="I35" s="1758">
        <f>H35/G35</f>
        <v>0.90261782896139897</v>
      </c>
      <c r="J35" s="1781">
        <f>'[4]int.kiadások RM I'!H35</f>
        <v>88667</v>
      </c>
      <c r="K35" s="1757">
        <f>'[4]int.kiadások RM III'!J35</f>
        <v>272328</v>
      </c>
      <c r="L35" s="1781">
        <v>244989</v>
      </c>
      <c r="M35" s="1758">
        <f>L35/K35</f>
        <v>0.89961002908257692</v>
      </c>
      <c r="N35" s="1780" t="s">
        <v>502</v>
      </c>
      <c r="O35" s="1781">
        <f>'[4]int.kiadások RM I'!L35</f>
        <v>0</v>
      </c>
      <c r="P35" s="1757">
        <f>'[4]int.kiadások RM III'!N35</f>
        <v>0</v>
      </c>
      <c r="Q35" s="1781"/>
      <c r="R35" s="1758"/>
      <c r="S35" s="1781">
        <f>'[4]int.kiadások RM I'!O35</f>
        <v>0</v>
      </c>
      <c r="T35" s="1781">
        <f>'[4]int.kiadások RM III'!Q35</f>
        <v>2071</v>
      </c>
      <c r="U35" s="1781">
        <v>2071</v>
      </c>
      <c r="V35" s="1758">
        <f>U35/T35</f>
        <v>1</v>
      </c>
      <c r="W35" s="1759">
        <f t="shared" si="10"/>
        <v>324001</v>
      </c>
      <c r="X35" s="1759">
        <f t="shared" si="10"/>
        <v>583930</v>
      </c>
      <c r="Y35" s="1759">
        <f t="shared" si="10"/>
        <v>527576</v>
      </c>
      <c r="Z35" s="1760">
        <f>Y35/X35</f>
        <v>0.90349185690065592</v>
      </c>
      <c r="AA35" s="1780" t="s">
        <v>502</v>
      </c>
      <c r="AB35" s="1781">
        <f>'[4]int.kiadások RM I'!V35</f>
        <v>0</v>
      </c>
      <c r="AC35" s="1757">
        <f>'[4]int.kiadások RM III'!X35</f>
        <v>23369</v>
      </c>
      <c r="AD35" s="1781">
        <f>16021-1</f>
        <v>16020</v>
      </c>
      <c r="AE35" s="1758">
        <f>AD35/AC35</f>
        <v>0.68552355684881683</v>
      </c>
      <c r="AF35" s="1781">
        <f>'[4]int.kiadások RM I'!Y35</f>
        <v>0</v>
      </c>
      <c r="AG35" s="1757">
        <f>'[4]int.kiadások RM III'!AA35</f>
        <v>0</v>
      </c>
      <c r="AH35" s="1781"/>
      <c r="AI35" s="1758"/>
      <c r="AJ35" s="1781">
        <f>'[4]int.kiadások RM I'!AB35</f>
        <v>0</v>
      </c>
      <c r="AK35" s="1781">
        <f>'[4]int.kiadások RM III'!AD35</f>
        <v>0</v>
      </c>
      <c r="AL35" s="1781"/>
      <c r="AM35" s="1758"/>
      <c r="AN35" s="1780" t="s">
        <v>502</v>
      </c>
      <c r="AO35" s="1759">
        <f t="shared" si="11"/>
        <v>0</v>
      </c>
      <c r="AP35" s="1759">
        <f t="shared" si="11"/>
        <v>23369</v>
      </c>
      <c r="AQ35" s="1759">
        <f t="shared" si="11"/>
        <v>16020</v>
      </c>
      <c r="AR35" s="1760">
        <f>AQ35/AP35</f>
        <v>0.68552355684881683</v>
      </c>
      <c r="AS35" s="1759">
        <f t="shared" si="12"/>
        <v>324001</v>
      </c>
      <c r="AT35" s="1759">
        <f t="shared" si="12"/>
        <v>607299</v>
      </c>
      <c r="AU35" s="1759">
        <f>Y35+AQ35</f>
        <v>543596</v>
      </c>
      <c r="AV35" s="1760">
        <f>AU35/AT35</f>
        <v>0.89510438844786511</v>
      </c>
      <c r="AW35" s="1761"/>
      <c r="AX35" s="1761"/>
      <c r="AY35" s="1761"/>
      <c r="AZ35" s="1761"/>
      <c r="BA35" s="1761"/>
      <c r="BB35" s="1761"/>
      <c r="BC35" s="1761"/>
      <c r="BD35" s="1761"/>
      <c r="BE35" s="1761"/>
      <c r="BF35" s="1761"/>
      <c r="BG35" s="1761"/>
      <c r="BH35" s="1761"/>
      <c r="BI35" s="1761"/>
    </row>
    <row r="36" spans="1:61" s="1762" customFormat="1" ht="60" customHeight="1" thickBot="1" x14ac:dyDescent="0.8">
      <c r="A36" s="1782" t="s">
        <v>1247</v>
      </c>
      <c r="B36" s="1781">
        <f>'[4]int.kiadások RM I'!B36</f>
        <v>439629</v>
      </c>
      <c r="C36" s="1757">
        <f>'[4]int.kiadások RM III'!D36</f>
        <v>510909</v>
      </c>
      <c r="D36" s="1781">
        <v>480220</v>
      </c>
      <c r="E36" s="1766">
        <f>D36/C36</f>
        <v>0.93993255158942202</v>
      </c>
      <c r="F36" s="1781">
        <f>'[4]int.kiadások RM I'!E36</f>
        <v>56471</v>
      </c>
      <c r="G36" s="1757">
        <f>'[4]int.kiadások RM III'!G36</f>
        <v>65681</v>
      </c>
      <c r="H36" s="1781">
        <v>65280</v>
      </c>
      <c r="I36" s="1766">
        <f>H36/G36</f>
        <v>0.99389473363682035</v>
      </c>
      <c r="J36" s="1781">
        <f>'[4]int.kiadások RM I'!H36</f>
        <v>288151</v>
      </c>
      <c r="K36" s="1757">
        <f>'[4]int.kiadások RM III'!J36</f>
        <v>425683</v>
      </c>
      <c r="L36" s="1781">
        <v>364276</v>
      </c>
      <c r="M36" s="1766">
        <f>L36/K36</f>
        <v>0.85574476782018549</v>
      </c>
      <c r="N36" s="1782" t="s">
        <v>1247</v>
      </c>
      <c r="O36" s="1781">
        <f>'[4]int.kiadások RM I'!L36</f>
        <v>0</v>
      </c>
      <c r="P36" s="1757">
        <f>'[4]int.kiadások RM III'!N36</f>
        <v>0</v>
      </c>
      <c r="Q36" s="1781"/>
      <c r="R36" s="1766"/>
      <c r="S36" s="1781">
        <f>'[4]int.kiadások RM I'!O36</f>
        <v>0</v>
      </c>
      <c r="T36" s="1781">
        <f>'[4]int.kiadások RM III'!Q36</f>
        <v>0</v>
      </c>
      <c r="U36" s="1781"/>
      <c r="V36" s="1766"/>
      <c r="W36" s="1759">
        <f t="shared" si="10"/>
        <v>784251</v>
      </c>
      <c r="X36" s="1759">
        <f t="shared" si="10"/>
        <v>1002273</v>
      </c>
      <c r="Y36" s="1759">
        <f t="shared" si="10"/>
        <v>909776</v>
      </c>
      <c r="Z36" s="1767">
        <f>Y36/X36</f>
        <v>0.90771276887634411</v>
      </c>
      <c r="AA36" s="1782" t="s">
        <v>1247</v>
      </c>
      <c r="AB36" s="1781">
        <f>'[4]int.kiadások RM I'!V36</f>
        <v>0</v>
      </c>
      <c r="AC36" s="1757">
        <f>'[4]int.kiadások RM III'!X36</f>
        <v>19249</v>
      </c>
      <c r="AD36" s="1781">
        <v>8504</v>
      </c>
      <c r="AE36" s="1766">
        <f>AD36/AC36</f>
        <v>0.44178918385370669</v>
      </c>
      <c r="AF36" s="1781">
        <f>'[4]int.kiadások RM I'!Y36</f>
        <v>0</v>
      </c>
      <c r="AG36" s="1757">
        <f>'[4]int.kiadások RM III'!AA36</f>
        <v>0</v>
      </c>
      <c r="AH36" s="1781"/>
      <c r="AI36" s="1766"/>
      <c r="AJ36" s="1781">
        <f>'[4]int.kiadások RM I'!AB36</f>
        <v>0</v>
      </c>
      <c r="AK36" s="1781">
        <f>'[4]int.kiadások RM III'!AD36</f>
        <v>0</v>
      </c>
      <c r="AL36" s="1781"/>
      <c r="AM36" s="1766"/>
      <c r="AN36" s="1782" t="s">
        <v>1247</v>
      </c>
      <c r="AO36" s="1759">
        <f t="shared" si="11"/>
        <v>0</v>
      </c>
      <c r="AP36" s="1759">
        <f t="shared" si="11"/>
        <v>19249</v>
      </c>
      <c r="AQ36" s="1759">
        <f t="shared" si="11"/>
        <v>8504</v>
      </c>
      <c r="AR36" s="1767">
        <f>AQ36/AP36</f>
        <v>0.44178918385370669</v>
      </c>
      <c r="AS36" s="1759">
        <f t="shared" si="12"/>
        <v>784251</v>
      </c>
      <c r="AT36" s="1759">
        <f t="shared" si="12"/>
        <v>1021522</v>
      </c>
      <c r="AU36" s="1759">
        <f t="shared" si="12"/>
        <v>918280</v>
      </c>
      <c r="AV36" s="1767">
        <f>AU36/AT36</f>
        <v>0.8989331605193035</v>
      </c>
      <c r="AW36" s="1761"/>
      <c r="AX36" s="1761"/>
      <c r="AY36" s="1761"/>
      <c r="AZ36" s="1761"/>
      <c r="BA36" s="1761"/>
      <c r="BB36" s="1761"/>
      <c r="BC36" s="1761"/>
      <c r="BD36" s="1761"/>
      <c r="BE36" s="1761"/>
      <c r="BF36" s="1761"/>
      <c r="BG36" s="1761"/>
      <c r="BH36" s="1761"/>
      <c r="BI36" s="1761"/>
    </row>
    <row r="37" spans="1:61" s="1762" customFormat="1" ht="60" customHeight="1" thickBot="1" x14ac:dyDescent="0.8">
      <c r="A37" s="1783" t="s">
        <v>1248</v>
      </c>
      <c r="B37" s="1770">
        <f>SUM(B33:B36)</f>
        <v>1154477</v>
      </c>
      <c r="C37" s="1770">
        <f>SUM(C33:C36)</f>
        <v>1487224</v>
      </c>
      <c r="D37" s="1770">
        <f>SUM(D33:D36)</f>
        <v>1337845</v>
      </c>
      <c r="E37" s="1771">
        <f>D37/C37</f>
        <v>0.89955850631781087</v>
      </c>
      <c r="F37" s="1770">
        <f>SUM(F33:F36)</f>
        <v>148148</v>
      </c>
      <c r="G37" s="1770">
        <f>SUM(G33:G36)</f>
        <v>187752</v>
      </c>
      <c r="H37" s="1770">
        <f>SUM(H33:H36)</f>
        <v>157642</v>
      </c>
      <c r="I37" s="1771">
        <f>H37/G37</f>
        <v>0.83962887212919168</v>
      </c>
      <c r="J37" s="1770">
        <f>SUM(J33:J36)</f>
        <v>495193</v>
      </c>
      <c r="K37" s="1770">
        <f>SUM(K33:K36)</f>
        <v>1210716</v>
      </c>
      <c r="L37" s="1770">
        <f>SUM(L33:L36)</f>
        <v>929741</v>
      </c>
      <c r="M37" s="1771">
        <f>L37/K37</f>
        <v>0.76792658228684518</v>
      </c>
      <c r="N37" s="1783" t="s">
        <v>1248</v>
      </c>
      <c r="O37" s="1770">
        <f>SUM(O33:O36)</f>
        <v>0</v>
      </c>
      <c r="P37" s="1770">
        <f>SUM(P33:P36)</f>
        <v>0</v>
      </c>
      <c r="Q37" s="1770">
        <f>SUM(Q33:Q36)</f>
        <v>0</v>
      </c>
      <c r="R37" s="1771"/>
      <c r="S37" s="1770">
        <f>SUM(S33:S36)</f>
        <v>0</v>
      </c>
      <c r="T37" s="1770">
        <f>SUM(T33:T36)</f>
        <v>10170</v>
      </c>
      <c r="U37" s="1770">
        <f>SUM(U33:U36)</f>
        <v>10169</v>
      </c>
      <c r="V37" s="1771">
        <f>U37/T37</f>
        <v>0.99990167158308751</v>
      </c>
      <c r="W37" s="1770">
        <f>SUM(W33:W36)</f>
        <v>1797818</v>
      </c>
      <c r="X37" s="1770">
        <f>SUM(X33:X36)</f>
        <v>2895862</v>
      </c>
      <c r="Y37" s="1770">
        <f>SUM(Y33:Y36)</f>
        <v>2435397</v>
      </c>
      <c r="Z37" s="1771">
        <f>Y37/X37</f>
        <v>0.84099207766115924</v>
      </c>
      <c r="AA37" s="1783" t="s">
        <v>1248</v>
      </c>
      <c r="AB37" s="1770">
        <f>SUM(AB33:AB36)</f>
        <v>0</v>
      </c>
      <c r="AC37" s="1770">
        <f>SUM(AC33:AC36)</f>
        <v>108266</v>
      </c>
      <c r="AD37" s="1770">
        <f>SUM(AD33:AD36)</f>
        <v>40405</v>
      </c>
      <c r="AE37" s="1771">
        <f>AD37/AC37</f>
        <v>0.37320118966249793</v>
      </c>
      <c r="AF37" s="1770">
        <f>SUM(AF33:AF36)</f>
        <v>0</v>
      </c>
      <c r="AG37" s="1770">
        <f>SUM(AG33:AG36)</f>
        <v>0</v>
      </c>
      <c r="AH37" s="1770">
        <f>SUM(AH33:AH36)</f>
        <v>0</v>
      </c>
      <c r="AI37" s="1771"/>
      <c r="AJ37" s="1770">
        <f>SUM(AJ33:AJ36)</f>
        <v>0</v>
      </c>
      <c r="AK37" s="1770">
        <f>SUM(AK33:AK36)</f>
        <v>0</v>
      </c>
      <c r="AL37" s="1770">
        <f>SUM(AL33:AL36)</f>
        <v>0</v>
      </c>
      <c r="AM37" s="1771"/>
      <c r="AN37" s="1783" t="s">
        <v>1248</v>
      </c>
      <c r="AO37" s="1770">
        <f>SUM(AO33:AO36)</f>
        <v>0</v>
      </c>
      <c r="AP37" s="1770">
        <f>SUM(AP33:AP36)</f>
        <v>108266</v>
      </c>
      <c r="AQ37" s="1770">
        <f>SUM(AQ33:AQ36)</f>
        <v>40405</v>
      </c>
      <c r="AR37" s="1771">
        <f>AQ37/AP37</f>
        <v>0.37320118966249793</v>
      </c>
      <c r="AS37" s="1770">
        <f>SUM(AS33:AS36)</f>
        <v>1797818</v>
      </c>
      <c r="AT37" s="1770">
        <f>SUM(AT33:AT36)</f>
        <v>3004128</v>
      </c>
      <c r="AU37" s="1770">
        <f>SUM(AU33:AU36)</f>
        <v>2475802</v>
      </c>
      <c r="AV37" s="1771">
        <f>AU37/AT37</f>
        <v>0.82413332587692667</v>
      </c>
      <c r="AW37" s="1761"/>
      <c r="AX37" s="1761"/>
      <c r="AY37" s="1761"/>
      <c r="AZ37" s="1761"/>
      <c r="BA37" s="1761"/>
      <c r="BB37" s="1761"/>
      <c r="BC37" s="1761"/>
      <c r="BD37" s="1761"/>
      <c r="BE37" s="1761"/>
      <c r="BF37" s="1761"/>
      <c r="BG37" s="1761"/>
      <c r="BH37" s="1761"/>
      <c r="BI37" s="1761"/>
    </row>
    <row r="38" spans="1:61" s="1762" customFormat="1" ht="60" customHeight="1" x14ac:dyDescent="0.75">
      <c r="A38" s="1784" t="s">
        <v>1249</v>
      </c>
      <c r="B38" s="1785"/>
      <c r="C38" s="1785"/>
      <c r="D38" s="1785"/>
      <c r="E38" s="1785"/>
      <c r="F38" s="1785"/>
      <c r="G38" s="1785"/>
      <c r="H38" s="1785"/>
      <c r="I38" s="1785"/>
      <c r="J38" s="1785"/>
      <c r="K38" s="1785"/>
      <c r="L38" s="1785"/>
      <c r="M38" s="1785"/>
      <c r="N38" s="1784" t="s">
        <v>1249</v>
      </c>
      <c r="O38" s="1785"/>
      <c r="P38" s="1785"/>
      <c r="Q38" s="1785"/>
      <c r="R38" s="1785"/>
      <c r="S38" s="1785"/>
      <c r="T38" s="1785"/>
      <c r="U38" s="1785"/>
      <c r="V38" s="1785"/>
      <c r="W38" s="1785"/>
      <c r="X38" s="1785"/>
      <c r="Y38" s="1785"/>
      <c r="Z38" s="1785"/>
      <c r="AA38" s="1784" t="s">
        <v>1249</v>
      </c>
      <c r="AB38" s="1785"/>
      <c r="AC38" s="1785"/>
      <c r="AD38" s="1785"/>
      <c r="AE38" s="1785"/>
      <c r="AF38" s="1785"/>
      <c r="AG38" s="1785"/>
      <c r="AH38" s="1785"/>
      <c r="AI38" s="1785"/>
      <c r="AJ38" s="1785"/>
      <c r="AK38" s="1785"/>
      <c r="AL38" s="1785"/>
      <c r="AM38" s="1785"/>
      <c r="AN38" s="1784" t="s">
        <v>1249</v>
      </c>
      <c r="AO38" s="1785"/>
      <c r="AP38" s="1785"/>
      <c r="AQ38" s="1785"/>
      <c r="AR38" s="1785"/>
      <c r="AS38" s="1785"/>
      <c r="AT38" s="1785"/>
      <c r="AU38" s="1785"/>
      <c r="AV38" s="1785"/>
      <c r="AW38" s="1761"/>
      <c r="AX38" s="1761"/>
      <c r="AY38" s="1761"/>
      <c r="AZ38" s="1761"/>
      <c r="BA38" s="1761"/>
      <c r="BB38" s="1761"/>
      <c r="BC38" s="1761"/>
      <c r="BD38" s="1761"/>
      <c r="BE38" s="1761"/>
      <c r="BF38" s="1761"/>
      <c r="BG38" s="1761"/>
      <c r="BH38" s="1761"/>
      <c r="BI38" s="1761"/>
    </row>
    <row r="39" spans="1:61" s="1788" customFormat="1" ht="60" customHeight="1" thickBot="1" x14ac:dyDescent="0.8">
      <c r="A39" s="1779" t="s">
        <v>1250</v>
      </c>
      <c r="B39" s="1757">
        <f>'[4]int.kiadások RM I'!B39</f>
        <v>687923</v>
      </c>
      <c r="C39" s="1757">
        <f>'[4]int.kiadások RM III'!D39</f>
        <v>904978</v>
      </c>
      <c r="D39" s="1757">
        <v>902506</v>
      </c>
      <c r="E39" s="1786">
        <f>D39/C39</f>
        <v>0.99726844188477515</v>
      </c>
      <c r="F39" s="1757">
        <f>'[4]int.kiadások RM I'!E39</f>
        <v>111189</v>
      </c>
      <c r="G39" s="1757">
        <f>'[4]int.kiadások RM III'!G39</f>
        <v>127860</v>
      </c>
      <c r="H39" s="1757">
        <v>127291</v>
      </c>
      <c r="I39" s="1786">
        <f>H39/G39</f>
        <v>0.99554982011575155</v>
      </c>
      <c r="J39" s="1757">
        <f>'[4]int.kiadások RM I'!H39</f>
        <v>487552</v>
      </c>
      <c r="K39" s="1757">
        <f>'[4]int.kiadások RM III'!J39</f>
        <v>556136</v>
      </c>
      <c r="L39" s="1757">
        <f>506276</f>
        <v>506276</v>
      </c>
      <c r="M39" s="1786">
        <f>L39/K39</f>
        <v>0.91034567084310314</v>
      </c>
      <c r="N39" s="1779" t="s">
        <v>1250</v>
      </c>
      <c r="O39" s="1757">
        <f>'[4]int.kiadások RM I'!L39</f>
        <v>0</v>
      </c>
      <c r="P39" s="1757">
        <f>'[4]int.kiadások RM III'!N39</f>
        <v>0</v>
      </c>
      <c r="Q39" s="1757"/>
      <c r="R39" s="1786"/>
      <c r="S39" s="1757">
        <f>'[4]int.kiadások RM I'!O39</f>
        <v>0</v>
      </c>
      <c r="T39" s="1757">
        <f>'[4]int.kiadások RM III'!Q39</f>
        <v>0</v>
      </c>
      <c r="U39" s="1757"/>
      <c r="V39" s="1786"/>
      <c r="W39" s="1759">
        <f>B39+F39+J39+O39+S39</f>
        <v>1286664</v>
      </c>
      <c r="X39" s="1759">
        <f>C39+G39+K39+P39+T39</f>
        <v>1588974</v>
      </c>
      <c r="Y39" s="1759">
        <f>D39+H39+L39+Q39+U39</f>
        <v>1536073</v>
      </c>
      <c r="Z39" s="1775">
        <f>Y39/X39</f>
        <v>0.96670744769895545</v>
      </c>
      <c r="AA39" s="1779" t="s">
        <v>1250</v>
      </c>
      <c r="AB39" s="1757">
        <f>'[4]int.kiadások RM I'!V39</f>
        <v>0</v>
      </c>
      <c r="AC39" s="1757">
        <f>'[4]int.kiadások RM III'!X39</f>
        <v>16226</v>
      </c>
      <c r="AD39" s="1757">
        <v>14894</v>
      </c>
      <c r="AE39" s="1786">
        <f>AD39/AC39</f>
        <v>0.91790952791815605</v>
      </c>
      <c r="AF39" s="1757">
        <f>'[4]int.kiadások RM I'!Y39</f>
        <v>0</v>
      </c>
      <c r="AG39" s="1757">
        <f>'[4]int.kiadások RM III'!AA39</f>
        <v>69414</v>
      </c>
      <c r="AH39" s="1757">
        <v>4413</v>
      </c>
      <c r="AI39" s="1786">
        <f>AH39/AG39</f>
        <v>6.357507131126286E-2</v>
      </c>
      <c r="AJ39" s="1757">
        <f>'[4]int.kiadások RM I'!AB39</f>
        <v>0</v>
      </c>
      <c r="AK39" s="1757">
        <f>'[4]int.kiadások RM III'!AD39</f>
        <v>0</v>
      </c>
      <c r="AL39" s="1757"/>
      <c r="AM39" s="1786"/>
      <c r="AN39" s="1779" t="s">
        <v>1250</v>
      </c>
      <c r="AO39" s="1759">
        <f>AB39+AF39+AJ39</f>
        <v>0</v>
      </c>
      <c r="AP39" s="1759">
        <f>AC39+AG39+AK39</f>
        <v>85640</v>
      </c>
      <c r="AQ39" s="1759">
        <f>AD39+AH39+AL39</f>
        <v>19307</v>
      </c>
      <c r="AR39" s="1775">
        <f>AQ39/AP39</f>
        <v>0.22544371788883699</v>
      </c>
      <c r="AS39" s="1759">
        <f>W39+AO39</f>
        <v>1286664</v>
      </c>
      <c r="AT39" s="1759">
        <f>X39+AP39</f>
        <v>1674614</v>
      </c>
      <c r="AU39" s="1759">
        <f>Y39+AQ39</f>
        <v>1555380</v>
      </c>
      <c r="AV39" s="1775">
        <f>AU39/AT39</f>
        <v>0.92879911430335593</v>
      </c>
      <c r="AW39" s="1787"/>
      <c r="AX39" s="1787"/>
      <c r="AY39" s="1787"/>
      <c r="AZ39" s="1787"/>
      <c r="BA39" s="1787"/>
      <c r="BB39" s="1787"/>
      <c r="BC39" s="1787"/>
      <c r="BD39" s="1787"/>
      <c r="BE39" s="1787"/>
      <c r="BF39" s="1787"/>
      <c r="BG39" s="1787"/>
      <c r="BH39" s="1787"/>
      <c r="BI39" s="1787"/>
    </row>
    <row r="40" spans="1:61" s="1762" customFormat="1" ht="60" customHeight="1" x14ac:dyDescent="0.75">
      <c r="A40" s="1784" t="s">
        <v>1251</v>
      </c>
      <c r="B40" s="1785"/>
      <c r="C40" s="1785"/>
      <c r="D40" s="1785"/>
      <c r="E40" s="1767"/>
      <c r="F40" s="1785"/>
      <c r="G40" s="1785"/>
      <c r="H40" s="1785"/>
      <c r="I40" s="1767"/>
      <c r="J40" s="1785"/>
      <c r="K40" s="1785"/>
      <c r="L40" s="1785"/>
      <c r="M40" s="1767"/>
      <c r="N40" s="1784" t="s">
        <v>1251</v>
      </c>
      <c r="O40" s="1785"/>
      <c r="P40" s="1785"/>
      <c r="Q40" s="1785"/>
      <c r="R40" s="1767"/>
      <c r="S40" s="1785"/>
      <c r="T40" s="1785"/>
      <c r="U40" s="1785"/>
      <c r="V40" s="1767"/>
      <c r="W40" s="1785"/>
      <c r="X40" s="1785"/>
      <c r="Y40" s="1785"/>
      <c r="Z40" s="1767"/>
      <c r="AA40" s="1784" t="s">
        <v>1251</v>
      </c>
      <c r="AB40" s="1785"/>
      <c r="AC40" s="1785"/>
      <c r="AD40" s="1785"/>
      <c r="AE40" s="1767"/>
      <c r="AF40" s="1785"/>
      <c r="AG40" s="1785"/>
      <c r="AH40" s="1785"/>
      <c r="AI40" s="1767"/>
      <c r="AJ40" s="1785"/>
      <c r="AK40" s="1785"/>
      <c r="AL40" s="1785"/>
      <c r="AM40" s="1767"/>
      <c r="AN40" s="1784" t="s">
        <v>1251</v>
      </c>
      <c r="AO40" s="1785"/>
      <c r="AP40" s="1785"/>
      <c r="AQ40" s="1785"/>
      <c r="AR40" s="1767"/>
      <c r="AS40" s="1785"/>
      <c r="AT40" s="1785"/>
      <c r="AU40" s="1785"/>
      <c r="AV40" s="1767"/>
      <c r="AW40" s="1761"/>
      <c r="AX40" s="1761"/>
      <c r="AY40" s="1761"/>
      <c r="AZ40" s="1761"/>
      <c r="BA40" s="1761"/>
      <c r="BB40" s="1761"/>
      <c r="BC40" s="1761"/>
      <c r="BD40" s="1761"/>
      <c r="BE40" s="1761"/>
      <c r="BF40" s="1761"/>
      <c r="BG40" s="1761"/>
      <c r="BH40" s="1761"/>
      <c r="BI40" s="1761"/>
    </row>
    <row r="41" spans="1:61" s="1762" customFormat="1" ht="60" customHeight="1" thickBot="1" x14ac:dyDescent="0.8">
      <c r="A41" s="1790" t="s">
        <v>1252</v>
      </c>
      <c r="B41" s="1789">
        <f>'[4]int.kiadások RM I'!B41</f>
        <v>748409</v>
      </c>
      <c r="C41" s="1757">
        <f>'[4]int.kiadások RM III'!D41</f>
        <v>792416</v>
      </c>
      <c r="D41" s="1757">
        <v>718498</v>
      </c>
      <c r="E41" s="1758">
        <f>D41/C41</f>
        <v>0.90671818842628116</v>
      </c>
      <c r="F41" s="1789">
        <f>'[4]int.kiadások RM I'!E41</f>
        <v>105095</v>
      </c>
      <c r="G41" s="1757">
        <f>'[4]int.kiadások RM III'!G41</f>
        <v>110491</v>
      </c>
      <c r="H41" s="1789">
        <v>94519</v>
      </c>
      <c r="I41" s="1758">
        <f>H41/G41</f>
        <v>0.8554452398837914</v>
      </c>
      <c r="J41" s="1789">
        <f>'[4]int.kiadások RM I'!H41</f>
        <v>285909</v>
      </c>
      <c r="K41" s="1757">
        <f>'[4]int.kiadások RM III'!J41</f>
        <v>418043</v>
      </c>
      <c r="L41" s="1789">
        <v>315028</v>
      </c>
      <c r="M41" s="1758">
        <f>L41/K41</f>
        <v>0.753577981212459</v>
      </c>
      <c r="N41" s="1790" t="s">
        <v>1252</v>
      </c>
      <c r="O41" s="1789">
        <f>'[4]int.kiadások RM I'!L41</f>
        <v>0</v>
      </c>
      <c r="P41" s="1757">
        <f>'[4]int.kiadások RM III'!N41</f>
        <v>0</v>
      </c>
      <c r="Q41" s="1789"/>
      <c r="R41" s="1758"/>
      <c r="S41" s="1789">
        <f>'[4]int.kiadások RM I'!O41</f>
        <v>0</v>
      </c>
      <c r="T41" s="1789">
        <f>'[4]int.kiadások RM III'!Q41</f>
        <v>0</v>
      </c>
      <c r="U41" s="1789"/>
      <c r="V41" s="1758"/>
      <c r="W41" s="1759">
        <f>B41+F41+J41+O41+S41</f>
        <v>1139413</v>
      </c>
      <c r="X41" s="1759">
        <f>C41+G41+K41+P41+T41</f>
        <v>1320950</v>
      </c>
      <c r="Y41" s="1759">
        <f>D41+H41+L41+Q41+U41</f>
        <v>1128045</v>
      </c>
      <c r="Z41" s="1760">
        <f>Y41/X41</f>
        <v>0.8539649494681858</v>
      </c>
      <c r="AA41" s="1790" t="s">
        <v>1252</v>
      </c>
      <c r="AB41" s="1789">
        <f>'[4]int.kiadások RM I'!V41</f>
        <v>4773</v>
      </c>
      <c r="AC41" s="1757">
        <f>'[4]int.kiadások RM III'!X41</f>
        <v>4697</v>
      </c>
      <c r="AD41" s="1789">
        <v>2621</v>
      </c>
      <c r="AE41" s="1758">
        <f>AD41/AC41</f>
        <v>0.55801575473706622</v>
      </c>
      <c r="AF41" s="1789">
        <f>'[4]int.kiadások RM I'!Y41</f>
        <v>0</v>
      </c>
      <c r="AG41" s="1757">
        <f>'[4]int.kiadások RM III'!AA41</f>
        <v>32100</v>
      </c>
      <c r="AH41" s="1789">
        <v>31813</v>
      </c>
      <c r="AI41" s="1758">
        <f>AH41/AG41</f>
        <v>0.99105919003115261</v>
      </c>
      <c r="AJ41" s="1789">
        <f>'[4]int.kiadások RM I'!AB41</f>
        <v>0</v>
      </c>
      <c r="AK41" s="1789">
        <f>'[4]int.kiadások RM III'!AD41</f>
        <v>0</v>
      </c>
      <c r="AL41" s="1789"/>
      <c r="AM41" s="1758"/>
      <c r="AN41" s="1790" t="s">
        <v>1252</v>
      </c>
      <c r="AO41" s="1759">
        <f>AB41+AF41+AJ41</f>
        <v>4773</v>
      </c>
      <c r="AP41" s="1759">
        <f>AC41+AG41+AK41</f>
        <v>36797</v>
      </c>
      <c r="AQ41" s="1759">
        <f>AD41+AH41+AL41</f>
        <v>34434</v>
      </c>
      <c r="AR41" s="1760">
        <f>AQ41/AP41</f>
        <v>0.93578280838111805</v>
      </c>
      <c r="AS41" s="1759">
        <f>W41+AO41</f>
        <v>1144186</v>
      </c>
      <c r="AT41" s="1759">
        <f>X41+AP41</f>
        <v>1357747</v>
      </c>
      <c r="AU41" s="1759">
        <f>Y41+AQ41</f>
        <v>1162479</v>
      </c>
      <c r="AV41" s="1760">
        <f>AU41/AT41</f>
        <v>0.85618233735740168</v>
      </c>
      <c r="AW41" s="1761"/>
      <c r="AX41" s="1761"/>
      <c r="AY41" s="1761"/>
      <c r="AZ41" s="1761"/>
      <c r="BA41" s="1761"/>
      <c r="BB41" s="1761"/>
      <c r="BC41" s="1761"/>
      <c r="BD41" s="1761"/>
      <c r="BE41" s="1761"/>
      <c r="BF41" s="1761"/>
      <c r="BG41" s="1761"/>
      <c r="BH41" s="1761"/>
      <c r="BI41" s="1761"/>
    </row>
    <row r="42" spans="1:61" s="1762" customFormat="1" ht="60" customHeight="1" x14ac:dyDescent="0.75">
      <c r="A42" s="1784" t="s">
        <v>1253</v>
      </c>
      <c r="B42" s="1785"/>
      <c r="C42" s="1785"/>
      <c r="D42" s="1785"/>
      <c r="E42" s="1785"/>
      <c r="F42" s="1785"/>
      <c r="G42" s="1785"/>
      <c r="H42" s="1785"/>
      <c r="I42" s="1785"/>
      <c r="J42" s="1785"/>
      <c r="K42" s="1785"/>
      <c r="L42" s="1785"/>
      <c r="M42" s="1785"/>
      <c r="N42" s="1784" t="s">
        <v>1253</v>
      </c>
      <c r="O42" s="1785"/>
      <c r="P42" s="1785"/>
      <c r="Q42" s="1785"/>
      <c r="R42" s="1785"/>
      <c r="S42" s="1785"/>
      <c r="T42" s="1785"/>
      <c r="U42" s="1785"/>
      <c r="V42" s="1785"/>
      <c r="W42" s="1785"/>
      <c r="X42" s="1785"/>
      <c r="Y42" s="1785"/>
      <c r="Z42" s="1785"/>
      <c r="AA42" s="1784" t="s">
        <v>1253</v>
      </c>
      <c r="AB42" s="1785"/>
      <c r="AC42" s="1785"/>
      <c r="AD42" s="1785"/>
      <c r="AE42" s="1785"/>
      <c r="AF42" s="1785"/>
      <c r="AG42" s="1785"/>
      <c r="AH42" s="1785"/>
      <c r="AI42" s="1785"/>
      <c r="AJ42" s="1785"/>
      <c r="AK42" s="1785"/>
      <c r="AL42" s="1785"/>
      <c r="AM42" s="1785"/>
      <c r="AN42" s="1784" t="s">
        <v>1253</v>
      </c>
      <c r="AO42" s="1785"/>
      <c r="AP42" s="1785"/>
      <c r="AQ42" s="1785"/>
      <c r="AR42" s="1785"/>
      <c r="AS42" s="1785"/>
      <c r="AT42" s="1785"/>
      <c r="AU42" s="1785"/>
      <c r="AV42" s="1785"/>
      <c r="AW42" s="1761"/>
      <c r="AX42" s="1761"/>
      <c r="AY42" s="1761"/>
      <c r="AZ42" s="1761"/>
      <c r="BA42" s="1761"/>
      <c r="BB42" s="1761"/>
      <c r="BC42" s="1761"/>
      <c r="BD42" s="1761"/>
      <c r="BE42" s="1761"/>
      <c r="BF42" s="1761"/>
      <c r="BG42" s="1761"/>
      <c r="BH42" s="1761"/>
      <c r="BI42" s="1761"/>
    </row>
    <row r="43" spans="1:61" s="1762" customFormat="1" ht="60" customHeight="1" thickBot="1" x14ac:dyDescent="0.8">
      <c r="A43" s="1791" t="s">
        <v>1254</v>
      </c>
      <c r="B43" s="1765">
        <f>'[4]int.kiadások RM I'!B43</f>
        <v>1016902</v>
      </c>
      <c r="C43" s="1757">
        <f>'[4]int.kiadások RM III'!D43</f>
        <v>1104175</v>
      </c>
      <c r="D43" s="1765">
        <f>1102368</f>
        <v>1102368</v>
      </c>
      <c r="E43" s="1758">
        <f>D43/C43</f>
        <v>0.99836348404917696</v>
      </c>
      <c r="F43" s="1765">
        <f>'[4]int.kiadások RM I'!E43</f>
        <v>151327</v>
      </c>
      <c r="G43" s="1757">
        <f>'[4]int.kiadások RM III'!G43</f>
        <v>162836</v>
      </c>
      <c r="H43" s="1765">
        <v>161545</v>
      </c>
      <c r="I43" s="1758">
        <f>H43/G43</f>
        <v>0.99207177773956623</v>
      </c>
      <c r="J43" s="1765">
        <f>'[4]int.kiadások RM I'!H43</f>
        <v>275432</v>
      </c>
      <c r="K43" s="1757">
        <f>'[4]int.kiadások RM III'!J43</f>
        <v>289970</v>
      </c>
      <c r="L43" s="1765">
        <v>273494</v>
      </c>
      <c r="M43" s="1758">
        <f>L43/K43</f>
        <v>0.94318032899955173</v>
      </c>
      <c r="N43" s="1791" t="s">
        <v>1254</v>
      </c>
      <c r="O43" s="1765">
        <f>'[4]int.kiadások RM I'!L43</f>
        <v>0</v>
      </c>
      <c r="P43" s="1757">
        <f>'[4]int.kiadások RM III'!N43</f>
        <v>0</v>
      </c>
      <c r="Q43" s="1765"/>
      <c r="R43" s="1758"/>
      <c r="S43" s="1765">
        <f>'[4]int.kiadások RM I'!O43</f>
        <v>0</v>
      </c>
      <c r="T43" s="1765">
        <f>'[4]int.kiadások RM III'!Q43</f>
        <v>0</v>
      </c>
      <c r="U43" s="1765"/>
      <c r="V43" s="1758"/>
      <c r="W43" s="1759">
        <f>B43+F43+J43+O43+S43</f>
        <v>1443661</v>
      </c>
      <c r="X43" s="1759">
        <f>C43+G43+K43+P43+T43</f>
        <v>1556981</v>
      </c>
      <c r="Y43" s="1759">
        <f>D43+H43+L43+Q43+U43</f>
        <v>1537407</v>
      </c>
      <c r="Z43" s="1760">
        <f>Y43/X43</f>
        <v>0.9874282345128168</v>
      </c>
      <c r="AA43" s="1791" t="s">
        <v>1254</v>
      </c>
      <c r="AB43" s="1765">
        <f>'[4]int.kiadások RM I'!V43</f>
        <v>0</v>
      </c>
      <c r="AC43" s="1757">
        <f>'[4]int.kiadások RM III'!X43</f>
        <v>14796</v>
      </c>
      <c r="AD43" s="1765">
        <v>10549</v>
      </c>
      <c r="AE43" s="1758">
        <f>AD43/AC43</f>
        <v>0.71296296296296291</v>
      </c>
      <c r="AF43" s="1765">
        <f>'[4]int.kiadások RM I'!Y43</f>
        <v>0</v>
      </c>
      <c r="AG43" s="1757">
        <f>'[4]int.kiadások RM III'!AA43</f>
        <v>39294</v>
      </c>
      <c r="AH43" s="1765">
        <f>11296+1</f>
        <v>11297</v>
      </c>
      <c r="AI43" s="1758">
        <f>AH43/AG43</f>
        <v>0.28749936377055019</v>
      </c>
      <c r="AJ43" s="1765">
        <f>'[4]int.kiadások RM I'!AB43</f>
        <v>0</v>
      </c>
      <c r="AK43" s="1765">
        <f>'[4]int.kiadások RM III'!AD43</f>
        <v>0</v>
      </c>
      <c r="AL43" s="1765"/>
      <c r="AM43" s="1758"/>
      <c r="AN43" s="1791" t="s">
        <v>1254</v>
      </c>
      <c r="AO43" s="1759">
        <f>AB43+AF43+AJ43</f>
        <v>0</v>
      </c>
      <c r="AP43" s="1759">
        <f>AC43+AG43+AK43</f>
        <v>54090</v>
      </c>
      <c r="AQ43" s="1759">
        <f>AD43+AH43+AL43</f>
        <v>21846</v>
      </c>
      <c r="AR43" s="1760">
        <f>AQ43/AP43</f>
        <v>0.4038824181919024</v>
      </c>
      <c r="AS43" s="1759">
        <f>W43+AO43</f>
        <v>1443661</v>
      </c>
      <c r="AT43" s="1759">
        <f>X43+AP43</f>
        <v>1611071</v>
      </c>
      <c r="AU43" s="1759">
        <f>Y43+AQ43</f>
        <v>1559253</v>
      </c>
      <c r="AV43" s="1760">
        <f>AU43/AT43</f>
        <v>0.96783630268312193</v>
      </c>
      <c r="AW43" s="1761"/>
      <c r="AX43" s="1761"/>
      <c r="AY43" s="1761"/>
      <c r="AZ43" s="1761"/>
      <c r="BA43" s="1761"/>
      <c r="BB43" s="1761"/>
      <c r="BC43" s="1761"/>
      <c r="BD43" s="1761"/>
      <c r="BE43" s="1761"/>
      <c r="BF43" s="1761"/>
      <c r="BG43" s="1761"/>
      <c r="BH43" s="1761"/>
      <c r="BI43" s="1761"/>
    </row>
    <row r="44" spans="1:61" s="1762" customFormat="1" ht="60" customHeight="1" x14ac:dyDescent="0.75">
      <c r="A44" s="1784" t="s">
        <v>1255</v>
      </c>
      <c r="B44" s="1785"/>
      <c r="C44" s="1785"/>
      <c r="D44" s="1785"/>
      <c r="E44" s="1785"/>
      <c r="F44" s="1785"/>
      <c r="G44" s="1785"/>
      <c r="H44" s="1785"/>
      <c r="I44" s="1785"/>
      <c r="J44" s="1785"/>
      <c r="K44" s="1785"/>
      <c r="L44" s="1785"/>
      <c r="M44" s="1785"/>
      <c r="N44" s="1784" t="s">
        <v>1255</v>
      </c>
      <c r="O44" s="1785"/>
      <c r="P44" s="1785"/>
      <c r="Q44" s="1785"/>
      <c r="R44" s="1785"/>
      <c r="S44" s="1785"/>
      <c r="T44" s="1785"/>
      <c r="U44" s="1785"/>
      <c r="V44" s="1785"/>
      <c r="W44" s="1785"/>
      <c r="X44" s="1785"/>
      <c r="Y44" s="1785"/>
      <c r="Z44" s="1785"/>
      <c r="AA44" s="1784" t="s">
        <v>1255</v>
      </c>
      <c r="AB44" s="1785"/>
      <c r="AC44" s="1785"/>
      <c r="AD44" s="1785"/>
      <c r="AE44" s="1785"/>
      <c r="AF44" s="1785"/>
      <c r="AG44" s="1785"/>
      <c r="AH44" s="1785"/>
      <c r="AI44" s="1785"/>
      <c r="AJ44" s="1785"/>
      <c r="AK44" s="1785"/>
      <c r="AL44" s="1785"/>
      <c r="AM44" s="1785"/>
      <c r="AN44" s="1784" t="s">
        <v>1255</v>
      </c>
      <c r="AO44" s="1785"/>
      <c r="AP44" s="1785"/>
      <c r="AQ44" s="1785"/>
      <c r="AR44" s="1785"/>
      <c r="AS44" s="1785"/>
      <c r="AT44" s="1785"/>
      <c r="AU44" s="1785"/>
      <c r="AV44" s="1785"/>
      <c r="AW44" s="1761"/>
      <c r="AX44" s="1761"/>
      <c r="AY44" s="1761"/>
      <c r="AZ44" s="1761"/>
      <c r="BA44" s="1761"/>
      <c r="BB44" s="1761"/>
      <c r="BC44" s="1761"/>
      <c r="BD44" s="1761"/>
      <c r="BE44" s="1761"/>
      <c r="BF44" s="1761"/>
      <c r="BG44" s="1761"/>
      <c r="BH44" s="1761"/>
      <c r="BI44" s="1761"/>
    </row>
    <row r="45" spans="1:61" s="1762" customFormat="1" ht="60" customHeight="1" x14ac:dyDescent="0.75">
      <c r="A45" s="1792" t="s">
        <v>1256</v>
      </c>
      <c r="B45" s="1757">
        <f>'[4]int.kiadások RM I'!B45</f>
        <v>69496</v>
      </c>
      <c r="C45" s="1757">
        <f>'[4]int.kiadások RM III'!D45</f>
        <v>56922</v>
      </c>
      <c r="D45" s="1757">
        <v>56738</v>
      </c>
      <c r="E45" s="1758">
        <f>D45/C45</f>
        <v>0.99676750641228351</v>
      </c>
      <c r="F45" s="1757">
        <f>'[4]int.kiadások RM I'!E45</f>
        <v>9120</v>
      </c>
      <c r="G45" s="1757">
        <f>'[4]int.kiadások RM III'!G45</f>
        <v>7782</v>
      </c>
      <c r="H45" s="1757">
        <f>7710+1</f>
        <v>7711</v>
      </c>
      <c r="I45" s="1758">
        <f>H45/G45</f>
        <v>0.99087638139295808</v>
      </c>
      <c r="J45" s="1757">
        <f>'[4]int.kiadások RM I'!H45</f>
        <v>178858</v>
      </c>
      <c r="K45" s="1757">
        <f>'[4]int.kiadások RM III'!J45</f>
        <v>200434</v>
      </c>
      <c r="L45" s="1757">
        <v>171264</v>
      </c>
      <c r="M45" s="1758">
        <f>L45/K45</f>
        <v>0.85446580919404891</v>
      </c>
      <c r="N45" s="1792" t="s">
        <v>1256</v>
      </c>
      <c r="O45" s="1757">
        <f>'[4]int.kiadások RM I'!L45</f>
        <v>0</v>
      </c>
      <c r="P45" s="1757">
        <f>'[4]int.kiadások RM III'!N45</f>
        <v>0</v>
      </c>
      <c r="Q45" s="1757"/>
      <c r="R45" s="1758"/>
      <c r="S45" s="1757">
        <f>'[4]int.kiadások RM I'!O45</f>
        <v>0</v>
      </c>
      <c r="T45" s="1757">
        <f>'[4]int.kiadások RM III'!Q45</f>
        <v>0</v>
      </c>
      <c r="U45" s="1757"/>
      <c r="V45" s="1758"/>
      <c r="W45" s="1759">
        <f t="shared" ref="W45:Y46" si="13">B45+F45+J45+O45+S45</f>
        <v>257474</v>
      </c>
      <c r="X45" s="1759">
        <f t="shared" si="13"/>
        <v>265138</v>
      </c>
      <c r="Y45" s="1759">
        <f t="shared" si="13"/>
        <v>235713</v>
      </c>
      <c r="Z45" s="1760">
        <f>Y45/X45</f>
        <v>0.88902005747950119</v>
      </c>
      <c r="AA45" s="1792" t="s">
        <v>1256</v>
      </c>
      <c r="AB45" s="1757">
        <f>'[4]int.kiadások RM I'!V45</f>
        <v>0</v>
      </c>
      <c r="AC45" s="1757">
        <f>'[4]int.kiadások RM III'!X45</f>
        <v>7082</v>
      </c>
      <c r="AD45" s="1757">
        <v>5826</v>
      </c>
      <c r="AE45" s="1758">
        <f>AD45/AC45</f>
        <v>0.82264896921773512</v>
      </c>
      <c r="AF45" s="1757">
        <f>'[4]int.kiadások RM I'!Y45</f>
        <v>0</v>
      </c>
      <c r="AG45" s="1757">
        <f>'[4]int.kiadások RM III'!AA45</f>
        <v>4950</v>
      </c>
      <c r="AH45" s="1757">
        <v>4936</v>
      </c>
      <c r="AI45" s="1758">
        <f>AH45/AG45</f>
        <v>0.99717171717171715</v>
      </c>
      <c r="AJ45" s="1757">
        <f>'[4]int.kiadások RM I'!AB45</f>
        <v>0</v>
      </c>
      <c r="AK45" s="1757">
        <f>'[4]int.kiadások RM III'!AD45</f>
        <v>0</v>
      </c>
      <c r="AL45" s="1757"/>
      <c r="AM45" s="1758"/>
      <c r="AN45" s="1792" t="s">
        <v>1256</v>
      </c>
      <c r="AO45" s="1759">
        <f t="shared" ref="AO45:AQ46" si="14">AB45+AF45+AJ45</f>
        <v>0</v>
      </c>
      <c r="AP45" s="1759">
        <f t="shared" si="14"/>
        <v>12032</v>
      </c>
      <c r="AQ45" s="1759">
        <f t="shared" si="14"/>
        <v>10762</v>
      </c>
      <c r="AR45" s="1760">
        <f>AQ45/AP45</f>
        <v>0.89444813829787229</v>
      </c>
      <c r="AS45" s="1759">
        <f t="shared" ref="AS45:AU46" si="15">W45+AO45</f>
        <v>257474</v>
      </c>
      <c r="AT45" s="1759">
        <f t="shared" si="15"/>
        <v>277170</v>
      </c>
      <c r="AU45" s="1759">
        <f t="shared" si="15"/>
        <v>246475</v>
      </c>
      <c r="AV45" s="1760">
        <f>AU45/AT45</f>
        <v>0.88925569145289896</v>
      </c>
      <c r="AW45" s="1761"/>
      <c r="AX45" s="1761"/>
      <c r="AY45" s="1761"/>
      <c r="AZ45" s="1761"/>
      <c r="BA45" s="1761"/>
      <c r="BB45" s="1761"/>
      <c r="BC45" s="1761"/>
      <c r="BD45" s="1761"/>
      <c r="BE45" s="1761"/>
      <c r="BF45" s="1761"/>
      <c r="BG45" s="1761"/>
      <c r="BH45" s="1761"/>
      <c r="BI45" s="1761"/>
    </row>
    <row r="46" spans="1:61" s="1762" customFormat="1" ht="60" customHeight="1" thickBot="1" x14ac:dyDescent="0.8">
      <c r="A46" s="1793" t="s">
        <v>41</v>
      </c>
      <c r="B46" s="1794">
        <f>'[4]int.kiadások RM I'!B46</f>
        <v>1738555</v>
      </c>
      <c r="C46" s="1794">
        <f>'[4]int.kiadások RM III'!D46</f>
        <v>1923249</v>
      </c>
      <c r="D46" s="1794">
        <f>1775493-1</f>
        <v>1775492</v>
      </c>
      <c r="E46" s="1768">
        <f>D46/C46</f>
        <v>0.92317323445898058</v>
      </c>
      <c r="F46" s="1794">
        <f>'[4]int.kiadások RM I'!E46</f>
        <v>262476</v>
      </c>
      <c r="G46" s="1794">
        <f>'[4]int.kiadások RM III'!G46</f>
        <v>295542</v>
      </c>
      <c r="H46" s="1794">
        <v>262247</v>
      </c>
      <c r="I46" s="1768">
        <f>H46/G46</f>
        <v>0.88734257736633038</v>
      </c>
      <c r="J46" s="1794">
        <f>'[4]int.kiadások RM I'!H46</f>
        <v>495097</v>
      </c>
      <c r="K46" s="1794">
        <f>'[4]int.kiadások RM III'!J46</f>
        <v>520917</v>
      </c>
      <c r="L46" s="1794">
        <v>425952</v>
      </c>
      <c r="M46" s="1768">
        <f>L46/K46</f>
        <v>0.81769648523661154</v>
      </c>
      <c r="N46" s="1793" t="s">
        <v>41</v>
      </c>
      <c r="O46" s="1794">
        <f>'[4]int.kiadások RM I'!L46</f>
        <v>0</v>
      </c>
      <c r="P46" s="1794">
        <f>'[4]int.kiadások RM III'!N46</f>
        <v>0</v>
      </c>
      <c r="Q46" s="1793"/>
      <c r="R46" s="1768"/>
      <c r="S46" s="1794">
        <f>'[4]int.kiadások RM I'!O46</f>
        <v>2000</v>
      </c>
      <c r="T46" s="1794">
        <f>'[4]int.kiadások RM III'!Q46</f>
        <v>9628</v>
      </c>
      <c r="U46" s="1794">
        <v>9628</v>
      </c>
      <c r="V46" s="1768">
        <f>U46/T46</f>
        <v>1</v>
      </c>
      <c r="W46" s="1795">
        <f t="shared" si="13"/>
        <v>2498128</v>
      </c>
      <c r="X46" s="1795">
        <f t="shared" si="13"/>
        <v>2749336</v>
      </c>
      <c r="Y46" s="1795">
        <f t="shared" si="13"/>
        <v>2473319</v>
      </c>
      <c r="Z46" s="1796">
        <f>Y46/X46</f>
        <v>0.89960594121635185</v>
      </c>
      <c r="AA46" s="1793" t="s">
        <v>41</v>
      </c>
      <c r="AB46" s="1794">
        <f>'[4]int.kiadások RM I'!V46</f>
        <v>18000</v>
      </c>
      <c r="AC46" s="1794">
        <f>'[4]int.kiadások RM III'!X46</f>
        <v>47002</v>
      </c>
      <c r="AD46" s="1794">
        <v>40728</v>
      </c>
      <c r="AE46" s="1768">
        <f>AD46/AC46</f>
        <v>0.86651631845453381</v>
      </c>
      <c r="AF46" s="1794">
        <f>'[4]int.kiadások RM I'!Y46</f>
        <v>0</v>
      </c>
      <c r="AG46" s="1794">
        <f>'[4]int.kiadások RM III'!AA46</f>
        <v>0</v>
      </c>
      <c r="AH46" s="1794"/>
      <c r="AI46" s="1768"/>
      <c r="AJ46" s="1794">
        <f>'[4]int.kiadások RM I'!AB46</f>
        <v>0</v>
      </c>
      <c r="AK46" s="1794">
        <f>'[4]int.kiadások RM III'!AD46</f>
        <v>0</v>
      </c>
      <c r="AL46" s="1793"/>
      <c r="AM46" s="1793"/>
      <c r="AN46" s="1793" t="s">
        <v>41</v>
      </c>
      <c r="AO46" s="1795">
        <f t="shared" si="14"/>
        <v>18000</v>
      </c>
      <c r="AP46" s="1795">
        <f t="shared" si="14"/>
        <v>47002</v>
      </c>
      <c r="AQ46" s="1795">
        <f t="shared" si="14"/>
        <v>40728</v>
      </c>
      <c r="AR46" s="1796">
        <f>AQ46/AP46</f>
        <v>0.86651631845453381</v>
      </c>
      <c r="AS46" s="1795">
        <f t="shared" si="15"/>
        <v>2516128</v>
      </c>
      <c r="AT46" s="1795">
        <f t="shared" si="15"/>
        <v>2796338</v>
      </c>
      <c r="AU46" s="1795">
        <f t="shared" si="15"/>
        <v>2514047</v>
      </c>
      <c r="AV46" s="1796">
        <f>AU46/AT46</f>
        <v>0.89904975721819036</v>
      </c>
      <c r="AW46" s="1761"/>
      <c r="AX46" s="1761"/>
      <c r="AY46" s="1761"/>
      <c r="AZ46" s="1761"/>
      <c r="BA46" s="1761"/>
      <c r="BB46" s="1761"/>
      <c r="BC46" s="1761"/>
      <c r="BD46" s="1761"/>
      <c r="BE46" s="1761"/>
      <c r="BF46" s="1761"/>
      <c r="BG46" s="1761"/>
      <c r="BH46" s="1761"/>
      <c r="BI46" s="1761"/>
    </row>
    <row r="47" spans="1:61" s="1762" customFormat="1" ht="60" customHeight="1" thickBot="1" x14ac:dyDescent="0.8">
      <c r="A47" s="1797" t="s">
        <v>1257</v>
      </c>
      <c r="B47" s="1798">
        <f>SUM(B45:B46)</f>
        <v>1808051</v>
      </c>
      <c r="C47" s="1798">
        <f>SUM(C45:C46)</f>
        <v>1980171</v>
      </c>
      <c r="D47" s="1798">
        <f>SUM(D45:D46)</f>
        <v>1832230</v>
      </c>
      <c r="E47" s="1775">
        <f>D47/C47</f>
        <v>0.92528877556534261</v>
      </c>
      <c r="F47" s="1798">
        <f>SUM(F45:F46)</f>
        <v>271596</v>
      </c>
      <c r="G47" s="1798">
        <f>SUM(G45:G46)</f>
        <v>303324</v>
      </c>
      <c r="H47" s="1798">
        <f>SUM(H45:H46)</f>
        <v>269958</v>
      </c>
      <c r="I47" s="1775">
        <f>H47/G47</f>
        <v>0.88999881315029472</v>
      </c>
      <c r="J47" s="1798">
        <f>SUM(J45:J46)</f>
        <v>673955</v>
      </c>
      <c r="K47" s="1798">
        <f>SUM(K45:K46)</f>
        <v>721351</v>
      </c>
      <c r="L47" s="1798">
        <f>SUM(L45:L46)</f>
        <v>597216</v>
      </c>
      <c r="M47" s="1775">
        <f>L47/K47</f>
        <v>0.82791317957554644</v>
      </c>
      <c r="N47" s="1797" t="s">
        <v>1257</v>
      </c>
      <c r="O47" s="1798">
        <f>SUM(O45:O46)</f>
        <v>0</v>
      </c>
      <c r="P47" s="1798">
        <f>SUM(P45:P46)</f>
        <v>0</v>
      </c>
      <c r="Q47" s="1798">
        <f>SUM(Q45:Q46)</f>
        <v>0</v>
      </c>
      <c r="R47" s="1775"/>
      <c r="S47" s="1798">
        <f>SUM(S45:S46)</f>
        <v>2000</v>
      </c>
      <c r="T47" s="1798">
        <f>SUM(T45:T46)</f>
        <v>9628</v>
      </c>
      <c r="U47" s="1798">
        <f>SUM(U45:U46)</f>
        <v>9628</v>
      </c>
      <c r="V47" s="1775">
        <f>U47/T47</f>
        <v>1</v>
      </c>
      <c r="W47" s="1798">
        <f>SUM(W45:W46)</f>
        <v>2755602</v>
      </c>
      <c r="X47" s="1798">
        <f>SUM(X45:X46)</f>
        <v>3014474</v>
      </c>
      <c r="Y47" s="1798">
        <f>SUM(Y45:Y46)</f>
        <v>2709032</v>
      </c>
      <c r="Z47" s="1775">
        <f>Y47/X47</f>
        <v>0.89867486002533115</v>
      </c>
      <c r="AA47" s="1797" t="s">
        <v>1257</v>
      </c>
      <c r="AB47" s="1798">
        <f>SUM(AB45:AB46)</f>
        <v>18000</v>
      </c>
      <c r="AC47" s="1798">
        <f>SUM(AC45:AC46)</f>
        <v>54084</v>
      </c>
      <c r="AD47" s="1798">
        <f>SUM(AD45:AD46)</f>
        <v>46554</v>
      </c>
      <c r="AE47" s="1775">
        <f>AD47/AC47</f>
        <v>0.86077213223873972</v>
      </c>
      <c r="AF47" s="1798">
        <f>SUM(AF45:AF46)</f>
        <v>0</v>
      </c>
      <c r="AG47" s="1798">
        <f>SUM(AG45:AG46)</f>
        <v>4950</v>
      </c>
      <c r="AH47" s="1798">
        <f>SUM(AH45:AH46)</f>
        <v>4936</v>
      </c>
      <c r="AI47" s="1775">
        <f>AH47/AG47</f>
        <v>0.99717171717171715</v>
      </c>
      <c r="AJ47" s="1798">
        <f>SUM(AJ45:AJ46)</f>
        <v>0</v>
      </c>
      <c r="AK47" s="1798">
        <f>SUM(AK45:AK46)</f>
        <v>0</v>
      </c>
      <c r="AL47" s="1798">
        <f>SUM(AL45:AL46)</f>
        <v>0</v>
      </c>
      <c r="AM47" s="1775"/>
      <c r="AN47" s="1797" t="s">
        <v>1257</v>
      </c>
      <c r="AO47" s="1798">
        <f>SUM(AO45:AO46)</f>
        <v>18000</v>
      </c>
      <c r="AP47" s="1798">
        <f>SUM(AP45:AP46)</f>
        <v>59034</v>
      </c>
      <c r="AQ47" s="1798">
        <f>SUM(AQ45:AQ46)</f>
        <v>51490</v>
      </c>
      <c r="AR47" s="1775">
        <f>AQ47/AP47</f>
        <v>0.87220923535589656</v>
      </c>
      <c r="AS47" s="1798">
        <f>SUM(AS45:AS46)</f>
        <v>2773602</v>
      </c>
      <c r="AT47" s="1798">
        <f>SUM(AT45:AT46)</f>
        <v>3073508</v>
      </c>
      <c r="AU47" s="1798">
        <f>SUM(AU45:AU46)</f>
        <v>2760522</v>
      </c>
      <c r="AV47" s="1775">
        <f>AU47/AT47</f>
        <v>0.89816652502612648</v>
      </c>
      <c r="AW47" s="1761"/>
      <c r="AX47" s="1761"/>
      <c r="AY47" s="1761"/>
      <c r="AZ47" s="1761"/>
      <c r="BA47" s="1761"/>
      <c r="BB47" s="1761"/>
      <c r="BC47" s="1761"/>
      <c r="BD47" s="1761"/>
      <c r="BE47" s="1761"/>
      <c r="BF47" s="1761"/>
      <c r="BG47" s="1761"/>
      <c r="BH47" s="1761"/>
      <c r="BI47" s="1761"/>
    </row>
    <row r="48" spans="1:61" s="1762" customFormat="1" ht="60" customHeight="1" thickBot="1" x14ac:dyDescent="0.8">
      <c r="A48" s="1797" t="s">
        <v>1258</v>
      </c>
      <c r="B48" s="1795">
        <f>B37+B39+B41+B43+B47</f>
        <v>5415762</v>
      </c>
      <c r="C48" s="1795">
        <f>C37+C39+C41+C43+C47</f>
        <v>6268964</v>
      </c>
      <c r="D48" s="1795">
        <f>D37+D39+D41+D43+D47</f>
        <v>5893447</v>
      </c>
      <c r="E48" s="1771">
        <f>D48/C48</f>
        <v>0.94009903390735694</v>
      </c>
      <c r="F48" s="1795">
        <f>F37+F39+F41+F43+F47</f>
        <v>787355</v>
      </c>
      <c r="G48" s="1795">
        <f>G37+G39+G41+G43+G47</f>
        <v>892263</v>
      </c>
      <c r="H48" s="1795">
        <f>H37+H39+H41+H43+H47</f>
        <v>810955</v>
      </c>
      <c r="I48" s="1771">
        <f>H48/G48</f>
        <v>0.90887440138165543</v>
      </c>
      <c r="J48" s="1795">
        <f>J37+J39+J41+J43+J47</f>
        <v>2218041</v>
      </c>
      <c r="K48" s="1795">
        <f>K37+K39+K41+K43+K47</f>
        <v>3196216</v>
      </c>
      <c r="L48" s="1795">
        <f>L37+L39+L41+L43+L47</f>
        <v>2621755</v>
      </c>
      <c r="M48" s="1771">
        <f>L48/K48</f>
        <v>0.82026840488878094</v>
      </c>
      <c r="N48" s="1797" t="s">
        <v>1258</v>
      </c>
      <c r="O48" s="1795">
        <f>O37+O39+O41+O43+O47</f>
        <v>0</v>
      </c>
      <c r="P48" s="1795">
        <f>P37+P39+P41+P43+P47</f>
        <v>0</v>
      </c>
      <c r="Q48" s="1795">
        <f>Q37+Q39+Q41+Q43+Q47</f>
        <v>0</v>
      </c>
      <c r="R48" s="1771"/>
      <c r="S48" s="1795">
        <f>S37+S39+S41+S43+S47</f>
        <v>2000</v>
      </c>
      <c r="T48" s="1795">
        <f>T37+T39+T41+T43+T47</f>
        <v>19798</v>
      </c>
      <c r="U48" s="1795">
        <f>U37+U39+U41+U43+U47</f>
        <v>19797</v>
      </c>
      <c r="V48" s="1771">
        <f>U48/T48</f>
        <v>0.99994948984745935</v>
      </c>
      <c r="W48" s="1795">
        <f>W37+W39+W41+W43+W47</f>
        <v>8423158</v>
      </c>
      <c r="X48" s="1795">
        <f>X37+X39+X41+X43+X47</f>
        <v>10377241</v>
      </c>
      <c r="Y48" s="1795">
        <f>Y37+Y39+Y41+Y43+Y47</f>
        <v>9345954</v>
      </c>
      <c r="Z48" s="1771">
        <f>Y48/X48</f>
        <v>0.90062030938666648</v>
      </c>
      <c r="AA48" s="1797" t="s">
        <v>1258</v>
      </c>
      <c r="AB48" s="1795">
        <f>AB37+AB39+AB41+AB43+AB47</f>
        <v>22773</v>
      </c>
      <c r="AC48" s="1795">
        <f>AC37+AC39+AC41+AC43+AC47</f>
        <v>198069</v>
      </c>
      <c r="AD48" s="1795">
        <f>AD37+AD39+AD41+AD43+AD47</f>
        <v>115023</v>
      </c>
      <c r="AE48" s="1771">
        <f>AD48/AC48</f>
        <v>0.58072186965148509</v>
      </c>
      <c r="AF48" s="1795">
        <f>AF37+AF39+AF41+AF43+AF47</f>
        <v>0</v>
      </c>
      <c r="AG48" s="1795">
        <f>AG37+AG39+AG41+AG43+AG47</f>
        <v>145758</v>
      </c>
      <c r="AH48" s="1795">
        <f>AH37+AH39+AH41+AH43+AH47</f>
        <v>52459</v>
      </c>
      <c r="AI48" s="1771">
        <f>AH48/AG48</f>
        <v>0.35990477366593943</v>
      </c>
      <c r="AJ48" s="1795">
        <f>AJ37+AJ39+AJ41+AJ43+AJ47</f>
        <v>0</v>
      </c>
      <c r="AK48" s="1795">
        <f>AK37+AK39+AK41+AK43+AK47</f>
        <v>0</v>
      </c>
      <c r="AL48" s="1795">
        <f>AL37+AL39+AL41+AL43+AL47</f>
        <v>0</v>
      </c>
      <c r="AM48" s="1771"/>
      <c r="AN48" s="1797" t="s">
        <v>1258</v>
      </c>
      <c r="AO48" s="1795">
        <f>AO37+AO39+AO41+AO43+AO47</f>
        <v>22773</v>
      </c>
      <c r="AP48" s="1795">
        <f>AP37+AP39+AP41+AP43+AP47</f>
        <v>343827</v>
      </c>
      <c r="AQ48" s="1795">
        <f>AQ37+AQ39+AQ41+AQ43+AQ47</f>
        <v>167482</v>
      </c>
      <c r="AR48" s="1771">
        <f>AQ48/AP48</f>
        <v>0.4871112507162032</v>
      </c>
      <c r="AS48" s="1795">
        <f>AS37+AS39+AS41+AS43+AS47</f>
        <v>8445931</v>
      </c>
      <c r="AT48" s="1795">
        <f>AT37+AT39+AT41+AT43+AT47</f>
        <v>10721068</v>
      </c>
      <c r="AU48" s="1795">
        <f>AU37+AU39+AU41+AU43+AU47</f>
        <v>9513436</v>
      </c>
      <c r="AV48" s="1771">
        <f>AU48/AT48</f>
        <v>0.88735898326547313</v>
      </c>
      <c r="AW48" s="1761"/>
      <c r="AX48" s="1761"/>
      <c r="AY48" s="1761"/>
      <c r="AZ48" s="1761"/>
      <c r="BA48" s="1761"/>
      <c r="BB48" s="1761"/>
      <c r="BC48" s="1761"/>
      <c r="BD48" s="1761"/>
      <c r="BE48" s="1761"/>
      <c r="BF48" s="1761"/>
      <c r="BG48" s="1761"/>
      <c r="BH48" s="1761"/>
      <c r="BI48" s="1761"/>
    </row>
    <row r="49" spans="1:61" s="1762" customFormat="1" ht="60" customHeight="1" thickBot="1" x14ac:dyDescent="0.8">
      <c r="A49" s="1799" t="s">
        <v>1259</v>
      </c>
      <c r="B49" s="1770">
        <f>B30+B48</f>
        <v>7762716</v>
      </c>
      <c r="C49" s="1770">
        <f>C30+C48</f>
        <v>8694425</v>
      </c>
      <c r="D49" s="1770">
        <f>D30+D48</f>
        <v>8196111</v>
      </c>
      <c r="E49" s="1771">
        <f>D49/C49</f>
        <v>0.94268580153374149</v>
      </c>
      <c r="F49" s="1770">
        <f>F30+F48</f>
        <v>1116349</v>
      </c>
      <c r="G49" s="1770">
        <f>G30+G48</f>
        <v>1232210</v>
      </c>
      <c r="H49" s="1770">
        <f>H30+H48</f>
        <v>1109026</v>
      </c>
      <c r="I49" s="1771">
        <f>H49/G49</f>
        <v>0.90003002734923432</v>
      </c>
      <c r="J49" s="1770">
        <f>J30+J48</f>
        <v>4192770</v>
      </c>
      <c r="K49" s="1770">
        <f>K30+K48</f>
        <v>5435040</v>
      </c>
      <c r="L49" s="1770">
        <f>L30+L48</f>
        <v>4635544</v>
      </c>
      <c r="M49" s="1771">
        <f>L49/K49</f>
        <v>0.85289970267008153</v>
      </c>
      <c r="N49" s="1799" t="s">
        <v>1259</v>
      </c>
      <c r="O49" s="1770">
        <f>O30+O48</f>
        <v>0</v>
      </c>
      <c r="P49" s="1770">
        <f>P30+P48</f>
        <v>0</v>
      </c>
      <c r="Q49" s="1770">
        <f>Q30+Q48</f>
        <v>0</v>
      </c>
      <c r="R49" s="1771"/>
      <c r="S49" s="1770">
        <f>S30+S48</f>
        <v>2000</v>
      </c>
      <c r="T49" s="1770">
        <f>T30+T48</f>
        <v>19798</v>
      </c>
      <c r="U49" s="1770">
        <f>U30+U48</f>
        <v>19797</v>
      </c>
      <c r="V49" s="1771">
        <f>U49/T49</f>
        <v>0.99994948984745935</v>
      </c>
      <c r="W49" s="1770">
        <f>W30+W48</f>
        <v>13073835</v>
      </c>
      <c r="X49" s="1770">
        <f>X30+X48</f>
        <v>15381473</v>
      </c>
      <c r="Y49" s="1770">
        <f>Y30+Y48</f>
        <v>13960478</v>
      </c>
      <c r="Z49" s="1771">
        <f>Y49/X49</f>
        <v>0.90761645519905665</v>
      </c>
      <c r="AA49" s="1799" t="s">
        <v>1259</v>
      </c>
      <c r="AB49" s="1770">
        <f>AB30+AB48</f>
        <v>22773</v>
      </c>
      <c r="AC49" s="1770">
        <f>AC30+AC48</f>
        <v>352783</v>
      </c>
      <c r="AD49" s="1770">
        <f>AD30+AD48</f>
        <v>175745</v>
      </c>
      <c r="AE49" s="1771">
        <f>AD49/AC49</f>
        <v>0.49816742870263025</v>
      </c>
      <c r="AF49" s="1770">
        <f>AF30+AF48</f>
        <v>0</v>
      </c>
      <c r="AG49" s="1770">
        <f>AG30+AG48</f>
        <v>180033</v>
      </c>
      <c r="AH49" s="1770">
        <f>AH30+AH48</f>
        <v>85308</v>
      </c>
      <c r="AI49" s="1771">
        <f>AH49/AG49</f>
        <v>0.47384646148206161</v>
      </c>
      <c r="AJ49" s="1770">
        <f>AJ30+AJ48</f>
        <v>0</v>
      </c>
      <c r="AK49" s="1770">
        <f>AK30+AK48</f>
        <v>0</v>
      </c>
      <c r="AL49" s="1770">
        <f>AL30+AL48</f>
        <v>0</v>
      </c>
      <c r="AM49" s="1771"/>
      <c r="AN49" s="1799" t="s">
        <v>1259</v>
      </c>
      <c r="AO49" s="1770">
        <f>AO30+AO48</f>
        <v>22773</v>
      </c>
      <c r="AP49" s="1770">
        <f>AP30+AP48</f>
        <v>532816</v>
      </c>
      <c r="AQ49" s="1770">
        <f>AQ30+AQ48</f>
        <v>261053</v>
      </c>
      <c r="AR49" s="1771">
        <f>AQ49/AP49</f>
        <v>0.48994962613735321</v>
      </c>
      <c r="AS49" s="1770">
        <f>AS30+AS48</f>
        <v>13096608</v>
      </c>
      <c r="AT49" s="1770">
        <f>AT30+AT48</f>
        <v>15914289</v>
      </c>
      <c r="AU49" s="1770">
        <f>AU30+AU48</f>
        <v>14221531</v>
      </c>
      <c r="AV49" s="1771">
        <f>AU49/AT49</f>
        <v>0.89363282267904021</v>
      </c>
      <c r="AW49" s="1761"/>
      <c r="AX49" s="1761"/>
      <c r="AY49" s="1761"/>
      <c r="AZ49" s="1761"/>
      <c r="BA49" s="1761"/>
      <c r="BB49" s="1761"/>
      <c r="BC49" s="1761"/>
      <c r="BD49" s="1761"/>
      <c r="BE49" s="1761"/>
      <c r="BF49" s="1761"/>
      <c r="BG49" s="1761"/>
      <c r="BH49" s="1761"/>
      <c r="BI49" s="1761"/>
    </row>
    <row r="50" spans="1:61" ht="49.5" customHeight="1" x14ac:dyDescent="0.7">
      <c r="A50" s="768"/>
      <c r="B50" s="789"/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68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8"/>
      <c r="AB50" s="768"/>
      <c r="AC50" s="768"/>
      <c r="AD50" s="768"/>
      <c r="AE50" s="768"/>
      <c r="AF50" s="768"/>
      <c r="AG50" s="768"/>
      <c r="AH50" s="768"/>
      <c r="AI50" s="768"/>
      <c r="AJ50" s="768"/>
      <c r="AK50" s="768"/>
      <c r="AL50" s="768"/>
      <c r="AM50" s="768"/>
      <c r="AN50" s="788"/>
      <c r="AO50" s="768"/>
      <c r="AP50" s="768"/>
      <c r="AQ50" s="768"/>
      <c r="AR50" s="768"/>
      <c r="AS50" s="768"/>
      <c r="AT50" s="768"/>
      <c r="AU50" s="768"/>
      <c r="AV50" s="768"/>
      <c r="AW50" s="790"/>
      <c r="AX50" s="790"/>
      <c r="AY50" s="790"/>
      <c r="AZ50" s="790"/>
      <c r="BA50" s="790"/>
      <c r="BB50" s="776"/>
      <c r="BC50" s="776"/>
      <c r="BD50" s="776"/>
      <c r="BE50" s="776"/>
      <c r="BF50" s="776"/>
      <c r="BG50" s="776"/>
      <c r="BH50" s="776"/>
      <c r="BI50" s="776"/>
    </row>
    <row r="51" spans="1:61" ht="49.5" customHeight="1" x14ac:dyDescent="0.7">
      <c r="A51" s="768"/>
      <c r="B51" s="789"/>
      <c r="C51" s="789"/>
      <c r="D51" s="789"/>
      <c r="E51" s="789"/>
      <c r="F51" s="789"/>
      <c r="G51" s="789"/>
      <c r="H51" s="789"/>
      <c r="I51" s="789"/>
      <c r="J51" s="789"/>
      <c r="K51" s="789"/>
      <c r="L51" s="789"/>
      <c r="M51" s="789"/>
      <c r="N51" s="768"/>
      <c r="O51" s="789"/>
      <c r="P51" s="789"/>
      <c r="Q51" s="789"/>
      <c r="R51" s="789"/>
      <c r="S51" s="789"/>
      <c r="T51" s="789"/>
      <c r="U51" s="789"/>
      <c r="V51" s="789"/>
      <c r="W51" s="789"/>
      <c r="X51" s="789"/>
      <c r="Y51" s="789"/>
      <c r="Z51" s="789"/>
      <c r="AA51" s="788"/>
      <c r="AB51" s="768"/>
      <c r="AC51" s="768"/>
      <c r="AD51" s="768"/>
      <c r="AE51" s="768"/>
      <c r="AF51" s="768"/>
      <c r="AG51" s="768"/>
      <c r="AH51" s="768"/>
      <c r="AI51" s="768"/>
      <c r="AJ51" s="768"/>
      <c r="AK51" s="768"/>
      <c r="AL51" s="768"/>
      <c r="AM51" s="768"/>
      <c r="AN51" s="788"/>
      <c r="AO51" s="768"/>
      <c r="AP51" s="768"/>
      <c r="AQ51" s="768"/>
      <c r="AR51" s="768"/>
      <c r="AS51" s="768"/>
      <c r="AT51" s="768"/>
      <c r="AU51" s="768"/>
      <c r="AV51" s="768"/>
      <c r="AW51" s="790"/>
      <c r="AX51" s="790"/>
      <c r="AY51" s="790"/>
      <c r="AZ51" s="790"/>
      <c r="BA51" s="790"/>
      <c r="BB51" s="776"/>
      <c r="BC51" s="776"/>
      <c r="BD51" s="776"/>
      <c r="BE51" s="776"/>
      <c r="BF51" s="776"/>
      <c r="BG51" s="776"/>
      <c r="BH51" s="776"/>
      <c r="BI51" s="776"/>
    </row>
    <row r="52" spans="1:61" ht="49.5" customHeight="1" x14ac:dyDescent="0.7">
      <c r="A52" s="758"/>
      <c r="B52" s="789"/>
      <c r="C52" s="789"/>
      <c r="D52" s="789"/>
      <c r="E52" s="789"/>
      <c r="F52" s="789"/>
      <c r="G52" s="789"/>
      <c r="H52" s="789"/>
      <c r="I52" s="789"/>
      <c r="J52" s="789"/>
      <c r="K52" s="789"/>
      <c r="L52" s="789"/>
      <c r="M52" s="789"/>
      <c r="N52" s="758"/>
      <c r="O52" s="789"/>
      <c r="P52" s="789"/>
      <c r="Q52" s="789"/>
      <c r="R52" s="789"/>
      <c r="S52" s="789"/>
      <c r="T52" s="789"/>
      <c r="U52" s="789"/>
      <c r="V52" s="789"/>
      <c r="W52" s="789"/>
      <c r="X52" s="789"/>
      <c r="Y52" s="789"/>
      <c r="Z52" s="789"/>
      <c r="AA52" s="791"/>
      <c r="AB52" s="758"/>
      <c r="AC52" s="758"/>
      <c r="AD52" s="758"/>
      <c r="AE52" s="758"/>
      <c r="AF52" s="758"/>
      <c r="AG52" s="758"/>
      <c r="AH52" s="758"/>
      <c r="AI52" s="758"/>
      <c r="AJ52" s="758"/>
      <c r="AK52" s="758"/>
      <c r="AL52" s="758"/>
      <c r="AM52" s="758"/>
      <c r="AN52" s="791"/>
      <c r="AO52" s="758"/>
      <c r="AP52" s="758"/>
      <c r="AQ52" s="758"/>
      <c r="AR52" s="758"/>
      <c r="AS52" s="758"/>
      <c r="AT52" s="758"/>
      <c r="AU52" s="758"/>
      <c r="AV52" s="758"/>
      <c r="AW52" s="790"/>
      <c r="AX52" s="790"/>
      <c r="AY52" s="790"/>
      <c r="AZ52" s="790"/>
      <c r="BA52" s="790"/>
      <c r="BB52" s="776"/>
      <c r="BC52" s="776"/>
      <c r="BD52" s="776"/>
      <c r="BE52" s="776"/>
      <c r="BF52" s="776"/>
      <c r="BG52" s="776"/>
      <c r="BH52" s="776"/>
      <c r="BI52" s="776"/>
    </row>
    <row r="53" spans="1:61" ht="49.5" customHeight="1" x14ac:dyDescent="0.6">
      <c r="A53" s="792"/>
      <c r="B53" s="793"/>
      <c r="C53" s="793"/>
      <c r="D53" s="793"/>
      <c r="E53" s="793"/>
      <c r="F53" s="793"/>
      <c r="G53" s="793"/>
      <c r="H53" s="793"/>
      <c r="I53" s="793"/>
      <c r="J53" s="793"/>
      <c r="K53" s="793"/>
      <c r="L53" s="793"/>
      <c r="M53" s="793"/>
      <c r="N53" s="792"/>
      <c r="O53" s="793"/>
      <c r="P53" s="793"/>
      <c r="Q53" s="793"/>
      <c r="R53" s="793"/>
      <c r="S53" s="793"/>
      <c r="T53" s="793"/>
      <c r="U53" s="793"/>
      <c r="V53" s="793"/>
      <c r="W53" s="793"/>
      <c r="X53" s="793"/>
      <c r="Y53" s="793"/>
      <c r="Z53" s="793"/>
      <c r="AA53" s="794"/>
      <c r="AB53" s="792"/>
      <c r="AC53" s="792"/>
      <c r="AD53" s="792"/>
      <c r="AE53" s="792"/>
      <c r="AF53" s="762"/>
      <c r="AG53" s="762"/>
      <c r="AH53" s="762"/>
      <c r="AI53" s="762"/>
      <c r="AJ53" s="792"/>
      <c r="AK53" s="792"/>
      <c r="AL53" s="792"/>
      <c r="AM53" s="792"/>
      <c r="AN53" s="794"/>
      <c r="AO53" s="792"/>
      <c r="AP53" s="792"/>
      <c r="AQ53" s="792"/>
      <c r="AR53" s="792"/>
      <c r="AS53" s="762"/>
      <c r="AT53" s="762"/>
      <c r="AU53" s="762"/>
      <c r="AV53" s="762"/>
      <c r="AW53" s="795"/>
      <c r="AX53" s="795"/>
      <c r="AY53" s="795"/>
      <c r="AZ53" s="795"/>
      <c r="BA53" s="795"/>
    </row>
  </sheetData>
  <mergeCells count="19">
    <mergeCell ref="B5:E7"/>
    <mergeCell ref="F5:I7"/>
    <mergeCell ref="J5:M7"/>
    <mergeCell ref="O5:R7"/>
    <mergeCell ref="S5:V7"/>
    <mergeCell ref="A2:M2"/>
    <mergeCell ref="N2:Z2"/>
    <mergeCell ref="AA2:AM2"/>
    <mergeCell ref="AN2:AV2"/>
    <mergeCell ref="A3:M3"/>
    <mergeCell ref="N3:Z3"/>
    <mergeCell ref="AA3:AM3"/>
    <mergeCell ref="AN3:AV3"/>
    <mergeCell ref="AF5:AI7"/>
    <mergeCell ref="AJ5:AM7"/>
    <mergeCell ref="AO5:AR7"/>
    <mergeCell ref="AS5:AV7"/>
    <mergeCell ref="W5:Z7"/>
    <mergeCell ref="AB5:AE7"/>
  </mergeCells>
  <printOptions horizontalCentered="1" verticalCentered="1"/>
  <pageMargins left="0" right="0" top="0" bottom="0" header="0" footer="0"/>
  <pageSetup paperSize="9" scale="18" orientation="landscape" r:id="rId1"/>
  <headerFooter alignWithMargins="0">
    <oddHeader xml:space="preserve">&amp;R&amp;26
 &amp;"-,Félkövér"&amp;20 &amp;48 6. melléklet a 10/2024.(V.31.) önkormányzati rendelethez 
</oddHeader>
    <oddFooter xml:space="preserve">&amp;C &amp;R
&amp;36 &amp;10
</oddFooter>
  </headerFooter>
  <colBreaks count="3" manualBreakCount="3">
    <brk id="13" max="53" man="1"/>
    <brk id="26" max="53" man="1"/>
    <brk id="39" max="5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15D9-BE1F-43F6-BE1A-3D311F84CED5}">
  <dimension ref="A1:V58"/>
  <sheetViews>
    <sheetView zoomScale="50" zoomScaleNormal="50" zoomScaleSheetLayoutView="40" workbookViewId="0">
      <selection activeCell="A57" sqref="A57"/>
    </sheetView>
  </sheetViews>
  <sheetFormatPr defaultColWidth="12" defaultRowHeight="33.75" x14ac:dyDescent="0.5"/>
  <cols>
    <col min="1" max="1" width="151" style="800" customWidth="1"/>
    <col min="2" max="2" width="60.83203125" style="804" customWidth="1"/>
    <col min="3" max="3" width="50.5" style="804" customWidth="1"/>
    <col min="4" max="5" width="60.83203125" style="804" customWidth="1"/>
    <col min="6" max="6" width="60.6640625" style="804" customWidth="1"/>
    <col min="7" max="7" width="60.83203125" style="804" customWidth="1"/>
    <col min="8" max="8" width="12" style="804" customWidth="1"/>
    <col min="9" max="9" width="22.5" style="805" customWidth="1"/>
    <col min="10" max="256" width="12" style="804"/>
    <col min="257" max="257" width="151" style="804" customWidth="1"/>
    <col min="258" max="258" width="60.83203125" style="804" customWidth="1"/>
    <col min="259" max="259" width="50.5" style="804" customWidth="1"/>
    <col min="260" max="261" width="60.83203125" style="804" customWidth="1"/>
    <col min="262" max="262" width="60.6640625" style="804" customWidth="1"/>
    <col min="263" max="263" width="60.83203125" style="804" customWidth="1"/>
    <col min="264" max="264" width="12" style="804" customWidth="1"/>
    <col min="265" max="265" width="22.5" style="804" customWidth="1"/>
    <col min="266" max="512" width="12" style="804"/>
    <col min="513" max="513" width="151" style="804" customWidth="1"/>
    <col min="514" max="514" width="60.83203125" style="804" customWidth="1"/>
    <col min="515" max="515" width="50.5" style="804" customWidth="1"/>
    <col min="516" max="517" width="60.83203125" style="804" customWidth="1"/>
    <col min="518" max="518" width="60.6640625" style="804" customWidth="1"/>
    <col min="519" max="519" width="60.83203125" style="804" customWidth="1"/>
    <col min="520" max="520" width="12" style="804" customWidth="1"/>
    <col min="521" max="521" width="22.5" style="804" customWidth="1"/>
    <col min="522" max="768" width="12" style="804"/>
    <col min="769" max="769" width="151" style="804" customWidth="1"/>
    <col min="770" max="770" width="60.83203125" style="804" customWidth="1"/>
    <col min="771" max="771" width="50.5" style="804" customWidth="1"/>
    <col min="772" max="773" width="60.83203125" style="804" customWidth="1"/>
    <col min="774" max="774" width="60.6640625" style="804" customWidth="1"/>
    <col min="775" max="775" width="60.83203125" style="804" customWidth="1"/>
    <col min="776" max="776" width="12" style="804" customWidth="1"/>
    <col min="777" max="777" width="22.5" style="804" customWidth="1"/>
    <col min="778" max="1024" width="12" style="804"/>
    <col min="1025" max="1025" width="151" style="804" customWidth="1"/>
    <col min="1026" max="1026" width="60.83203125" style="804" customWidth="1"/>
    <col min="1027" max="1027" width="50.5" style="804" customWidth="1"/>
    <col min="1028" max="1029" width="60.83203125" style="804" customWidth="1"/>
    <col min="1030" max="1030" width="60.6640625" style="804" customWidth="1"/>
    <col min="1031" max="1031" width="60.83203125" style="804" customWidth="1"/>
    <col min="1032" max="1032" width="12" style="804" customWidth="1"/>
    <col min="1033" max="1033" width="22.5" style="804" customWidth="1"/>
    <col min="1034" max="1280" width="12" style="804"/>
    <col min="1281" max="1281" width="151" style="804" customWidth="1"/>
    <col min="1282" max="1282" width="60.83203125" style="804" customWidth="1"/>
    <col min="1283" max="1283" width="50.5" style="804" customWidth="1"/>
    <col min="1284" max="1285" width="60.83203125" style="804" customWidth="1"/>
    <col min="1286" max="1286" width="60.6640625" style="804" customWidth="1"/>
    <col min="1287" max="1287" width="60.83203125" style="804" customWidth="1"/>
    <col min="1288" max="1288" width="12" style="804" customWidth="1"/>
    <col min="1289" max="1289" width="22.5" style="804" customWidth="1"/>
    <col min="1290" max="1536" width="12" style="804"/>
    <col min="1537" max="1537" width="151" style="804" customWidth="1"/>
    <col min="1538" max="1538" width="60.83203125" style="804" customWidth="1"/>
    <col min="1539" max="1539" width="50.5" style="804" customWidth="1"/>
    <col min="1540" max="1541" width="60.83203125" style="804" customWidth="1"/>
    <col min="1542" max="1542" width="60.6640625" style="804" customWidth="1"/>
    <col min="1543" max="1543" width="60.83203125" style="804" customWidth="1"/>
    <col min="1544" max="1544" width="12" style="804" customWidth="1"/>
    <col min="1545" max="1545" width="22.5" style="804" customWidth="1"/>
    <col min="1546" max="1792" width="12" style="804"/>
    <col min="1793" max="1793" width="151" style="804" customWidth="1"/>
    <col min="1794" max="1794" width="60.83203125" style="804" customWidth="1"/>
    <col min="1795" max="1795" width="50.5" style="804" customWidth="1"/>
    <col min="1796" max="1797" width="60.83203125" style="804" customWidth="1"/>
    <col min="1798" max="1798" width="60.6640625" style="804" customWidth="1"/>
    <col min="1799" max="1799" width="60.83203125" style="804" customWidth="1"/>
    <col min="1800" max="1800" width="12" style="804" customWidth="1"/>
    <col min="1801" max="1801" width="22.5" style="804" customWidth="1"/>
    <col min="1802" max="2048" width="12" style="804"/>
    <col min="2049" max="2049" width="151" style="804" customWidth="1"/>
    <col min="2050" max="2050" width="60.83203125" style="804" customWidth="1"/>
    <col min="2051" max="2051" width="50.5" style="804" customWidth="1"/>
    <col min="2052" max="2053" width="60.83203125" style="804" customWidth="1"/>
    <col min="2054" max="2054" width="60.6640625" style="804" customWidth="1"/>
    <col min="2055" max="2055" width="60.83203125" style="804" customWidth="1"/>
    <col min="2056" max="2056" width="12" style="804" customWidth="1"/>
    <col min="2057" max="2057" width="22.5" style="804" customWidth="1"/>
    <col min="2058" max="2304" width="12" style="804"/>
    <col min="2305" max="2305" width="151" style="804" customWidth="1"/>
    <col min="2306" max="2306" width="60.83203125" style="804" customWidth="1"/>
    <col min="2307" max="2307" width="50.5" style="804" customWidth="1"/>
    <col min="2308" max="2309" width="60.83203125" style="804" customWidth="1"/>
    <col min="2310" max="2310" width="60.6640625" style="804" customWidth="1"/>
    <col min="2311" max="2311" width="60.83203125" style="804" customWidth="1"/>
    <col min="2312" max="2312" width="12" style="804" customWidth="1"/>
    <col min="2313" max="2313" width="22.5" style="804" customWidth="1"/>
    <col min="2314" max="2560" width="12" style="804"/>
    <col min="2561" max="2561" width="151" style="804" customWidth="1"/>
    <col min="2562" max="2562" width="60.83203125" style="804" customWidth="1"/>
    <col min="2563" max="2563" width="50.5" style="804" customWidth="1"/>
    <col min="2564" max="2565" width="60.83203125" style="804" customWidth="1"/>
    <col min="2566" max="2566" width="60.6640625" style="804" customWidth="1"/>
    <col min="2567" max="2567" width="60.83203125" style="804" customWidth="1"/>
    <col min="2568" max="2568" width="12" style="804" customWidth="1"/>
    <col min="2569" max="2569" width="22.5" style="804" customWidth="1"/>
    <col min="2570" max="2816" width="12" style="804"/>
    <col min="2817" max="2817" width="151" style="804" customWidth="1"/>
    <col min="2818" max="2818" width="60.83203125" style="804" customWidth="1"/>
    <col min="2819" max="2819" width="50.5" style="804" customWidth="1"/>
    <col min="2820" max="2821" width="60.83203125" style="804" customWidth="1"/>
    <col min="2822" max="2822" width="60.6640625" style="804" customWidth="1"/>
    <col min="2823" max="2823" width="60.83203125" style="804" customWidth="1"/>
    <col min="2824" max="2824" width="12" style="804" customWidth="1"/>
    <col min="2825" max="2825" width="22.5" style="804" customWidth="1"/>
    <col min="2826" max="3072" width="12" style="804"/>
    <col min="3073" max="3073" width="151" style="804" customWidth="1"/>
    <col min="3074" max="3074" width="60.83203125" style="804" customWidth="1"/>
    <col min="3075" max="3075" width="50.5" style="804" customWidth="1"/>
    <col min="3076" max="3077" width="60.83203125" style="804" customWidth="1"/>
    <col min="3078" max="3078" width="60.6640625" style="804" customWidth="1"/>
    <col min="3079" max="3079" width="60.83203125" style="804" customWidth="1"/>
    <col min="3080" max="3080" width="12" style="804" customWidth="1"/>
    <col min="3081" max="3081" width="22.5" style="804" customWidth="1"/>
    <col min="3082" max="3328" width="12" style="804"/>
    <col min="3329" max="3329" width="151" style="804" customWidth="1"/>
    <col min="3330" max="3330" width="60.83203125" style="804" customWidth="1"/>
    <col min="3331" max="3331" width="50.5" style="804" customWidth="1"/>
    <col min="3332" max="3333" width="60.83203125" style="804" customWidth="1"/>
    <col min="3334" max="3334" width="60.6640625" style="804" customWidth="1"/>
    <col min="3335" max="3335" width="60.83203125" style="804" customWidth="1"/>
    <col min="3336" max="3336" width="12" style="804" customWidth="1"/>
    <col min="3337" max="3337" width="22.5" style="804" customWidth="1"/>
    <col min="3338" max="3584" width="12" style="804"/>
    <col min="3585" max="3585" width="151" style="804" customWidth="1"/>
    <col min="3586" max="3586" width="60.83203125" style="804" customWidth="1"/>
    <col min="3587" max="3587" width="50.5" style="804" customWidth="1"/>
    <col min="3588" max="3589" width="60.83203125" style="804" customWidth="1"/>
    <col min="3590" max="3590" width="60.6640625" style="804" customWidth="1"/>
    <col min="3591" max="3591" width="60.83203125" style="804" customWidth="1"/>
    <col min="3592" max="3592" width="12" style="804" customWidth="1"/>
    <col min="3593" max="3593" width="22.5" style="804" customWidth="1"/>
    <col min="3594" max="3840" width="12" style="804"/>
    <col min="3841" max="3841" width="151" style="804" customWidth="1"/>
    <col min="3842" max="3842" width="60.83203125" style="804" customWidth="1"/>
    <col min="3843" max="3843" width="50.5" style="804" customWidth="1"/>
    <col min="3844" max="3845" width="60.83203125" style="804" customWidth="1"/>
    <col min="3846" max="3846" width="60.6640625" style="804" customWidth="1"/>
    <col min="3847" max="3847" width="60.83203125" style="804" customWidth="1"/>
    <col min="3848" max="3848" width="12" style="804" customWidth="1"/>
    <col min="3849" max="3849" width="22.5" style="804" customWidth="1"/>
    <col min="3850" max="4096" width="12" style="804"/>
    <col min="4097" max="4097" width="151" style="804" customWidth="1"/>
    <col min="4098" max="4098" width="60.83203125" style="804" customWidth="1"/>
    <col min="4099" max="4099" width="50.5" style="804" customWidth="1"/>
    <col min="4100" max="4101" width="60.83203125" style="804" customWidth="1"/>
    <col min="4102" max="4102" width="60.6640625" style="804" customWidth="1"/>
    <col min="4103" max="4103" width="60.83203125" style="804" customWidth="1"/>
    <col min="4104" max="4104" width="12" style="804" customWidth="1"/>
    <col min="4105" max="4105" width="22.5" style="804" customWidth="1"/>
    <col min="4106" max="4352" width="12" style="804"/>
    <col min="4353" max="4353" width="151" style="804" customWidth="1"/>
    <col min="4354" max="4354" width="60.83203125" style="804" customWidth="1"/>
    <col min="4355" max="4355" width="50.5" style="804" customWidth="1"/>
    <col min="4356" max="4357" width="60.83203125" style="804" customWidth="1"/>
    <col min="4358" max="4358" width="60.6640625" style="804" customWidth="1"/>
    <col min="4359" max="4359" width="60.83203125" style="804" customWidth="1"/>
    <col min="4360" max="4360" width="12" style="804" customWidth="1"/>
    <col min="4361" max="4361" width="22.5" style="804" customWidth="1"/>
    <col min="4362" max="4608" width="12" style="804"/>
    <col min="4609" max="4609" width="151" style="804" customWidth="1"/>
    <col min="4610" max="4610" width="60.83203125" style="804" customWidth="1"/>
    <col min="4611" max="4611" width="50.5" style="804" customWidth="1"/>
    <col min="4612" max="4613" width="60.83203125" style="804" customWidth="1"/>
    <col min="4614" max="4614" width="60.6640625" style="804" customWidth="1"/>
    <col min="4615" max="4615" width="60.83203125" style="804" customWidth="1"/>
    <col min="4616" max="4616" width="12" style="804" customWidth="1"/>
    <col min="4617" max="4617" width="22.5" style="804" customWidth="1"/>
    <col min="4618" max="4864" width="12" style="804"/>
    <col min="4865" max="4865" width="151" style="804" customWidth="1"/>
    <col min="4866" max="4866" width="60.83203125" style="804" customWidth="1"/>
    <col min="4867" max="4867" width="50.5" style="804" customWidth="1"/>
    <col min="4868" max="4869" width="60.83203125" style="804" customWidth="1"/>
    <col min="4870" max="4870" width="60.6640625" style="804" customWidth="1"/>
    <col min="4871" max="4871" width="60.83203125" style="804" customWidth="1"/>
    <col min="4872" max="4872" width="12" style="804" customWidth="1"/>
    <col min="4873" max="4873" width="22.5" style="804" customWidth="1"/>
    <col min="4874" max="5120" width="12" style="804"/>
    <col min="5121" max="5121" width="151" style="804" customWidth="1"/>
    <col min="5122" max="5122" width="60.83203125" style="804" customWidth="1"/>
    <col min="5123" max="5123" width="50.5" style="804" customWidth="1"/>
    <col min="5124" max="5125" width="60.83203125" style="804" customWidth="1"/>
    <col min="5126" max="5126" width="60.6640625" style="804" customWidth="1"/>
    <col min="5127" max="5127" width="60.83203125" style="804" customWidth="1"/>
    <col min="5128" max="5128" width="12" style="804" customWidth="1"/>
    <col min="5129" max="5129" width="22.5" style="804" customWidth="1"/>
    <col min="5130" max="5376" width="12" style="804"/>
    <col min="5377" max="5377" width="151" style="804" customWidth="1"/>
    <col min="5378" max="5378" width="60.83203125" style="804" customWidth="1"/>
    <col min="5379" max="5379" width="50.5" style="804" customWidth="1"/>
    <col min="5380" max="5381" width="60.83203125" style="804" customWidth="1"/>
    <col min="5382" max="5382" width="60.6640625" style="804" customWidth="1"/>
    <col min="5383" max="5383" width="60.83203125" style="804" customWidth="1"/>
    <col min="5384" max="5384" width="12" style="804" customWidth="1"/>
    <col min="5385" max="5385" width="22.5" style="804" customWidth="1"/>
    <col min="5386" max="5632" width="12" style="804"/>
    <col min="5633" max="5633" width="151" style="804" customWidth="1"/>
    <col min="5634" max="5634" width="60.83203125" style="804" customWidth="1"/>
    <col min="5635" max="5635" width="50.5" style="804" customWidth="1"/>
    <col min="5636" max="5637" width="60.83203125" style="804" customWidth="1"/>
    <col min="5638" max="5638" width="60.6640625" style="804" customWidth="1"/>
    <col min="5639" max="5639" width="60.83203125" style="804" customWidth="1"/>
    <col min="5640" max="5640" width="12" style="804" customWidth="1"/>
    <col min="5641" max="5641" width="22.5" style="804" customWidth="1"/>
    <col min="5642" max="5888" width="12" style="804"/>
    <col min="5889" max="5889" width="151" style="804" customWidth="1"/>
    <col min="5890" max="5890" width="60.83203125" style="804" customWidth="1"/>
    <col min="5891" max="5891" width="50.5" style="804" customWidth="1"/>
    <col min="5892" max="5893" width="60.83203125" style="804" customWidth="1"/>
    <col min="5894" max="5894" width="60.6640625" style="804" customWidth="1"/>
    <col min="5895" max="5895" width="60.83203125" style="804" customWidth="1"/>
    <col min="5896" max="5896" width="12" style="804" customWidth="1"/>
    <col min="5897" max="5897" width="22.5" style="804" customWidth="1"/>
    <col min="5898" max="6144" width="12" style="804"/>
    <col min="6145" max="6145" width="151" style="804" customWidth="1"/>
    <col min="6146" max="6146" width="60.83203125" style="804" customWidth="1"/>
    <col min="6147" max="6147" width="50.5" style="804" customWidth="1"/>
    <col min="6148" max="6149" width="60.83203125" style="804" customWidth="1"/>
    <col min="6150" max="6150" width="60.6640625" style="804" customWidth="1"/>
    <col min="6151" max="6151" width="60.83203125" style="804" customWidth="1"/>
    <col min="6152" max="6152" width="12" style="804" customWidth="1"/>
    <col min="6153" max="6153" width="22.5" style="804" customWidth="1"/>
    <col min="6154" max="6400" width="12" style="804"/>
    <col min="6401" max="6401" width="151" style="804" customWidth="1"/>
    <col min="6402" max="6402" width="60.83203125" style="804" customWidth="1"/>
    <col min="6403" max="6403" width="50.5" style="804" customWidth="1"/>
    <col min="6404" max="6405" width="60.83203125" style="804" customWidth="1"/>
    <col min="6406" max="6406" width="60.6640625" style="804" customWidth="1"/>
    <col min="6407" max="6407" width="60.83203125" style="804" customWidth="1"/>
    <col min="6408" max="6408" width="12" style="804" customWidth="1"/>
    <col min="6409" max="6409" width="22.5" style="804" customWidth="1"/>
    <col min="6410" max="6656" width="12" style="804"/>
    <col min="6657" max="6657" width="151" style="804" customWidth="1"/>
    <col min="6658" max="6658" width="60.83203125" style="804" customWidth="1"/>
    <col min="6659" max="6659" width="50.5" style="804" customWidth="1"/>
    <col min="6660" max="6661" width="60.83203125" style="804" customWidth="1"/>
    <col min="6662" max="6662" width="60.6640625" style="804" customWidth="1"/>
    <col min="6663" max="6663" width="60.83203125" style="804" customWidth="1"/>
    <col min="6664" max="6664" width="12" style="804" customWidth="1"/>
    <col min="6665" max="6665" width="22.5" style="804" customWidth="1"/>
    <col min="6666" max="6912" width="12" style="804"/>
    <col min="6913" max="6913" width="151" style="804" customWidth="1"/>
    <col min="6914" max="6914" width="60.83203125" style="804" customWidth="1"/>
    <col min="6915" max="6915" width="50.5" style="804" customWidth="1"/>
    <col min="6916" max="6917" width="60.83203125" style="804" customWidth="1"/>
    <col min="6918" max="6918" width="60.6640625" style="804" customWidth="1"/>
    <col min="6919" max="6919" width="60.83203125" style="804" customWidth="1"/>
    <col min="6920" max="6920" width="12" style="804" customWidth="1"/>
    <col min="6921" max="6921" width="22.5" style="804" customWidth="1"/>
    <col min="6922" max="7168" width="12" style="804"/>
    <col min="7169" max="7169" width="151" style="804" customWidth="1"/>
    <col min="7170" max="7170" width="60.83203125" style="804" customWidth="1"/>
    <col min="7171" max="7171" width="50.5" style="804" customWidth="1"/>
    <col min="7172" max="7173" width="60.83203125" style="804" customWidth="1"/>
    <col min="7174" max="7174" width="60.6640625" style="804" customWidth="1"/>
    <col min="7175" max="7175" width="60.83203125" style="804" customWidth="1"/>
    <col min="7176" max="7176" width="12" style="804" customWidth="1"/>
    <col min="7177" max="7177" width="22.5" style="804" customWidth="1"/>
    <col min="7178" max="7424" width="12" style="804"/>
    <col min="7425" max="7425" width="151" style="804" customWidth="1"/>
    <col min="7426" max="7426" width="60.83203125" style="804" customWidth="1"/>
    <col min="7427" max="7427" width="50.5" style="804" customWidth="1"/>
    <col min="7428" max="7429" width="60.83203125" style="804" customWidth="1"/>
    <col min="7430" max="7430" width="60.6640625" style="804" customWidth="1"/>
    <col min="7431" max="7431" width="60.83203125" style="804" customWidth="1"/>
    <col min="7432" max="7432" width="12" style="804" customWidth="1"/>
    <col min="7433" max="7433" width="22.5" style="804" customWidth="1"/>
    <col min="7434" max="7680" width="12" style="804"/>
    <col min="7681" max="7681" width="151" style="804" customWidth="1"/>
    <col min="7682" max="7682" width="60.83203125" style="804" customWidth="1"/>
    <col min="7683" max="7683" width="50.5" style="804" customWidth="1"/>
    <col min="7684" max="7685" width="60.83203125" style="804" customWidth="1"/>
    <col min="7686" max="7686" width="60.6640625" style="804" customWidth="1"/>
    <col min="7687" max="7687" width="60.83203125" style="804" customWidth="1"/>
    <col min="7688" max="7688" width="12" style="804" customWidth="1"/>
    <col min="7689" max="7689" width="22.5" style="804" customWidth="1"/>
    <col min="7690" max="7936" width="12" style="804"/>
    <col min="7937" max="7937" width="151" style="804" customWidth="1"/>
    <col min="7938" max="7938" width="60.83203125" style="804" customWidth="1"/>
    <col min="7939" max="7939" width="50.5" style="804" customWidth="1"/>
    <col min="7940" max="7941" width="60.83203125" style="804" customWidth="1"/>
    <col min="7942" max="7942" width="60.6640625" style="804" customWidth="1"/>
    <col min="7943" max="7943" width="60.83203125" style="804" customWidth="1"/>
    <col min="7944" max="7944" width="12" style="804" customWidth="1"/>
    <col min="7945" max="7945" width="22.5" style="804" customWidth="1"/>
    <col min="7946" max="8192" width="12" style="804"/>
    <col min="8193" max="8193" width="151" style="804" customWidth="1"/>
    <col min="8194" max="8194" width="60.83203125" style="804" customWidth="1"/>
    <col min="8195" max="8195" width="50.5" style="804" customWidth="1"/>
    <col min="8196" max="8197" width="60.83203125" style="804" customWidth="1"/>
    <col min="8198" max="8198" width="60.6640625" style="804" customWidth="1"/>
    <col min="8199" max="8199" width="60.83203125" style="804" customWidth="1"/>
    <col min="8200" max="8200" width="12" style="804" customWidth="1"/>
    <col min="8201" max="8201" width="22.5" style="804" customWidth="1"/>
    <col min="8202" max="8448" width="12" style="804"/>
    <col min="8449" max="8449" width="151" style="804" customWidth="1"/>
    <col min="8450" max="8450" width="60.83203125" style="804" customWidth="1"/>
    <col min="8451" max="8451" width="50.5" style="804" customWidth="1"/>
    <col min="8452" max="8453" width="60.83203125" style="804" customWidth="1"/>
    <col min="8454" max="8454" width="60.6640625" style="804" customWidth="1"/>
    <col min="8455" max="8455" width="60.83203125" style="804" customWidth="1"/>
    <col min="8456" max="8456" width="12" style="804" customWidth="1"/>
    <col min="8457" max="8457" width="22.5" style="804" customWidth="1"/>
    <col min="8458" max="8704" width="12" style="804"/>
    <col min="8705" max="8705" width="151" style="804" customWidth="1"/>
    <col min="8706" max="8706" width="60.83203125" style="804" customWidth="1"/>
    <col min="8707" max="8707" width="50.5" style="804" customWidth="1"/>
    <col min="8708" max="8709" width="60.83203125" style="804" customWidth="1"/>
    <col min="8710" max="8710" width="60.6640625" style="804" customWidth="1"/>
    <col min="8711" max="8711" width="60.83203125" style="804" customWidth="1"/>
    <col min="8712" max="8712" width="12" style="804" customWidth="1"/>
    <col min="8713" max="8713" width="22.5" style="804" customWidth="1"/>
    <col min="8714" max="8960" width="12" style="804"/>
    <col min="8961" max="8961" width="151" style="804" customWidth="1"/>
    <col min="8962" max="8962" width="60.83203125" style="804" customWidth="1"/>
    <col min="8963" max="8963" width="50.5" style="804" customWidth="1"/>
    <col min="8964" max="8965" width="60.83203125" style="804" customWidth="1"/>
    <col min="8966" max="8966" width="60.6640625" style="804" customWidth="1"/>
    <col min="8967" max="8967" width="60.83203125" style="804" customWidth="1"/>
    <col min="8968" max="8968" width="12" style="804" customWidth="1"/>
    <col min="8969" max="8969" width="22.5" style="804" customWidth="1"/>
    <col min="8970" max="9216" width="12" style="804"/>
    <col min="9217" max="9217" width="151" style="804" customWidth="1"/>
    <col min="9218" max="9218" width="60.83203125" style="804" customWidth="1"/>
    <col min="9219" max="9219" width="50.5" style="804" customWidth="1"/>
    <col min="9220" max="9221" width="60.83203125" style="804" customWidth="1"/>
    <col min="9222" max="9222" width="60.6640625" style="804" customWidth="1"/>
    <col min="9223" max="9223" width="60.83203125" style="804" customWidth="1"/>
    <col min="9224" max="9224" width="12" style="804" customWidth="1"/>
    <col min="9225" max="9225" width="22.5" style="804" customWidth="1"/>
    <col min="9226" max="9472" width="12" style="804"/>
    <col min="9473" max="9473" width="151" style="804" customWidth="1"/>
    <col min="9474" max="9474" width="60.83203125" style="804" customWidth="1"/>
    <col min="9475" max="9475" width="50.5" style="804" customWidth="1"/>
    <col min="9476" max="9477" width="60.83203125" style="804" customWidth="1"/>
    <col min="9478" max="9478" width="60.6640625" style="804" customWidth="1"/>
    <col min="9479" max="9479" width="60.83203125" style="804" customWidth="1"/>
    <col min="9480" max="9480" width="12" style="804" customWidth="1"/>
    <col min="9481" max="9481" width="22.5" style="804" customWidth="1"/>
    <col min="9482" max="9728" width="12" style="804"/>
    <col min="9729" max="9729" width="151" style="804" customWidth="1"/>
    <col min="9730" max="9730" width="60.83203125" style="804" customWidth="1"/>
    <col min="9731" max="9731" width="50.5" style="804" customWidth="1"/>
    <col min="9732" max="9733" width="60.83203125" style="804" customWidth="1"/>
    <col min="9734" max="9734" width="60.6640625" style="804" customWidth="1"/>
    <col min="9735" max="9735" width="60.83203125" style="804" customWidth="1"/>
    <col min="9736" max="9736" width="12" style="804" customWidth="1"/>
    <col min="9737" max="9737" width="22.5" style="804" customWidth="1"/>
    <col min="9738" max="9984" width="12" style="804"/>
    <col min="9985" max="9985" width="151" style="804" customWidth="1"/>
    <col min="9986" max="9986" width="60.83203125" style="804" customWidth="1"/>
    <col min="9987" max="9987" width="50.5" style="804" customWidth="1"/>
    <col min="9988" max="9989" width="60.83203125" style="804" customWidth="1"/>
    <col min="9990" max="9990" width="60.6640625" style="804" customWidth="1"/>
    <col min="9991" max="9991" width="60.83203125" style="804" customWidth="1"/>
    <col min="9992" max="9992" width="12" style="804" customWidth="1"/>
    <col min="9993" max="9993" width="22.5" style="804" customWidth="1"/>
    <col min="9994" max="10240" width="12" style="804"/>
    <col min="10241" max="10241" width="151" style="804" customWidth="1"/>
    <col min="10242" max="10242" width="60.83203125" style="804" customWidth="1"/>
    <col min="10243" max="10243" width="50.5" style="804" customWidth="1"/>
    <col min="10244" max="10245" width="60.83203125" style="804" customWidth="1"/>
    <col min="10246" max="10246" width="60.6640625" style="804" customWidth="1"/>
    <col min="10247" max="10247" width="60.83203125" style="804" customWidth="1"/>
    <col min="10248" max="10248" width="12" style="804" customWidth="1"/>
    <col min="10249" max="10249" width="22.5" style="804" customWidth="1"/>
    <col min="10250" max="10496" width="12" style="804"/>
    <col min="10497" max="10497" width="151" style="804" customWidth="1"/>
    <col min="10498" max="10498" width="60.83203125" style="804" customWidth="1"/>
    <col min="10499" max="10499" width="50.5" style="804" customWidth="1"/>
    <col min="10500" max="10501" width="60.83203125" style="804" customWidth="1"/>
    <col min="10502" max="10502" width="60.6640625" style="804" customWidth="1"/>
    <col min="10503" max="10503" width="60.83203125" style="804" customWidth="1"/>
    <col min="10504" max="10504" width="12" style="804" customWidth="1"/>
    <col min="10505" max="10505" width="22.5" style="804" customWidth="1"/>
    <col min="10506" max="10752" width="12" style="804"/>
    <col min="10753" max="10753" width="151" style="804" customWidth="1"/>
    <col min="10754" max="10754" width="60.83203125" style="804" customWidth="1"/>
    <col min="10755" max="10755" width="50.5" style="804" customWidth="1"/>
    <col min="10756" max="10757" width="60.83203125" style="804" customWidth="1"/>
    <col min="10758" max="10758" width="60.6640625" style="804" customWidth="1"/>
    <col min="10759" max="10759" width="60.83203125" style="804" customWidth="1"/>
    <col min="10760" max="10760" width="12" style="804" customWidth="1"/>
    <col min="10761" max="10761" width="22.5" style="804" customWidth="1"/>
    <col min="10762" max="11008" width="12" style="804"/>
    <col min="11009" max="11009" width="151" style="804" customWidth="1"/>
    <col min="11010" max="11010" width="60.83203125" style="804" customWidth="1"/>
    <col min="11011" max="11011" width="50.5" style="804" customWidth="1"/>
    <col min="11012" max="11013" width="60.83203125" style="804" customWidth="1"/>
    <col min="11014" max="11014" width="60.6640625" style="804" customWidth="1"/>
    <col min="11015" max="11015" width="60.83203125" style="804" customWidth="1"/>
    <col min="11016" max="11016" width="12" style="804" customWidth="1"/>
    <col min="11017" max="11017" width="22.5" style="804" customWidth="1"/>
    <col min="11018" max="11264" width="12" style="804"/>
    <col min="11265" max="11265" width="151" style="804" customWidth="1"/>
    <col min="11266" max="11266" width="60.83203125" style="804" customWidth="1"/>
    <col min="11267" max="11267" width="50.5" style="804" customWidth="1"/>
    <col min="11268" max="11269" width="60.83203125" style="804" customWidth="1"/>
    <col min="11270" max="11270" width="60.6640625" style="804" customWidth="1"/>
    <col min="11271" max="11271" width="60.83203125" style="804" customWidth="1"/>
    <col min="11272" max="11272" width="12" style="804" customWidth="1"/>
    <col min="11273" max="11273" width="22.5" style="804" customWidth="1"/>
    <col min="11274" max="11520" width="12" style="804"/>
    <col min="11521" max="11521" width="151" style="804" customWidth="1"/>
    <col min="11522" max="11522" width="60.83203125" style="804" customWidth="1"/>
    <col min="11523" max="11523" width="50.5" style="804" customWidth="1"/>
    <col min="11524" max="11525" width="60.83203125" style="804" customWidth="1"/>
    <col min="11526" max="11526" width="60.6640625" style="804" customWidth="1"/>
    <col min="11527" max="11527" width="60.83203125" style="804" customWidth="1"/>
    <col min="11528" max="11528" width="12" style="804" customWidth="1"/>
    <col min="11529" max="11529" width="22.5" style="804" customWidth="1"/>
    <col min="11530" max="11776" width="12" style="804"/>
    <col min="11777" max="11777" width="151" style="804" customWidth="1"/>
    <col min="11778" max="11778" width="60.83203125" style="804" customWidth="1"/>
    <col min="11779" max="11779" width="50.5" style="804" customWidth="1"/>
    <col min="11780" max="11781" width="60.83203125" style="804" customWidth="1"/>
    <col min="11782" max="11782" width="60.6640625" style="804" customWidth="1"/>
    <col min="11783" max="11783" width="60.83203125" style="804" customWidth="1"/>
    <col min="11784" max="11784" width="12" style="804" customWidth="1"/>
    <col min="11785" max="11785" width="22.5" style="804" customWidth="1"/>
    <col min="11786" max="12032" width="12" style="804"/>
    <col min="12033" max="12033" width="151" style="804" customWidth="1"/>
    <col min="12034" max="12034" width="60.83203125" style="804" customWidth="1"/>
    <col min="12035" max="12035" width="50.5" style="804" customWidth="1"/>
    <col min="12036" max="12037" width="60.83203125" style="804" customWidth="1"/>
    <col min="12038" max="12038" width="60.6640625" style="804" customWidth="1"/>
    <col min="12039" max="12039" width="60.83203125" style="804" customWidth="1"/>
    <col min="12040" max="12040" width="12" style="804" customWidth="1"/>
    <col min="12041" max="12041" width="22.5" style="804" customWidth="1"/>
    <col min="12042" max="12288" width="12" style="804"/>
    <col min="12289" max="12289" width="151" style="804" customWidth="1"/>
    <col min="12290" max="12290" width="60.83203125" style="804" customWidth="1"/>
    <col min="12291" max="12291" width="50.5" style="804" customWidth="1"/>
    <col min="12292" max="12293" width="60.83203125" style="804" customWidth="1"/>
    <col min="12294" max="12294" width="60.6640625" style="804" customWidth="1"/>
    <col min="12295" max="12295" width="60.83203125" style="804" customWidth="1"/>
    <col min="12296" max="12296" width="12" style="804" customWidth="1"/>
    <col min="12297" max="12297" width="22.5" style="804" customWidth="1"/>
    <col min="12298" max="12544" width="12" style="804"/>
    <col min="12545" max="12545" width="151" style="804" customWidth="1"/>
    <col min="12546" max="12546" width="60.83203125" style="804" customWidth="1"/>
    <col min="12547" max="12547" width="50.5" style="804" customWidth="1"/>
    <col min="12548" max="12549" width="60.83203125" style="804" customWidth="1"/>
    <col min="12550" max="12550" width="60.6640625" style="804" customWidth="1"/>
    <col min="12551" max="12551" width="60.83203125" style="804" customWidth="1"/>
    <col min="12552" max="12552" width="12" style="804" customWidth="1"/>
    <col min="12553" max="12553" width="22.5" style="804" customWidth="1"/>
    <col min="12554" max="12800" width="12" style="804"/>
    <col min="12801" max="12801" width="151" style="804" customWidth="1"/>
    <col min="12802" max="12802" width="60.83203125" style="804" customWidth="1"/>
    <col min="12803" max="12803" width="50.5" style="804" customWidth="1"/>
    <col min="12804" max="12805" width="60.83203125" style="804" customWidth="1"/>
    <col min="12806" max="12806" width="60.6640625" style="804" customWidth="1"/>
    <col min="12807" max="12807" width="60.83203125" style="804" customWidth="1"/>
    <col min="12808" max="12808" width="12" style="804" customWidth="1"/>
    <col min="12809" max="12809" width="22.5" style="804" customWidth="1"/>
    <col min="12810" max="13056" width="12" style="804"/>
    <col min="13057" max="13057" width="151" style="804" customWidth="1"/>
    <col min="13058" max="13058" width="60.83203125" style="804" customWidth="1"/>
    <col min="13059" max="13059" width="50.5" style="804" customWidth="1"/>
    <col min="13060" max="13061" width="60.83203125" style="804" customWidth="1"/>
    <col min="13062" max="13062" width="60.6640625" style="804" customWidth="1"/>
    <col min="13063" max="13063" width="60.83203125" style="804" customWidth="1"/>
    <col min="13064" max="13064" width="12" style="804" customWidth="1"/>
    <col min="13065" max="13065" width="22.5" style="804" customWidth="1"/>
    <col min="13066" max="13312" width="12" style="804"/>
    <col min="13313" max="13313" width="151" style="804" customWidth="1"/>
    <col min="13314" max="13314" width="60.83203125" style="804" customWidth="1"/>
    <col min="13315" max="13315" width="50.5" style="804" customWidth="1"/>
    <col min="13316" max="13317" width="60.83203125" style="804" customWidth="1"/>
    <col min="13318" max="13318" width="60.6640625" style="804" customWidth="1"/>
    <col min="13319" max="13319" width="60.83203125" style="804" customWidth="1"/>
    <col min="13320" max="13320" width="12" style="804" customWidth="1"/>
    <col min="13321" max="13321" width="22.5" style="804" customWidth="1"/>
    <col min="13322" max="13568" width="12" style="804"/>
    <col min="13569" max="13569" width="151" style="804" customWidth="1"/>
    <col min="13570" max="13570" width="60.83203125" style="804" customWidth="1"/>
    <col min="13571" max="13571" width="50.5" style="804" customWidth="1"/>
    <col min="13572" max="13573" width="60.83203125" style="804" customWidth="1"/>
    <col min="13574" max="13574" width="60.6640625" style="804" customWidth="1"/>
    <col min="13575" max="13575" width="60.83203125" style="804" customWidth="1"/>
    <col min="13576" max="13576" width="12" style="804" customWidth="1"/>
    <col min="13577" max="13577" width="22.5" style="804" customWidth="1"/>
    <col min="13578" max="13824" width="12" style="804"/>
    <col min="13825" max="13825" width="151" style="804" customWidth="1"/>
    <col min="13826" max="13826" width="60.83203125" style="804" customWidth="1"/>
    <col min="13827" max="13827" width="50.5" style="804" customWidth="1"/>
    <col min="13828" max="13829" width="60.83203125" style="804" customWidth="1"/>
    <col min="13830" max="13830" width="60.6640625" style="804" customWidth="1"/>
    <col min="13831" max="13831" width="60.83203125" style="804" customWidth="1"/>
    <col min="13832" max="13832" width="12" style="804" customWidth="1"/>
    <col min="13833" max="13833" width="22.5" style="804" customWidth="1"/>
    <col min="13834" max="14080" width="12" style="804"/>
    <col min="14081" max="14081" width="151" style="804" customWidth="1"/>
    <col min="14082" max="14082" width="60.83203125" style="804" customWidth="1"/>
    <col min="14083" max="14083" width="50.5" style="804" customWidth="1"/>
    <col min="14084" max="14085" width="60.83203125" style="804" customWidth="1"/>
    <col min="14086" max="14086" width="60.6640625" style="804" customWidth="1"/>
    <col min="14087" max="14087" width="60.83203125" style="804" customWidth="1"/>
    <col min="14088" max="14088" width="12" style="804" customWidth="1"/>
    <col min="14089" max="14089" width="22.5" style="804" customWidth="1"/>
    <col min="14090" max="14336" width="12" style="804"/>
    <col min="14337" max="14337" width="151" style="804" customWidth="1"/>
    <col min="14338" max="14338" width="60.83203125" style="804" customWidth="1"/>
    <col min="14339" max="14339" width="50.5" style="804" customWidth="1"/>
    <col min="14340" max="14341" width="60.83203125" style="804" customWidth="1"/>
    <col min="14342" max="14342" width="60.6640625" style="804" customWidth="1"/>
    <col min="14343" max="14343" width="60.83203125" style="804" customWidth="1"/>
    <col min="14344" max="14344" width="12" style="804" customWidth="1"/>
    <col min="14345" max="14345" width="22.5" style="804" customWidth="1"/>
    <col min="14346" max="14592" width="12" style="804"/>
    <col min="14593" max="14593" width="151" style="804" customWidth="1"/>
    <col min="14594" max="14594" width="60.83203125" style="804" customWidth="1"/>
    <col min="14595" max="14595" width="50.5" style="804" customWidth="1"/>
    <col min="14596" max="14597" width="60.83203125" style="804" customWidth="1"/>
    <col min="14598" max="14598" width="60.6640625" style="804" customWidth="1"/>
    <col min="14599" max="14599" width="60.83203125" style="804" customWidth="1"/>
    <col min="14600" max="14600" width="12" style="804" customWidth="1"/>
    <col min="14601" max="14601" width="22.5" style="804" customWidth="1"/>
    <col min="14602" max="14848" width="12" style="804"/>
    <col min="14849" max="14849" width="151" style="804" customWidth="1"/>
    <col min="14850" max="14850" width="60.83203125" style="804" customWidth="1"/>
    <col min="14851" max="14851" width="50.5" style="804" customWidth="1"/>
    <col min="14852" max="14853" width="60.83203125" style="804" customWidth="1"/>
    <col min="14854" max="14854" width="60.6640625" style="804" customWidth="1"/>
    <col min="14855" max="14855" width="60.83203125" style="804" customWidth="1"/>
    <col min="14856" max="14856" width="12" style="804" customWidth="1"/>
    <col min="14857" max="14857" width="22.5" style="804" customWidth="1"/>
    <col min="14858" max="15104" width="12" style="804"/>
    <col min="15105" max="15105" width="151" style="804" customWidth="1"/>
    <col min="15106" max="15106" width="60.83203125" style="804" customWidth="1"/>
    <col min="15107" max="15107" width="50.5" style="804" customWidth="1"/>
    <col min="15108" max="15109" width="60.83203125" style="804" customWidth="1"/>
    <col min="15110" max="15110" width="60.6640625" style="804" customWidth="1"/>
    <col min="15111" max="15111" width="60.83203125" style="804" customWidth="1"/>
    <col min="15112" max="15112" width="12" style="804" customWidth="1"/>
    <col min="15113" max="15113" width="22.5" style="804" customWidth="1"/>
    <col min="15114" max="15360" width="12" style="804"/>
    <col min="15361" max="15361" width="151" style="804" customWidth="1"/>
    <col min="15362" max="15362" width="60.83203125" style="804" customWidth="1"/>
    <col min="15363" max="15363" width="50.5" style="804" customWidth="1"/>
    <col min="15364" max="15365" width="60.83203125" style="804" customWidth="1"/>
    <col min="15366" max="15366" width="60.6640625" style="804" customWidth="1"/>
    <col min="15367" max="15367" width="60.83203125" style="804" customWidth="1"/>
    <col min="15368" max="15368" width="12" style="804" customWidth="1"/>
    <col min="15369" max="15369" width="22.5" style="804" customWidth="1"/>
    <col min="15370" max="15616" width="12" style="804"/>
    <col min="15617" max="15617" width="151" style="804" customWidth="1"/>
    <col min="15618" max="15618" width="60.83203125" style="804" customWidth="1"/>
    <col min="15619" max="15619" width="50.5" style="804" customWidth="1"/>
    <col min="15620" max="15621" width="60.83203125" style="804" customWidth="1"/>
    <col min="15622" max="15622" width="60.6640625" style="804" customWidth="1"/>
    <col min="15623" max="15623" width="60.83203125" style="804" customWidth="1"/>
    <col min="15624" max="15624" width="12" style="804" customWidth="1"/>
    <col min="15625" max="15625" width="22.5" style="804" customWidth="1"/>
    <col min="15626" max="15872" width="12" style="804"/>
    <col min="15873" max="15873" width="151" style="804" customWidth="1"/>
    <col min="15874" max="15874" width="60.83203125" style="804" customWidth="1"/>
    <col min="15875" max="15875" width="50.5" style="804" customWidth="1"/>
    <col min="15876" max="15877" width="60.83203125" style="804" customWidth="1"/>
    <col min="15878" max="15878" width="60.6640625" style="804" customWidth="1"/>
    <col min="15879" max="15879" width="60.83203125" style="804" customWidth="1"/>
    <col min="15880" max="15880" width="12" style="804" customWidth="1"/>
    <col min="15881" max="15881" width="22.5" style="804" customWidth="1"/>
    <col min="15882" max="16128" width="12" style="804"/>
    <col min="16129" max="16129" width="151" style="804" customWidth="1"/>
    <col min="16130" max="16130" width="60.83203125" style="804" customWidth="1"/>
    <col min="16131" max="16131" width="50.5" style="804" customWidth="1"/>
    <col min="16132" max="16133" width="60.83203125" style="804" customWidth="1"/>
    <col min="16134" max="16134" width="60.6640625" style="804" customWidth="1"/>
    <col min="16135" max="16135" width="60.83203125" style="804" customWidth="1"/>
    <col min="16136" max="16136" width="12" style="804" customWidth="1"/>
    <col min="16137" max="16137" width="22.5" style="804" customWidth="1"/>
    <col min="16138" max="16384" width="12" style="804"/>
  </cols>
  <sheetData>
    <row r="1" spans="1:9" s="800" customFormat="1" ht="45" customHeight="1" x14ac:dyDescent="0.5">
      <c r="A1" s="1945" t="s">
        <v>1265</v>
      </c>
      <c r="B1" s="1945"/>
      <c r="C1" s="1945"/>
      <c r="D1" s="1945"/>
      <c r="E1" s="1945"/>
      <c r="F1" s="1945"/>
      <c r="G1" s="1945"/>
      <c r="I1" s="801"/>
    </row>
    <row r="2" spans="1:9" s="800" customFormat="1" ht="44.25" customHeight="1" x14ac:dyDescent="0.5">
      <c r="A2" s="1945" t="s">
        <v>1266</v>
      </c>
      <c r="B2" s="1945"/>
      <c r="C2" s="1945"/>
      <c r="D2" s="1945"/>
      <c r="E2" s="1945"/>
      <c r="F2" s="1945"/>
      <c r="G2" s="1945"/>
      <c r="I2" s="801"/>
    </row>
    <row r="3" spans="1:9" ht="44.25" customHeight="1" thickBot="1" x14ac:dyDescent="0.55000000000000004">
      <c r="A3" s="802"/>
      <c r="B3" s="1946"/>
      <c r="C3" s="1946"/>
      <c r="D3" s="1946"/>
      <c r="E3" s="1946"/>
      <c r="F3" s="803"/>
      <c r="G3" s="803"/>
    </row>
    <row r="4" spans="1:9" s="800" customFormat="1" ht="108.75" customHeight="1" thickBot="1" x14ac:dyDescent="0.55000000000000004">
      <c r="A4" s="806"/>
      <c r="B4" s="1947" t="s">
        <v>1267</v>
      </c>
      <c r="C4" s="1948"/>
      <c r="D4" s="1948"/>
      <c r="E4" s="1949"/>
      <c r="F4" s="1950" t="s">
        <v>1268</v>
      </c>
      <c r="G4" s="1951"/>
      <c r="I4" s="807"/>
    </row>
    <row r="5" spans="1:9" s="800" customFormat="1" ht="45.75" customHeight="1" thickBot="1" x14ac:dyDescent="0.55000000000000004">
      <c r="A5" s="808" t="s">
        <v>1269</v>
      </c>
      <c r="B5" s="1954" t="s">
        <v>1270</v>
      </c>
      <c r="C5" s="1955"/>
      <c r="D5" s="1943" t="s">
        <v>1271</v>
      </c>
      <c r="E5" s="1956"/>
      <c r="F5" s="1952"/>
      <c r="G5" s="1953"/>
      <c r="I5" s="807"/>
    </row>
    <row r="6" spans="1:9" s="800" customFormat="1" ht="42" customHeight="1" thickBot="1" x14ac:dyDescent="0.55000000000000004">
      <c r="A6" s="808"/>
      <c r="B6" s="1943" t="s">
        <v>1272</v>
      </c>
      <c r="C6" s="1944"/>
      <c r="D6" s="1943" t="s">
        <v>1272</v>
      </c>
      <c r="E6" s="1944"/>
      <c r="F6" s="809"/>
      <c r="G6" s="809"/>
      <c r="I6" s="807"/>
    </row>
    <row r="7" spans="1:9" s="800" customFormat="1" ht="44.25" customHeight="1" thickBot="1" x14ac:dyDescent="0.55000000000000004">
      <c r="A7" s="810"/>
      <c r="B7" s="811" t="s">
        <v>1273</v>
      </c>
      <c r="C7" s="812" t="s">
        <v>1274</v>
      </c>
      <c r="D7" s="811" t="s">
        <v>1273</v>
      </c>
      <c r="E7" s="812" t="s">
        <v>1274</v>
      </c>
      <c r="F7" s="809" t="s">
        <v>1273</v>
      </c>
      <c r="G7" s="809" t="s">
        <v>1275</v>
      </c>
      <c r="I7" s="807"/>
    </row>
    <row r="8" spans="1:9" s="816" customFormat="1" ht="90.75" customHeight="1" x14ac:dyDescent="0.5">
      <c r="A8" s="813" t="s">
        <v>1276</v>
      </c>
      <c r="B8" s="814"/>
      <c r="C8" s="815"/>
      <c r="D8" s="815"/>
      <c r="E8" s="815"/>
      <c r="F8" s="815"/>
      <c r="G8" s="815"/>
      <c r="I8" s="817"/>
    </row>
    <row r="9" spans="1:9" s="824" customFormat="1" ht="45.75" customHeight="1" x14ac:dyDescent="0.55000000000000004">
      <c r="A9" s="818" t="s">
        <v>1224</v>
      </c>
      <c r="B9" s="819">
        <f>'[6]létszám ei mód RM III.'!F9</f>
        <v>33</v>
      </c>
      <c r="C9" s="820">
        <f>'[6]létszám ei mód RM III.'!G9</f>
        <v>33</v>
      </c>
      <c r="D9" s="821">
        <f>'[6]létszám ei mód RM III.'!L9</f>
        <v>1</v>
      </c>
      <c r="E9" s="820">
        <f>'[6]létszám ei mód RM III.'!M9</f>
        <v>1</v>
      </c>
      <c r="F9" s="822">
        <f t="shared" ref="F9:G26" si="0">B9+D9</f>
        <v>34</v>
      </c>
      <c r="G9" s="823">
        <f t="shared" si="0"/>
        <v>34</v>
      </c>
      <c r="I9" s="805"/>
    </row>
    <row r="10" spans="1:9" s="824" customFormat="1" ht="45.75" customHeight="1" x14ac:dyDescent="0.55000000000000004">
      <c r="A10" s="825" t="s">
        <v>1225</v>
      </c>
      <c r="B10" s="826">
        <f>'[6]létszám ei mód RM III.'!F10</f>
        <v>23</v>
      </c>
      <c r="C10" s="827">
        <f>'[6]létszám ei mód RM III.'!G10</f>
        <v>23</v>
      </c>
      <c r="D10" s="826">
        <f>'[6]létszám ei mód RM III.'!L10</f>
        <v>1</v>
      </c>
      <c r="E10" s="827">
        <f>'[6]létszám ei mód RM III.'!M10</f>
        <v>1</v>
      </c>
      <c r="F10" s="828">
        <f t="shared" si="0"/>
        <v>24</v>
      </c>
      <c r="G10" s="829">
        <f t="shared" si="0"/>
        <v>24</v>
      </c>
      <c r="I10" s="805"/>
    </row>
    <row r="11" spans="1:9" s="824" customFormat="1" ht="45.75" customHeight="1" x14ac:dyDescent="0.55000000000000004">
      <c r="A11" s="825" t="s">
        <v>1226</v>
      </c>
      <c r="B11" s="819">
        <f>'[6]létszám ei mód RM III.'!F11</f>
        <v>23</v>
      </c>
      <c r="C11" s="820">
        <f>'[6]létszám ei mód RM III.'!G11</f>
        <v>23</v>
      </c>
      <c r="D11" s="821">
        <f>'[6]létszám ei mód RM III.'!L11</f>
        <v>1</v>
      </c>
      <c r="E11" s="820">
        <f>'[6]létszám ei mód RM III.'!M11</f>
        <v>1</v>
      </c>
      <c r="F11" s="822">
        <f t="shared" si="0"/>
        <v>24</v>
      </c>
      <c r="G11" s="823">
        <f t="shared" si="0"/>
        <v>24</v>
      </c>
      <c r="I11" s="805"/>
    </row>
    <row r="12" spans="1:9" s="824" customFormat="1" ht="45.75" customHeight="1" x14ac:dyDescent="0.55000000000000004">
      <c r="A12" s="825" t="s">
        <v>1227</v>
      </c>
      <c r="B12" s="826">
        <f>'[6]létszám ei mód RM III.'!F12</f>
        <v>28</v>
      </c>
      <c r="C12" s="827">
        <f>'[6]létszám ei mód RM III.'!G12</f>
        <v>28</v>
      </c>
      <c r="D12" s="826">
        <f>'[6]létszám ei mód RM III.'!L12</f>
        <v>1</v>
      </c>
      <c r="E12" s="827">
        <f>'[6]létszám ei mód RM III.'!M12</f>
        <v>1</v>
      </c>
      <c r="F12" s="828">
        <f t="shared" si="0"/>
        <v>29</v>
      </c>
      <c r="G12" s="829">
        <f t="shared" si="0"/>
        <v>29</v>
      </c>
      <c r="I12" s="805"/>
    </row>
    <row r="13" spans="1:9" s="824" customFormat="1" ht="45.75" customHeight="1" x14ac:dyDescent="0.55000000000000004">
      <c r="A13" s="825" t="s">
        <v>1228</v>
      </c>
      <c r="B13" s="826">
        <f>'[6]létszám ei mód RM III.'!F13</f>
        <v>26</v>
      </c>
      <c r="C13" s="827">
        <f>'[6]létszám ei mód RM III.'!G13</f>
        <v>26</v>
      </c>
      <c r="D13" s="826">
        <f>'[6]létszám ei mód RM III.'!L13</f>
        <v>1</v>
      </c>
      <c r="E13" s="827">
        <f>'[6]létszám ei mód RM III.'!M13</f>
        <v>1</v>
      </c>
      <c r="F13" s="828">
        <f t="shared" si="0"/>
        <v>27</v>
      </c>
      <c r="G13" s="829">
        <f t="shared" si="0"/>
        <v>27</v>
      </c>
      <c r="I13" s="805"/>
    </row>
    <row r="14" spans="1:9" s="824" customFormat="1" ht="45.75" customHeight="1" x14ac:dyDescent="0.55000000000000004">
      <c r="A14" s="825" t="s">
        <v>1229</v>
      </c>
      <c r="B14" s="826">
        <f>'[6]létszám ei mód RM III.'!F14</f>
        <v>23</v>
      </c>
      <c r="C14" s="827">
        <f>'[6]létszám ei mód RM III.'!G14</f>
        <v>23</v>
      </c>
      <c r="D14" s="826">
        <f>'[6]létszám ei mód RM III.'!L14</f>
        <v>1</v>
      </c>
      <c r="E14" s="827">
        <f>'[6]létszám ei mód RM III.'!M14</f>
        <v>1</v>
      </c>
      <c r="F14" s="828">
        <f t="shared" si="0"/>
        <v>24</v>
      </c>
      <c r="G14" s="829">
        <f t="shared" si="0"/>
        <v>24</v>
      </c>
      <c r="I14" s="805"/>
    </row>
    <row r="15" spans="1:9" s="824" customFormat="1" ht="45.75" customHeight="1" x14ac:dyDescent="0.55000000000000004">
      <c r="A15" s="825" t="s">
        <v>1230</v>
      </c>
      <c r="B15" s="826">
        <f>'[6]létszám ei mód RM III.'!F15</f>
        <v>19</v>
      </c>
      <c r="C15" s="827">
        <f>'[6]létszám ei mód RM III.'!G15</f>
        <v>19</v>
      </c>
      <c r="D15" s="826">
        <f>'[6]létszám ei mód RM III.'!L15</f>
        <v>1</v>
      </c>
      <c r="E15" s="827">
        <f>'[6]létszám ei mód RM III.'!M15</f>
        <v>1</v>
      </c>
      <c r="F15" s="828">
        <f t="shared" si="0"/>
        <v>20</v>
      </c>
      <c r="G15" s="829">
        <f t="shared" si="0"/>
        <v>20</v>
      </c>
      <c r="I15" s="805"/>
    </row>
    <row r="16" spans="1:9" s="824" customFormat="1" ht="45.75" customHeight="1" x14ac:dyDescent="0.55000000000000004">
      <c r="A16" s="825" t="s">
        <v>1231</v>
      </c>
      <c r="B16" s="826">
        <f>'[6]létszám ei mód RM III.'!F16</f>
        <v>18</v>
      </c>
      <c r="C16" s="827">
        <f>'[6]létszám ei mód RM III.'!G16</f>
        <v>18</v>
      </c>
      <c r="D16" s="826">
        <f>'[6]létszám ei mód RM III.'!L16</f>
        <v>1</v>
      </c>
      <c r="E16" s="827">
        <f>'[6]létszám ei mód RM III.'!M16</f>
        <v>1</v>
      </c>
      <c r="F16" s="828">
        <f t="shared" si="0"/>
        <v>19</v>
      </c>
      <c r="G16" s="829">
        <f t="shared" si="0"/>
        <v>19</v>
      </c>
      <c r="I16" s="805"/>
    </row>
    <row r="17" spans="1:9" s="824" customFormat="1" ht="45.75" customHeight="1" x14ac:dyDescent="0.55000000000000004">
      <c r="A17" s="825" t="s">
        <v>1232</v>
      </c>
      <c r="B17" s="826">
        <f>'[6]létszám ei mód RM III.'!F17</f>
        <v>27</v>
      </c>
      <c r="C17" s="827">
        <f>'[6]létszám ei mód RM III.'!G17</f>
        <v>27</v>
      </c>
      <c r="D17" s="826">
        <f>'[6]létszám ei mód RM III.'!L17</f>
        <v>1</v>
      </c>
      <c r="E17" s="827">
        <f>'[6]létszám ei mód RM III.'!M17</f>
        <v>1</v>
      </c>
      <c r="F17" s="828">
        <f t="shared" si="0"/>
        <v>28</v>
      </c>
      <c r="G17" s="829">
        <f t="shared" si="0"/>
        <v>28</v>
      </c>
      <c r="I17" s="805"/>
    </row>
    <row r="18" spans="1:9" s="824" customFormat="1" ht="45.75" customHeight="1" x14ac:dyDescent="0.55000000000000004">
      <c r="A18" s="825" t="s">
        <v>1233</v>
      </c>
      <c r="B18" s="826">
        <f>'[6]létszám ei mód RM III.'!F18</f>
        <v>30</v>
      </c>
      <c r="C18" s="827">
        <f>'[6]létszám ei mód RM III.'!G18</f>
        <v>30</v>
      </c>
      <c r="D18" s="826">
        <f>'[6]létszám ei mód RM III.'!L18</f>
        <v>1</v>
      </c>
      <c r="E18" s="827">
        <f>'[6]létszám ei mód RM III.'!M18</f>
        <v>1</v>
      </c>
      <c r="F18" s="828">
        <f t="shared" si="0"/>
        <v>31</v>
      </c>
      <c r="G18" s="829">
        <f t="shared" si="0"/>
        <v>31</v>
      </c>
      <c r="I18" s="805"/>
    </row>
    <row r="19" spans="1:9" s="824" customFormat="1" ht="45.75" customHeight="1" x14ac:dyDescent="0.55000000000000004">
      <c r="A19" s="825" t="s">
        <v>1234</v>
      </c>
      <c r="B19" s="826">
        <f>'[6]létszám ei mód RM III.'!F19</f>
        <v>15</v>
      </c>
      <c r="C19" s="827">
        <f>'[6]létszám ei mód RM III.'!G19</f>
        <v>15</v>
      </c>
      <c r="D19" s="826">
        <f>'[6]létszám ei mód RM III.'!L19</f>
        <v>1</v>
      </c>
      <c r="E19" s="827">
        <f>'[6]létszám ei mód RM III.'!M19</f>
        <v>1</v>
      </c>
      <c r="F19" s="828">
        <f t="shared" si="0"/>
        <v>16</v>
      </c>
      <c r="G19" s="829">
        <f t="shared" si="0"/>
        <v>16</v>
      </c>
      <c r="I19" s="805"/>
    </row>
    <row r="20" spans="1:9" s="824" customFormat="1" ht="45.75" customHeight="1" x14ac:dyDescent="0.55000000000000004">
      <c r="A20" s="825" t="s">
        <v>1235</v>
      </c>
      <c r="B20" s="826">
        <f>'[6]létszám ei mód RM III.'!F20</f>
        <v>13.5</v>
      </c>
      <c r="C20" s="827">
        <f>'[6]létszám ei mód RM III.'!G20</f>
        <v>13</v>
      </c>
      <c r="D20" s="826">
        <f>'[6]létszám ei mód RM III.'!L20</f>
        <v>1.5</v>
      </c>
      <c r="E20" s="827">
        <f>'[6]létszám ei mód RM III.'!M20</f>
        <v>2</v>
      </c>
      <c r="F20" s="828">
        <f t="shared" si="0"/>
        <v>15</v>
      </c>
      <c r="G20" s="829">
        <f t="shared" si="0"/>
        <v>15</v>
      </c>
      <c r="I20" s="805"/>
    </row>
    <row r="21" spans="1:9" s="824" customFormat="1" ht="45.75" customHeight="1" x14ac:dyDescent="0.55000000000000004">
      <c r="A21" s="825" t="s">
        <v>1236</v>
      </c>
      <c r="B21" s="826">
        <f>'[6]létszám ei mód RM III.'!F21</f>
        <v>19</v>
      </c>
      <c r="C21" s="827">
        <f>'[6]létszám ei mód RM III.'!G21</f>
        <v>19</v>
      </c>
      <c r="D21" s="826">
        <f>'[6]létszám ei mód RM III.'!L21</f>
        <v>1</v>
      </c>
      <c r="E21" s="827">
        <f>'[6]létszám ei mód RM III.'!M21</f>
        <v>1</v>
      </c>
      <c r="F21" s="828">
        <f t="shared" si="0"/>
        <v>20</v>
      </c>
      <c r="G21" s="829">
        <f t="shared" si="0"/>
        <v>20</v>
      </c>
      <c r="I21" s="805"/>
    </row>
    <row r="22" spans="1:9" s="824" customFormat="1" ht="45.75" customHeight="1" x14ac:dyDescent="0.55000000000000004">
      <c r="A22" s="825" t="s">
        <v>1237</v>
      </c>
      <c r="B22" s="826">
        <f>'[6]létszám ei mód RM III.'!F22</f>
        <v>20</v>
      </c>
      <c r="C22" s="827">
        <f>'[6]létszám ei mód RM III.'!G22</f>
        <v>20</v>
      </c>
      <c r="D22" s="826">
        <f>'[6]létszám ei mód RM III.'!L22</f>
        <v>1</v>
      </c>
      <c r="E22" s="827">
        <f>'[6]létszám ei mód RM III.'!M22</f>
        <v>1</v>
      </c>
      <c r="F22" s="828">
        <f t="shared" si="0"/>
        <v>21</v>
      </c>
      <c r="G22" s="829">
        <f t="shared" si="0"/>
        <v>21</v>
      </c>
      <c r="I22" s="805"/>
    </row>
    <row r="23" spans="1:9" s="824" customFormat="1" ht="45.75" customHeight="1" x14ac:dyDescent="0.55000000000000004">
      <c r="A23" s="825" t="s">
        <v>1238</v>
      </c>
      <c r="B23" s="826">
        <f>'[6]létszám ei mód RM III.'!F23</f>
        <v>30</v>
      </c>
      <c r="C23" s="827">
        <f>'[6]létszám ei mód RM III.'!G23</f>
        <v>30</v>
      </c>
      <c r="D23" s="826">
        <f>'[6]létszám ei mód RM III.'!L23</f>
        <v>1</v>
      </c>
      <c r="E23" s="827">
        <f>'[6]létszám ei mód RM III.'!M23</f>
        <v>1</v>
      </c>
      <c r="F23" s="828">
        <f t="shared" si="0"/>
        <v>31</v>
      </c>
      <c r="G23" s="829">
        <f t="shared" si="0"/>
        <v>31</v>
      </c>
      <c r="I23" s="805"/>
    </row>
    <row r="24" spans="1:9" s="824" customFormat="1" ht="45.75" customHeight="1" x14ac:dyDescent="0.55000000000000004">
      <c r="A24" s="825" t="s">
        <v>1264</v>
      </c>
      <c r="B24" s="826">
        <f>'[6]létszám ei mód RM III.'!F24</f>
        <v>23</v>
      </c>
      <c r="C24" s="827">
        <f>'[6]létszám ei mód RM III.'!G24</f>
        <v>23</v>
      </c>
      <c r="D24" s="826">
        <f>'[6]létszám ei mód RM III.'!L24</f>
        <v>1</v>
      </c>
      <c r="E24" s="827">
        <f>'[6]létszám ei mód RM III.'!M24</f>
        <v>1</v>
      </c>
      <c r="F24" s="828">
        <f t="shared" si="0"/>
        <v>24</v>
      </c>
      <c r="G24" s="829">
        <f t="shared" si="0"/>
        <v>24</v>
      </c>
      <c r="I24" s="805"/>
    </row>
    <row r="25" spans="1:9" s="824" customFormat="1" ht="45.75" customHeight="1" x14ac:dyDescent="0.55000000000000004">
      <c r="A25" s="818" t="s">
        <v>1240</v>
      </c>
      <c r="B25" s="826">
        <f>'[6]létszám ei mód RM III.'!F25</f>
        <v>17</v>
      </c>
      <c r="C25" s="827">
        <f>'[6]létszám ei mód RM III.'!G25</f>
        <v>17</v>
      </c>
      <c r="D25" s="826">
        <f>'[6]létszám ei mód RM III.'!L25</f>
        <v>1</v>
      </c>
      <c r="E25" s="827">
        <f>'[6]létszám ei mód RM III.'!M25</f>
        <v>1</v>
      </c>
      <c r="F25" s="828">
        <f t="shared" si="0"/>
        <v>18</v>
      </c>
      <c r="G25" s="829">
        <f t="shared" si="0"/>
        <v>18</v>
      </c>
      <c r="I25" s="805"/>
    </row>
    <row r="26" spans="1:9" s="824" customFormat="1" ht="45.75" customHeight="1" thickBot="1" x14ac:dyDescent="0.6">
      <c r="A26" s="830" t="s">
        <v>1241</v>
      </c>
      <c r="B26" s="819">
        <f>'[6]létszám ei mód RM III.'!F26</f>
        <v>11.5</v>
      </c>
      <c r="C26" s="820">
        <f>'[6]létszám ei mód RM III.'!G26</f>
        <v>12</v>
      </c>
      <c r="D26" s="821">
        <f>'[6]létszám ei mód RM III.'!L26</f>
        <v>1.5</v>
      </c>
      <c r="E26" s="820">
        <f>'[6]létszám ei mód RM III.'!M26</f>
        <v>1</v>
      </c>
      <c r="F26" s="822">
        <f t="shared" si="0"/>
        <v>13</v>
      </c>
      <c r="G26" s="823">
        <f t="shared" si="0"/>
        <v>13</v>
      </c>
      <c r="I26" s="805"/>
    </row>
    <row r="27" spans="1:9" s="824" customFormat="1" ht="45.75" customHeight="1" thickBot="1" x14ac:dyDescent="0.6">
      <c r="A27" s="831" t="s">
        <v>1277</v>
      </c>
      <c r="B27" s="832">
        <f t="shared" ref="B27:G27" si="1">SUM(B9:B26)</f>
        <v>399</v>
      </c>
      <c r="C27" s="833">
        <f t="shared" si="1"/>
        <v>399</v>
      </c>
      <c r="D27" s="832">
        <f t="shared" si="1"/>
        <v>19</v>
      </c>
      <c r="E27" s="833">
        <f t="shared" si="1"/>
        <v>19</v>
      </c>
      <c r="F27" s="832">
        <f t="shared" si="1"/>
        <v>418</v>
      </c>
      <c r="G27" s="833">
        <f t="shared" si="1"/>
        <v>418</v>
      </c>
      <c r="I27" s="805"/>
    </row>
    <row r="28" spans="1:9" s="824" customFormat="1" ht="44.25" customHeight="1" thickBot="1" x14ac:dyDescent="0.6">
      <c r="A28" s="834" t="s">
        <v>122</v>
      </c>
      <c r="B28" s="819">
        <f>'[6]létszám ei mód RM III.'!F28</f>
        <v>0</v>
      </c>
      <c r="C28" s="820">
        <f>'[6]létszám ei mód RM III.'!G28</f>
        <v>0</v>
      </c>
      <c r="D28" s="821">
        <f>'[6]létszám ei mód RM III.'!L28</f>
        <v>44</v>
      </c>
      <c r="E28" s="820">
        <f>'[6]létszám ei mód RM III.'!M28</f>
        <v>44</v>
      </c>
      <c r="F28" s="822">
        <f>B28+D28</f>
        <v>44</v>
      </c>
      <c r="G28" s="823">
        <f>C28+E28</f>
        <v>44</v>
      </c>
      <c r="I28" s="805"/>
    </row>
    <row r="29" spans="1:9" s="824" customFormat="1" ht="42.75" customHeight="1" thickBot="1" x14ac:dyDescent="0.6">
      <c r="A29" s="831" t="s">
        <v>1278</v>
      </c>
      <c r="B29" s="832">
        <f t="shared" ref="B29:G29" si="2">SUM(B27:B28)</f>
        <v>399</v>
      </c>
      <c r="C29" s="835">
        <f t="shared" si="2"/>
        <v>399</v>
      </c>
      <c r="D29" s="832">
        <f t="shared" si="2"/>
        <v>63</v>
      </c>
      <c r="E29" s="835">
        <f t="shared" si="2"/>
        <v>63</v>
      </c>
      <c r="F29" s="832">
        <f t="shared" si="2"/>
        <v>462</v>
      </c>
      <c r="G29" s="835">
        <f t="shared" si="2"/>
        <v>462</v>
      </c>
      <c r="I29" s="805"/>
    </row>
    <row r="30" spans="1:9" s="824" customFormat="1" ht="42.75" customHeight="1" x14ac:dyDescent="0.55000000000000004">
      <c r="A30" s="836" t="s">
        <v>1244</v>
      </c>
      <c r="B30" s="822"/>
      <c r="C30" s="822"/>
      <c r="D30" s="822"/>
      <c r="E30" s="822"/>
      <c r="F30" s="822"/>
      <c r="G30" s="822"/>
      <c r="I30" s="805"/>
    </row>
    <row r="31" spans="1:9" s="824" customFormat="1" ht="45.75" customHeight="1" x14ac:dyDescent="0.55000000000000004">
      <c r="A31" s="813" t="s">
        <v>1279</v>
      </c>
      <c r="B31" s="822"/>
      <c r="C31" s="822"/>
      <c r="D31" s="822"/>
      <c r="E31" s="822"/>
      <c r="F31" s="822"/>
      <c r="G31" s="822"/>
      <c r="I31" s="805"/>
    </row>
    <row r="32" spans="1:9" s="824" customFormat="1" ht="44.25" customHeight="1" x14ac:dyDescent="0.55000000000000004">
      <c r="A32" s="837" t="s">
        <v>214</v>
      </c>
      <c r="B32" s="821">
        <f>'[6]létszám ei mód RM III.'!F32</f>
        <v>18</v>
      </c>
      <c r="C32" s="820">
        <f>'[6]létszám ei mód RM III.'!G32</f>
        <v>18</v>
      </c>
      <c r="D32" s="821">
        <f>'[6]létszám ei mód RM III.'!L32</f>
        <v>1.75</v>
      </c>
      <c r="E32" s="820">
        <f>'[6]létszám ei mód RM III.'!M32</f>
        <v>2</v>
      </c>
      <c r="F32" s="822">
        <f t="shared" ref="F32:G35" si="3">B32+D32</f>
        <v>19.75</v>
      </c>
      <c r="G32" s="823">
        <f t="shared" si="3"/>
        <v>20</v>
      </c>
      <c r="I32" s="805"/>
    </row>
    <row r="33" spans="1:9" s="824" customFormat="1" ht="44.25" customHeight="1" x14ac:dyDescent="0.55000000000000004">
      <c r="A33" s="825" t="s">
        <v>1246</v>
      </c>
      <c r="B33" s="838">
        <f>'[6]létszám ei mód RM III.'!F33</f>
        <v>77</v>
      </c>
      <c r="C33" s="827">
        <f>'[6]létszám ei mód RM III.'!G33</f>
        <v>77</v>
      </c>
      <c r="D33" s="826">
        <f>'[6]létszám ei mód RM III.'!L33</f>
        <v>7.5</v>
      </c>
      <c r="E33" s="827">
        <f>'[6]létszám ei mód RM III.'!M33</f>
        <v>7</v>
      </c>
      <c r="F33" s="828">
        <f t="shared" si="3"/>
        <v>84.5</v>
      </c>
      <c r="G33" s="829">
        <f t="shared" si="3"/>
        <v>84</v>
      </c>
      <c r="I33" s="805"/>
    </row>
    <row r="34" spans="1:9" s="824" customFormat="1" ht="44.25" customHeight="1" x14ac:dyDescent="0.55000000000000004">
      <c r="A34" s="825" t="s">
        <v>502</v>
      </c>
      <c r="B34" s="838">
        <f>'[6]létszám ei mód RM III.'!F34</f>
        <v>35</v>
      </c>
      <c r="C34" s="827">
        <f>'[6]létszám ei mód RM III.'!G34</f>
        <v>35</v>
      </c>
      <c r="D34" s="826">
        <f>'[6]létszám ei mód RM III.'!L34</f>
        <v>11</v>
      </c>
      <c r="E34" s="827">
        <f>'[6]létszám ei mód RM III.'!M34</f>
        <v>11</v>
      </c>
      <c r="F34" s="828">
        <f t="shared" si="3"/>
        <v>46</v>
      </c>
      <c r="G34" s="829">
        <f t="shared" si="3"/>
        <v>46</v>
      </c>
      <c r="I34" s="805"/>
    </row>
    <row r="35" spans="1:9" s="824" customFormat="1" ht="44.25" customHeight="1" thickBot="1" x14ac:dyDescent="0.6">
      <c r="A35" s="839" t="s">
        <v>1247</v>
      </c>
      <c r="B35" s="821">
        <f>'[6]létszám ei mód RM III.'!F35</f>
        <v>66.5</v>
      </c>
      <c r="C35" s="820">
        <f>'[6]létszám ei mód RM III.'!G35</f>
        <v>67</v>
      </c>
      <c r="D35" s="821">
        <f>'[6]létszám ei mód RM III.'!L35</f>
        <v>34.25</v>
      </c>
      <c r="E35" s="820">
        <f>'[6]létszám ei mód RM III.'!M35</f>
        <v>34</v>
      </c>
      <c r="F35" s="822">
        <f t="shared" si="3"/>
        <v>100.75</v>
      </c>
      <c r="G35" s="823">
        <f t="shared" si="3"/>
        <v>101</v>
      </c>
      <c r="I35" s="805"/>
    </row>
    <row r="36" spans="1:9" s="824" customFormat="1" ht="44.25" customHeight="1" thickBot="1" x14ac:dyDescent="0.6">
      <c r="A36" s="831" t="s">
        <v>1280</v>
      </c>
      <c r="B36" s="840">
        <f t="shared" ref="B36:G36" si="4">SUM(B32:B35)</f>
        <v>196.5</v>
      </c>
      <c r="C36" s="835">
        <f t="shared" si="4"/>
        <v>197</v>
      </c>
      <c r="D36" s="840">
        <f t="shared" si="4"/>
        <v>54.5</v>
      </c>
      <c r="E36" s="835">
        <f t="shared" si="4"/>
        <v>54</v>
      </c>
      <c r="F36" s="840">
        <f t="shared" si="4"/>
        <v>251</v>
      </c>
      <c r="G36" s="835">
        <f t="shared" si="4"/>
        <v>251</v>
      </c>
      <c r="I36" s="805"/>
    </row>
    <row r="37" spans="1:9" s="824" customFormat="1" ht="45.75" customHeight="1" x14ac:dyDescent="0.55000000000000004">
      <c r="A37" s="836" t="s">
        <v>1249</v>
      </c>
      <c r="B37" s="841"/>
      <c r="C37" s="841"/>
      <c r="D37" s="841"/>
      <c r="E37" s="841"/>
      <c r="F37" s="841"/>
      <c r="G37" s="841"/>
      <c r="I37" s="805"/>
    </row>
    <row r="38" spans="1:9" s="824" customFormat="1" ht="69" thickBot="1" x14ac:dyDescent="0.6">
      <c r="A38" s="837" t="s">
        <v>1250</v>
      </c>
      <c r="B38" s="819">
        <f>'[6]létszám ei mód RM III.'!F38</f>
        <v>161.25</v>
      </c>
      <c r="C38" s="820">
        <f>'[6]létszám ei mód RM III.'!G38</f>
        <v>161</v>
      </c>
      <c r="D38" s="821">
        <f>'[6]létszám ei mód RM III.'!L38</f>
        <v>21.5</v>
      </c>
      <c r="E38" s="820">
        <f>'[6]létszám ei mód RM III.'!M38</f>
        <v>22</v>
      </c>
      <c r="F38" s="822">
        <f>B38+D38</f>
        <v>182.75</v>
      </c>
      <c r="G38" s="823">
        <f>C38+E38</f>
        <v>183</v>
      </c>
      <c r="I38" s="805"/>
    </row>
    <row r="39" spans="1:9" s="824" customFormat="1" ht="44.25" customHeight="1" x14ac:dyDescent="0.55000000000000004">
      <c r="A39" s="836" t="s">
        <v>1251</v>
      </c>
      <c r="B39" s="842"/>
      <c r="C39" s="842"/>
      <c r="D39" s="842"/>
      <c r="E39" s="842"/>
      <c r="F39" s="841"/>
      <c r="G39" s="841"/>
      <c r="I39" s="805"/>
    </row>
    <row r="40" spans="1:9" s="824" customFormat="1" ht="45.75" customHeight="1" thickBot="1" x14ac:dyDescent="0.6">
      <c r="A40" s="843" t="s">
        <v>1252</v>
      </c>
      <c r="B40" s="819">
        <f>'[6]létszám ei mód RM III.'!F40</f>
        <v>45</v>
      </c>
      <c r="C40" s="820">
        <f>'[6]létszám ei mód RM III.'!G40</f>
        <v>45</v>
      </c>
      <c r="D40" s="821">
        <f>'[6]létszám ei mód RM III.'!L40</f>
        <v>30</v>
      </c>
      <c r="E40" s="820">
        <f>'[6]létszám ei mód RM III.'!M40</f>
        <v>30</v>
      </c>
      <c r="F40" s="822">
        <f>B40+D40</f>
        <v>75</v>
      </c>
      <c r="G40" s="823">
        <f>C40+E40</f>
        <v>75</v>
      </c>
      <c r="I40" s="805"/>
    </row>
    <row r="41" spans="1:9" s="824" customFormat="1" ht="45" customHeight="1" x14ac:dyDescent="0.55000000000000004">
      <c r="A41" s="836" t="s">
        <v>1253</v>
      </c>
      <c r="B41" s="842"/>
      <c r="C41" s="842"/>
      <c r="D41" s="842"/>
      <c r="E41" s="842"/>
      <c r="F41" s="841"/>
      <c r="G41" s="841"/>
      <c r="I41" s="805"/>
    </row>
    <row r="42" spans="1:9" s="824" customFormat="1" ht="44.25" customHeight="1" thickBot="1" x14ac:dyDescent="0.6">
      <c r="A42" s="843" t="s">
        <v>1281</v>
      </c>
      <c r="B42" s="819">
        <f>'[6]létszám ei mód RM III.'!F42</f>
        <v>146.01</v>
      </c>
      <c r="C42" s="820">
        <f>'[6]létszám ei mód RM III.'!G42</f>
        <v>146</v>
      </c>
      <c r="D42" s="821">
        <f>'[6]létszám ei mód RM III.'!L42</f>
        <v>42.74499999999999</v>
      </c>
      <c r="E42" s="820">
        <f>'[6]létszám ei mód RM III.'!M42</f>
        <v>43</v>
      </c>
      <c r="F42" s="822">
        <f>B42+D42</f>
        <v>188.755</v>
      </c>
      <c r="G42" s="823">
        <f>C42+E42</f>
        <v>189</v>
      </c>
      <c r="I42" s="805"/>
    </row>
    <row r="43" spans="1:9" s="824" customFormat="1" ht="45.75" customHeight="1" x14ac:dyDescent="0.55000000000000004">
      <c r="A43" s="836" t="s">
        <v>1255</v>
      </c>
      <c r="B43" s="842"/>
      <c r="C43" s="842"/>
      <c r="D43" s="842"/>
      <c r="E43" s="842"/>
      <c r="F43" s="841"/>
      <c r="G43" s="841"/>
      <c r="I43" s="805"/>
    </row>
    <row r="44" spans="1:9" s="824" customFormat="1" ht="44.25" customHeight="1" x14ac:dyDescent="0.55000000000000004">
      <c r="A44" s="843" t="s">
        <v>1256</v>
      </c>
      <c r="B44" s="819">
        <f>'[6]létszám ei mód RM III.'!F44</f>
        <v>1</v>
      </c>
      <c r="C44" s="820">
        <f>'[6]létszám ei mód RM III.'!G44</f>
        <v>1</v>
      </c>
      <c r="D44" s="844">
        <f>'[6]létszám ei mód RM III.'!L44</f>
        <v>13.5</v>
      </c>
      <c r="E44" s="845">
        <f>'[6]létszám ei mód RM III.'!M44</f>
        <v>13</v>
      </c>
      <c r="F44" s="846">
        <f t="shared" ref="F44:G45" si="5">B44+D44</f>
        <v>14.5</v>
      </c>
      <c r="G44" s="847">
        <f t="shared" si="5"/>
        <v>14</v>
      </c>
      <c r="I44" s="805"/>
    </row>
    <row r="45" spans="1:9" s="824" customFormat="1" ht="45" customHeight="1" thickBot="1" x14ac:dyDescent="0.6">
      <c r="A45" s="848" t="s">
        <v>41</v>
      </c>
      <c r="B45" s="849">
        <f>'[6]létszám ei mód RM III.'!F45</f>
        <v>278.5</v>
      </c>
      <c r="C45" s="850">
        <f>'[6]létszám ei mód RM III.'!G45</f>
        <v>279</v>
      </c>
      <c r="D45" s="851">
        <f>'[6]létszám ei mód RM III.'!L45</f>
        <v>0</v>
      </c>
      <c r="E45" s="850">
        <f>'[6]létszám ei mód RM III.'!M45</f>
        <v>0</v>
      </c>
      <c r="F45" s="852">
        <f t="shared" si="5"/>
        <v>278.5</v>
      </c>
      <c r="G45" s="853">
        <f t="shared" si="5"/>
        <v>279</v>
      </c>
      <c r="I45" s="805"/>
    </row>
    <row r="46" spans="1:9" s="824" customFormat="1" ht="44.25" customHeight="1" thickBot="1" x14ac:dyDescent="0.6">
      <c r="A46" s="831" t="s">
        <v>1280</v>
      </c>
      <c r="B46" s="854">
        <f t="shared" ref="B46:G46" si="6">SUM(B44:B45)</f>
        <v>279.5</v>
      </c>
      <c r="C46" s="855">
        <f t="shared" si="6"/>
        <v>280</v>
      </c>
      <c r="D46" s="854">
        <f t="shared" si="6"/>
        <v>13.5</v>
      </c>
      <c r="E46" s="855">
        <f t="shared" si="6"/>
        <v>13</v>
      </c>
      <c r="F46" s="854">
        <f t="shared" si="6"/>
        <v>293</v>
      </c>
      <c r="G46" s="855">
        <f t="shared" si="6"/>
        <v>293</v>
      </c>
      <c r="I46" s="805"/>
    </row>
    <row r="47" spans="1:9" s="824" customFormat="1" ht="44.25" customHeight="1" thickBot="1" x14ac:dyDescent="0.6">
      <c r="A47" s="856" t="s">
        <v>1258</v>
      </c>
      <c r="B47" s="854">
        <f t="shared" ref="B47:G47" si="7">B36+B38+B40+B42+B46</f>
        <v>828.26</v>
      </c>
      <c r="C47" s="855">
        <f t="shared" si="7"/>
        <v>829</v>
      </c>
      <c r="D47" s="854">
        <f t="shared" si="7"/>
        <v>162.245</v>
      </c>
      <c r="E47" s="855">
        <f t="shared" si="7"/>
        <v>162</v>
      </c>
      <c r="F47" s="854">
        <f t="shared" si="7"/>
        <v>990.505</v>
      </c>
      <c r="G47" s="855">
        <f t="shared" si="7"/>
        <v>991</v>
      </c>
      <c r="I47" s="805"/>
    </row>
    <row r="48" spans="1:9" s="824" customFormat="1" ht="44.25" customHeight="1" thickBot="1" x14ac:dyDescent="0.6">
      <c r="A48" s="857" t="s">
        <v>1259</v>
      </c>
      <c r="B48" s="854">
        <f t="shared" ref="B48:G48" si="8">B29+B47</f>
        <v>1227.26</v>
      </c>
      <c r="C48" s="855">
        <f t="shared" si="8"/>
        <v>1228</v>
      </c>
      <c r="D48" s="854">
        <f t="shared" si="8"/>
        <v>225.245</v>
      </c>
      <c r="E48" s="855">
        <f t="shared" si="8"/>
        <v>225</v>
      </c>
      <c r="F48" s="854">
        <f t="shared" si="8"/>
        <v>1452.5050000000001</v>
      </c>
      <c r="G48" s="855">
        <f t="shared" si="8"/>
        <v>1453</v>
      </c>
      <c r="I48" s="805"/>
    </row>
    <row r="49" spans="1:22" s="861" customFormat="1" x14ac:dyDescent="0.5">
      <c r="A49" s="858"/>
      <c r="B49" s="859"/>
      <c r="C49" s="860"/>
      <c r="I49" s="862"/>
    </row>
    <row r="50" spans="1:22" s="824" customFormat="1" x14ac:dyDescent="0.5">
      <c r="A50" s="863"/>
      <c r="F50" s="859"/>
      <c r="G50" s="859"/>
      <c r="I50" s="864"/>
    </row>
    <row r="51" spans="1:22" s="824" customFormat="1" x14ac:dyDescent="0.5">
      <c r="A51" s="863"/>
      <c r="I51" s="864"/>
    </row>
    <row r="52" spans="1:22" s="861" customFormat="1" ht="35.25" x14ac:dyDescent="0.5">
      <c r="A52" s="865"/>
      <c r="B52" s="866"/>
      <c r="C52" s="867"/>
      <c r="G52" s="868"/>
      <c r="I52" s="862"/>
    </row>
    <row r="53" spans="1:22" x14ac:dyDescent="0.5">
      <c r="B53" s="869"/>
      <c r="C53" s="870"/>
    </row>
    <row r="55" spans="1:22" s="824" customFormat="1" ht="35.25" x14ac:dyDescent="0.5">
      <c r="A55" s="871"/>
      <c r="B55" s="866"/>
      <c r="C55" s="867"/>
      <c r="D55" s="867"/>
      <c r="E55" s="872"/>
      <c r="F55" s="872"/>
      <c r="G55" s="872"/>
      <c r="H55" s="872"/>
      <c r="I55" s="873"/>
      <c r="V55" s="864"/>
    </row>
    <row r="56" spans="1:22" s="824" customFormat="1" ht="35.25" x14ac:dyDescent="0.5">
      <c r="A56" s="865"/>
      <c r="B56" s="866"/>
      <c r="C56" s="866"/>
      <c r="D56" s="867"/>
      <c r="E56" s="872"/>
      <c r="F56" s="872"/>
      <c r="G56" s="872"/>
      <c r="H56" s="872"/>
      <c r="I56" s="873"/>
      <c r="V56" s="864"/>
    </row>
    <row r="57" spans="1:22" s="824" customFormat="1" ht="35.25" x14ac:dyDescent="0.5">
      <c r="A57" s="865"/>
      <c r="B57" s="866"/>
      <c r="C57" s="866"/>
      <c r="D57" s="867"/>
      <c r="E57" s="872"/>
      <c r="F57" s="872"/>
      <c r="G57" s="872"/>
      <c r="H57" s="872"/>
      <c r="I57" s="872"/>
      <c r="V57" s="864"/>
    </row>
    <row r="58" spans="1:22" s="824" customFormat="1" ht="35.25" x14ac:dyDescent="0.5">
      <c r="A58" s="867"/>
      <c r="B58" s="866"/>
      <c r="C58" s="867"/>
      <c r="D58" s="867"/>
      <c r="E58" s="872"/>
      <c r="F58" s="872"/>
      <c r="G58" s="872"/>
      <c r="H58" s="872"/>
      <c r="I58" s="873"/>
      <c r="V58" s="864"/>
    </row>
  </sheetData>
  <mergeCells count="9">
    <mergeCell ref="B6:C6"/>
    <mergeCell ref="D6:E6"/>
    <mergeCell ref="A1:G1"/>
    <mergeCell ref="A2:G2"/>
    <mergeCell ref="B3:E3"/>
    <mergeCell ref="B4:E4"/>
    <mergeCell ref="F4:G5"/>
    <mergeCell ref="B5:C5"/>
    <mergeCell ref="D5:E5"/>
  </mergeCells>
  <printOptions horizontalCentered="1" verticalCentered="1"/>
  <pageMargins left="0.39370078740157483" right="0" top="0" bottom="0" header="0.59055118110236227" footer="0"/>
  <pageSetup paperSize="9" scale="25" orientation="portrait" verticalDpi="300" r:id="rId1"/>
  <headerFooter alignWithMargins="0">
    <oddHeader xml:space="preserve">&amp;R&amp;"-,Félkövér"&amp;28 7. melléklet a 10/2024.(V.31.) önkormányzati rendelethez 
</oddHeader>
  </headerFooter>
  <rowBreaks count="1" manualBreakCount="1">
    <brk id="48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8"/>
  <dimension ref="B1:H44"/>
  <sheetViews>
    <sheetView view="pageLayout" zoomScaleNormal="100" zoomScaleSheetLayoutView="100" workbookViewId="0">
      <selection activeCell="B38" sqref="B38"/>
    </sheetView>
  </sheetViews>
  <sheetFormatPr defaultColWidth="9.33203125" defaultRowHeight="15" customHeight="1" x14ac:dyDescent="0.2"/>
  <cols>
    <col min="1" max="1" width="9.33203125" style="1"/>
    <col min="2" max="2" width="103.83203125" style="1" customWidth="1"/>
    <col min="3" max="5" width="27.83203125" style="1" customWidth="1"/>
    <col min="6" max="6" width="23.6640625" style="1" customWidth="1"/>
    <col min="7" max="7" width="9.33203125" style="1"/>
    <col min="8" max="8" width="13.33203125" style="1" bestFit="1" customWidth="1"/>
    <col min="9" max="16384" width="9.33203125" style="1"/>
  </cols>
  <sheetData>
    <row r="1" spans="2:6" ht="15" customHeight="1" x14ac:dyDescent="0.25">
      <c r="B1" s="1957"/>
      <c r="C1" s="1957"/>
      <c r="D1" s="60"/>
      <c r="E1" s="60"/>
      <c r="F1" s="60"/>
    </row>
    <row r="2" spans="2:6" ht="24.75" customHeight="1" x14ac:dyDescent="0.3">
      <c r="B2" s="1958" t="s">
        <v>19</v>
      </c>
      <c r="C2" s="1958"/>
      <c r="D2" s="1958"/>
      <c r="E2" s="1958"/>
      <c r="F2" s="1958"/>
    </row>
    <row r="3" spans="2:6" ht="15" customHeight="1" x14ac:dyDescent="0.25">
      <c r="B3" s="59"/>
      <c r="C3" s="59"/>
      <c r="D3" s="60"/>
      <c r="E3" s="60"/>
      <c r="F3" s="60"/>
    </row>
    <row r="4" spans="2:6" ht="27" customHeight="1" thickBot="1" x14ac:dyDescent="0.3">
      <c r="B4" s="968" t="s">
        <v>135</v>
      </c>
      <c r="C4" s="83"/>
      <c r="D4" s="83"/>
      <c r="E4" s="83"/>
      <c r="F4" s="84" t="s">
        <v>15</v>
      </c>
    </row>
    <row r="5" spans="2:6" ht="27" customHeight="1" x14ac:dyDescent="0.3">
      <c r="B5" s="969" t="s">
        <v>29</v>
      </c>
      <c r="C5" s="1864" t="s">
        <v>514</v>
      </c>
      <c r="D5" s="1864"/>
      <c r="E5" s="147" t="s">
        <v>305</v>
      </c>
      <c r="F5" s="259" t="s">
        <v>90</v>
      </c>
    </row>
    <row r="6" spans="2:6" ht="27" customHeight="1" thickBot="1" x14ac:dyDescent="0.35">
      <c r="B6" s="970"/>
      <c r="C6" s="260" t="s">
        <v>184</v>
      </c>
      <c r="D6" s="260" t="s">
        <v>88</v>
      </c>
      <c r="E6" s="261" t="s">
        <v>89</v>
      </c>
      <c r="F6" s="262" t="s">
        <v>91</v>
      </c>
    </row>
    <row r="7" spans="2:6" ht="27" customHeight="1" x14ac:dyDescent="0.3">
      <c r="B7" s="957" t="s">
        <v>75</v>
      </c>
      <c r="C7" s="263">
        <v>2413675</v>
      </c>
      <c r="D7" s="263">
        <v>2542802</v>
      </c>
      <c r="E7" s="264">
        <v>2400089</v>
      </c>
      <c r="F7" s="265">
        <f>+E7/D7*100</f>
        <v>94.387569303469164</v>
      </c>
    </row>
    <row r="8" spans="2:6" ht="27" customHeight="1" x14ac:dyDescent="0.3">
      <c r="B8" s="958" t="s">
        <v>122</v>
      </c>
      <c r="C8" s="266">
        <v>2237002</v>
      </c>
      <c r="D8" s="266">
        <v>2461430</v>
      </c>
      <c r="E8" s="267">
        <v>2214435</v>
      </c>
      <c r="F8" s="384">
        <f t="shared" ref="F8:F26" si="0">+E8/D8*100</f>
        <v>89.965385974819512</v>
      </c>
    </row>
    <row r="9" spans="2:6" ht="27" customHeight="1" thickBot="1" x14ac:dyDescent="0.35">
      <c r="B9" s="971" t="s">
        <v>10</v>
      </c>
      <c r="C9" s="272">
        <f>SUM(C7:C8)</f>
        <v>4650677</v>
      </c>
      <c r="D9" s="272">
        <f>SUM(D7:D8)</f>
        <v>5004232</v>
      </c>
      <c r="E9" s="272">
        <f>SUM(E7:E8)</f>
        <v>4614524</v>
      </c>
      <c r="F9" s="273">
        <f t="shared" si="0"/>
        <v>92.21243139806468</v>
      </c>
    </row>
    <row r="10" spans="2:6" ht="27" customHeight="1" x14ac:dyDescent="0.3">
      <c r="B10" s="959" t="s">
        <v>306</v>
      </c>
      <c r="C10" s="264">
        <v>30000</v>
      </c>
      <c r="D10" s="264">
        <v>0</v>
      </c>
      <c r="E10" s="264"/>
      <c r="F10" s="265"/>
    </row>
    <row r="11" spans="2:6" ht="27" customHeight="1" x14ac:dyDescent="0.3">
      <c r="B11" s="960" t="s">
        <v>1400</v>
      </c>
      <c r="C11" s="166">
        <v>7200</v>
      </c>
      <c r="D11" s="166">
        <v>14352</v>
      </c>
      <c r="E11" s="166">
        <v>7152</v>
      </c>
      <c r="F11" s="271">
        <f t="shared" si="0"/>
        <v>49.832775919732441</v>
      </c>
    </row>
    <row r="12" spans="2:6" ht="27" customHeight="1" x14ac:dyDescent="0.3">
      <c r="B12" s="961" t="s">
        <v>445</v>
      </c>
      <c r="C12" s="166">
        <v>800</v>
      </c>
      <c r="D12" s="166">
        <v>0</v>
      </c>
      <c r="E12" s="166"/>
      <c r="F12" s="271"/>
    </row>
    <row r="13" spans="2:6" ht="27" customHeight="1" x14ac:dyDescent="0.3">
      <c r="B13" s="962" t="s">
        <v>264</v>
      </c>
      <c r="C13" s="274">
        <v>4000</v>
      </c>
      <c r="D13" s="274">
        <v>4000</v>
      </c>
      <c r="E13" s="274"/>
      <c r="F13" s="268">
        <f t="shared" si="0"/>
        <v>0</v>
      </c>
    </row>
    <row r="14" spans="2:6" ht="27" customHeight="1" x14ac:dyDescent="0.3">
      <c r="B14" s="963" t="s">
        <v>116</v>
      </c>
      <c r="C14" s="168">
        <v>400</v>
      </c>
      <c r="D14" s="168">
        <v>350</v>
      </c>
      <c r="E14" s="139">
        <v>350</v>
      </c>
      <c r="F14" s="271">
        <f t="shared" si="0"/>
        <v>100</v>
      </c>
    </row>
    <row r="15" spans="2:6" ht="27" customHeight="1" x14ac:dyDescent="0.3">
      <c r="B15" s="964" t="s">
        <v>610</v>
      </c>
      <c r="C15" s="275">
        <v>1500</v>
      </c>
      <c r="D15" s="275">
        <v>1796</v>
      </c>
      <c r="E15" s="166">
        <v>1796</v>
      </c>
      <c r="F15" s="271">
        <f t="shared" si="0"/>
        <v>100</v>
      </c>
    </row>
    <row r="16" spans="2:6" ht="27" customHeight="1" x14ac:dyDescent="0.3">
      <c r="B16" s="962" t="s">
        <v>216</v>
      </c>
      <c r="C16" s="274">
        <v>8000</v>
      </c>
      <c r="D16" s="274">
        <v>0</v>
      </c>
      <c r="E16" s="274"/>
      <c r="F16" s="268"/>
    </row>
    <row r="17" spans="2:6" ht="27" customHeight="1" x14ac:dyDescent="0.3">
      <c r="B17" s="479" t="s">
        <v>523</v>
      </c>
      <c r="C17" s="480">
        <v>6000</v>
      </c>
      <c r="D17" s="480">
        <v>6000</v>
      </c>
      <c r="E17" s="463">
        <v>5554</v>
      </c>
      <c r="F17" s="481">
        <f t="shared" si="0"/>
        <v>92.566666666666663</v>
      </c>
    </row>
    <row r="18" spans="2:6" ht="27" customHeight="1" x14ac:dyDescent="0.3">
      <c r="B18" s="963" t="s">
        <v>63</v>
      </c>
      <c r="C18" s="168">
        <v>4842</v>
      </c>
      <c r="D18" s="168">
        <v>4905</v>
      </c>
      <c r="E18" s="139">
        <v>4904</v>
      </c>
      <c r="F18" s="481">
        <f t="shared" si="0"/>
        <v>99.979612640163097</v>
      </c>
    </row>
    <row r="19" spans="2:6" ht="27" customHeight="1" x14ac:dyDescent="0.3">
      <c r="B19" s="963" t="s">
        <v>85</v>
      </c>
      <c r="C19" s="168">
        <v>1250</v>
      </c>
      <c r="D19" s="168">
        <v>1250</v>
      </c>
      <c r="E19" s="139">
        <v>188</v>
      </c>
      <c r="F19" s="481">
        <f t="shared" si="0"/>
        <v>15.040000000000001</v>
      </c>
    </row>
    <row r="20" spans="2:6" ht="27" customHeight="1" x14ac:dyDescent="0.3">
      <c r="B20" s="963" t="s">
        <v>93</v>
      </c>
      <c r="C20" s="168">
        <v>3000</v>
      </c>
      <c r="D20" s="168">
        <v>2800</v>
      </c>
      <c r="E20" s="139">
        <v>2800</v>
      </c>
      <c r="F20" s="481">
        <f t="shared" si="0"/>
        <v>100</v>
      </c>
    </row>
    <row r="21" spans="2:6" ht="27" customHeight="1" x14ac:dyDescent="0.3">
      <c r="B21" s="963" t="s">
        <v>1</v>
      </c>
      <c r="C21" s="168">
        <v>300</v>
      </c>
      <c r="D21" s="168">
        <v>300</v>
      </c>
      <c r="E21" s="168">
        <v>300</v>
      </c>
      <c r="F21" s="481">
        <f t="shared" si="0"/>
        <v>100</v>
      </c>
    </row>
    <row r="22" spans="2:6" ht="27" customHeight="1" x14ac:dyDescent="0.3">
      <c r="B22" s="498" t="s">
        <v>13</v>
      </c>
      <c r="C22" s="168">
        <v>1000</v>
      </c>
      <c r="D22" s="168">
        <v>837</v>
      </c>
      <c r="E22" s="139">
        <v>831</v>
      </c>
      <c r="F22" s="481">
        <f t="shared" si="0"/>
        <v>99.283154121863802</v>
      </c>
    </row>
    <row r="23" spans="2:6" ht="36.75" customHeight="1" x14ac:dyDescent="0.3">
      <c r="B23" s="539" t="s">
        <v>611</v>
      </c>
      <c r="C23" s="168">
        <v>2050</v>
      </c>
      <c r="D23" s="168">
        <v>0</v>
      </c>
      <c r="E23" s="168"/>
      <c r="F23" s="481"/>
    </row>
    <row r="24" spans="2:6" ht="33" customHeight="1" x14ac:dyDescent="0.3">
      <c r="B24" s="539" t="s">
        <v>295</v>
      </c>
      <c r="C24" s="168">
        <v>1000</v>
      </c>
      <c r="D24" s="168">
        <v>1690</v>
      </c>
      <c r="E24" s="521">
        <v>1640</v>
      </c>
      <c r="F24" s="481">
        <f t="shared" si="0"/>
        <v>97.041420118343197</v>
      </c>
    </row>
    <row r="25" spans="2:6" ht="27" customHeight="1" x14ac:dyDescent="0.3">
      <c r="B25" s="539" t="s">
        <v>1196</v>
      </c>
      <c r="C25" s="168"/>
      <c r="D25" s="168">
        <v>162200</v>
      </c>
      <c r="E25" s="168">
        <v>75324</v>
      </c>
      <c r="F25" s="481">
        <f t="shared" si="0"/>
        <v>46.438964241676942</v>
      </c>
    </row>
    <row r="26" spans="2:6" ht="27" customHeight="1" x14ac:dyDescent="0.3">
      <c r="B26" s="965" t="s">
        <v>1401</v>
      </c>
      <c r="C26" s="276">
        <v>6900</v>
      </c>
      <c r="D26" s="276">
        <v>6200</v>
      </c>
      <c r="E26" s="276">
        <v>1200</v>
      </c>
      <c r="F26" s="140">
        <f t="shared" si="0"/>
        <v>19.35483870967742</v>
      </c>
    </row>
    <row r="27" spans="2:6" ht="27" customHeight="1" thickBot="1" x14ac:dyDescent="0.35">
      <c r="B27" s="966" t="s">
        <v>265</v>
      </c>
      <c r="C27" s="272">
        <f>SUM(C10:C26)</f>
        <v>78242</v>
      </c>
      <c r="D27" s="272">
        <f>SUM(D10:D26)</f>
        <v>206680</v>
      </c>
      <c r="E27" s="272">
        <f>SUM(E10:E26)</f>
        <v>102039</v>
      </c>
      <c r="F27" s="277">
        <f>+E27/D27*100</f>
        <v>49.370524482291465</v>
      </c>
    </row>
    <row r="28" spans="2:6" s="4" customFormat="1" ht="27" customHeight="1" thickBot="1" x14ac:dyDescent="0.35">
      <c r="B28" s="972" t="s">
        <v>312</v>
      </c>
      <c r="C28" s="159">
        <f>C9+C27</f>
        <v>4728919</v>
      </c>
      <c r="D28" s="159">
        <f>D9+D27</f>
        <v>5210912</v>
      </c>
      <c r="E28" s="159">
        <f>E9+E27</f>
        <v>4716563</v>
      </c>
      <c r="F28" s="278">
        <f>+E28/D28*100</f>
        <v>90.513196154531101</v>
      </c>
    </row>
    <row r="29" spans="2:6" ht="27" customHeight="1" x14ac:dyDescent="0.25">
      <c r="B29" s="60"/>
      <c r="C29" s="82"/>
      <c r="D29" s="60"/>
      <c r="E29" s="60"/>
      <c r="F29" s="60"/>
    </row>
    <row r="30" spans="2:6" ht="27" customHeight="1" x14ac:dyDescent="0.25">
      <c r="B30" s="60"/>
      <c r="C30" s="82"/>
      <c r="D30" s="82"/>
      <c r="E30" s="82"/>
      <c r="F30" s="60"/>
    </row>
    <row r="31" spans="2:6" ht="27" customHeight="1" thickBot="1" x14ac:dyDescent="0.3">
      <c r="B31" s="973" t="s">
        <v>16</v>
      </c>
      <c r="C31" s="64"/>
      <c r="D31" s="64"/>
      <c r="E31" s="60"/>
      <c r="F31" s="64"/>
    </row>
    <row r="32" spans="2:6" ht="27" customHeight="1" x14ac:dyDescent="0.3">
      <c r="B32" s="974" t="s">
        <v>29</v>
      </c>
      <c r="C32" s="1864" t="s">
        <v>514</v>
      </c>
      <c r="D32" s="1864"/>
      <c r="E32" s="147" t="s">
        <v>305</v>
      </c>
      <c r="F32" s="279" t="s">
        <v>90</v>
      </c>
    </row>
    <row r="33" spans="2:8" ht="27" customHeight="1" thickBot="1" x14ac:dyDescent="0.35">
      <c r="B33" s="975"/>
      <c r="C33" s="260" t="s">
        <v>184</v>
      </c>
      <c r="D33" s="260" t="s">
        <v>88</v>
      </c>
      <c r="E33" s="261" t="s">
        <v>89</v>
      </c>
      <c r="F33" s="280" t="s">
        <v>91</v>
      </c>
    </row>
    <row r="34" spans="2:8" ht="27" customHeight="1" x14ac:dyDescent="0.3">
      <c r="B34" s="957" t="s">
        <v>75</v>
      </c>
      <c r="C34" s="264"/>
      <c r="D34" s="281">
        <v>65472</v>
      </c>
      <c r="E34" s="282">
        <v>56351</v>
      </c>
      <c r="F34" s="283">
        <f t="shared" ref="F34:F36" si="1">+E34/D34*100</f>
        <v>86.068853861192579</v>
      </c>
      <c r="H34" s="3"/>
    </row>
    <row r="35" spans="2:8" ht="27" customHeight="1" x14ac:dyDescent="0.3">
      <c r="B35" s="958" t="s">
        <v>122</v>
      </c>
      <c r="C35" s="284"/>
      <c r="D35" s="285">
        <v>123517</v>
      </c>
      <c r="E35" s="285">
        <v>37220</v>
      </c>
      <c r="F35" s="286">
        <f t="shared" si="1"/>
        <v>30.133503890152774</v>
      </c>
      <c r="H35" s="3"/>
    </row>
    <row r="36" spans="2:8" ht="27" customHeight="1" thickBot="1" x14ac:dyDescent="0.35">
      <c r="B36" s="971" t="s">
        <v>313</v>
      </c>
      <c r="C36" s="144">
        <f>SUM(C34:C35)</f>
        <v>0</v>
      </c>
      <c r="D36" s="144">
        <f>SUM(D34:D35)</f>
        <v>188989</v>
      </c>
      <c r="E36" s="144">
        <f>SUM(E34:E35)</f>
        <v>93571</v>
      </c>
      <c r="F36" s="145">
        <f t="shared" si="1"/>
        <v>49.511347221266846</v>
      </c>
      <c r="H36" s="3"/>
    </row>
    <row r="37" spans="2:8" ht="27" customHeight="1" thickBot="1" x14ac:dyDescent="0.35">
      <c r="B37" s="976"/>
      <c r="C37" s="237"/>
      <c r="D37" s="237"/>
      <c r="E37" s="287"/>
      <c r="F37" s="288"/>
    </row>
    <row r="38" spans="2:8" ht="27" customHeight="1" thickBot="1" x14ac:dyDescent="0.35">
      <c r="B38" s="977" t="s">
        <v>314</v>
      </c>
      <c r="C38" s="289">
        <f>+C28+C36</f>
        <v>4728919</v>
      </c>
      <c r="D38" s="289">
        <f>+D28+D36</f>
        <v>5399901</v>
      </c>
      <c r="E38" s="289">
        <f>+E36+E28</f>
        <v>4810134</v>
      </c>
      <c r="F38" s="290">
        <f>+E38/D38*100</f>
        <v>89.078188655680918</v>
      </c>
    </row>
    <row r="39" spans="2:8" ht="21" customHeight="1" x14ac:dyDescent="0.25">
      <c r="B39" s="60"/>
      <c r="C39" s="60"/>
      <c r="D39" s="60"/>
      <c r="E39" s="60"/>
      <c r="F39" s="60"/>
    </row>
    <row r="40" spans="2:8" ht="15" customHeight="1" x14ac:dyDescent="0.2">
      <c r="E40" s="3"/>
    </row>
    <row r="41" spans="2:8" ht="15" customHeight="1" x14ac:dyDescent="0.2">
      <c r="D41" s="7"/>
      <c r="E41" s="3"/>
    </row>
    <row r="42" spans="2:8" ht="15" customHeight="1" x14ac:dyDescent="0.2">
      <c r="E42" s="3"/>
    </row>
    <row r="44" spans="2:8" ht="15" customHeight="1" x14ac:dyDescent="0.2">
      <c r="E44" s="3"/>
    </row>
  </sheetData>
  <mergeCells count="4">
    <mergeCell ref="B1:C1"/>
    <mergeCell ref="C5:D5"/>
    <mergeCell ref="C32:D32"/>
    <mergeCell ref="B2:F2"/>
  </mergeCells>
  <phoneticPr fontId="0" type="noConversion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52" orientation="portrait" r:id="rId1"/>
  <headerFooter alignWithMargins="0">
    <oddHeader xml:space="preserve">&amp;C&amp;"Times New Roman CE,Félkövér"&amp;14
&amp;R&amp;"Calibri,Félkövér"&amp;11 &amp;"-,Félkövér"&amp;12 8. melléklet a 10/2024.(V.31.) önkormányzati rendelethez 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/>
  <dimension ref="A1:I99"/>
  <sheetViews>
    <sheetView zoomScaleNormal="100" zoomScaleSheetLayoutView="75" workbookViewId="0">
      <selection activeCell="A11" sqref="A11"/>
    </sheetView>
  </sheetViews>
  <sheetFormatPr defaultColWidth="9.33203125" defaultRowHeight="15" customHeight="1" x14ac:dyDescent="0.2"/>
  <cols>
    <col min="1" max="1" width="116.83203125" style="1" customWidth="1"/>
    <col min="2" max="4" width="25.83203125" style="1" customWidth="1"/>
    <col min="5" max="5" width="22.6640625" style="1" customWidth="1"/>
    <col min="6" max="6" width="21.6640625" style="3" customWidth="1"/>
    <col min="7" max="7" width="59" style="3" customWidth="1"/>
    <col min="8" max="9" width="59" style="51" customWidth="1"/>
    <col min="10" max="16384" width="9.33203125" style="1"/>
  </cols>
  <sheetData>
    <row r="1" spans="1:5" ht="15" customHeight="1" x14ac:dyDescent="0.25">
      <c r="A1" s="59"/>
      <c r="B1" s="60"/>
      <c r="C1" s="60"/>
      <c r="D1" s="60"/>
      <c r="E1" s="60"/>
    </row>
    <row r="2" spans="1:5" ht="24" customHeight="1" x14ac:dyDescent="0.25">
      <c r="A2" s="1959" t="s">
        <v>277</v>
      </c>
      <c r="B2" s="1959"/>
      <c r="C2" s="1959"/>
      <c r="D2" s="1959"/>
      <c r="E2" s="1959"/>
    </row>
    <row r="3" spans="1:5" ht="15" customHeight="1" x14ac:dyDescent="0.25">
      <c r="A3" s="59"/>
      <c r="B3" s="59"/>
      <c r="C3" s="60"/>
      <c r="D3" s="60"/>
      <c r="E3" s="60"/>
    </row>
    <row r="4" spans="1:5" ht="24.75" customHeight="1" thickBot="1" x14ac:dyDescent="0.3">
      <c r="A4" s="968" t="s">
        <v>135</v>
      </c>
      <c r="B4" s="64"/>
      <c r="C4" s="60"/>
      <c r="D4" s="60"/>
      <c r="E4" s="64" t="s">
        <v>15</v>
      </c>
    </row>
    <row r="5" spans="1:5" ht="24.75" customHeight="1" thickBot="1" x14ac:dyDescent="0.35">
      <c r="A5" s="978" t="s">
        <v>29</v>
      </c>
      <c r="B5" s="1883" t="s">
        <v>514</v>
      </c>
      <c r="C5" s="1883"/>
      <c r="D5" s="334" t="s">
        <v>305</v>
      </c>
      <c r="E5" s="194" t="s">
        <v>90</v>
      </c>
    </row>
    <row r="6" spans="1:5" ht="24.75" customHeight="1" thickBot="1" x14ac:dyDescent="0.35">
      <c r="A6" s="979"/>
      <c r="B6" s="467" t="s">
        <v>184</v>
      </c>
      <c r="C6" s="467" t="s">
        <v>88</v>
      </c>
      <c r="D6" s="291" t="s">
        <v>89</v>
      </c>
      <c r="E6" s="152" t="s">
        <v>91</v>
      </c>
    </row>
    <row r="7" spans="1:5" ht="17.100000000000001" customHeight="1" x14ac:dyDescent="0.3">
      <c r="A7" s="980" t="s">
        <v>69</v>
      </c>
      <c r="B7" s="293"/>
      <c r="C7" s="293"/>
      <c r="D7" s="293"/>
      <c r="E7" s="293"/>
    </row>
    <row r="8" spans="1:5" ht="24.95" customHeight="1" x14ac:dyDescent="0.3">
      <c r="A8" s="981" t="s">
        <v>70</v>
      </c>
      <c r="B8" s="292"/>
      <c r="C8" s="292"/>
      <c r="D8" s="292"/>
      <c r="E8" s="294"/>
    </row>
    <row r="9" spans="1:5" ht="24.95" customHeight="1" x14ac:dyDescent="0.3">
      <c r="A9" s="982" t="s">
        <v>1379</v>
      </c>
      <c r="B9" s="208">
        <v>59900</v>
      </c>
      <c r="C9" s="208"/>
      <c r="D9" s="208"/>
      <c r="E9" s="209"/>
    </row>
    <row r="10" spans="1:5" ht="24.95" customHeight="1" x14ac:dyDescent="0.3">
      <c r="A10" s="482" t="s">
        <v>369</v>
      </c>
      <c r="B10" s="211">
        <v>53000</v>
      </c>
      <c r="C10" s="211"/>
      <c r="D10" s="211"/>
      <c r="E10" s="209"/>
    </row>
    <row r="11" spans="1:5" ht="24.95" customHeight="1" thickBot="1" x14ac:dyDescent="0.35">
      <c r="A11" s="486" t="s">
        <v>526</v>
      </c>
      <c r="B11" s="236">
        <v>28471</v>
      </c>
      <c r="C11" s="236"/>
      <c r="D11" s="236"/>
      <c r="E11" s="209"/>
    </row>
    <row r="12" spans="1:5" ht="24.95" customHeight="1" thickBot="1" x14ac:dyDescent="0.35">
      <c r="A12" s="483" t="s">
        <v>221</v>
      </c>
      <c r="B12" s="234">
        <f>SUM(B9:B11)</f>
        <v>141371</v>
      </c>
      <c r="C12" s="234">
        <v>350313</v>
      </c>
      <c r="D12" s="234">
        <v>316585</v>
      </c>
      <c r="E12" s="295">
        <f>+D12/C12*100</f>
        <v>90.372038719659272</v>
      </c>
    </row>
    <row r="13" spans="1:5" ht="24.95" customHeight="1" x14ac:dyDescent="0.3">
      <c r="A13" s="484" t="s">
        <v>527</v>
      </c>
      <c r="B13" s="235">
        <v>213489</v>
      </c>
      <c r="C13" s="235"/>
      <c r="D13" s="235"/>
      <c r="E13" s="485"/>
    </row>
    <row r="14" spans="1:5" ht="24.95" customHeight="1" x14ac:dyDescent="0.3">
      <c r="A14" s="482" t="s">
        <v>528</v>
      </c>
      <c r="B14" s="211">
        <v>240540</v>
      </c>
      <c r="C14" s="211"/>
      <c r="D14" s="211"/>
      <c r="E14" s="212"/>
    </row>
    <row r="15" spans="1:5" ht="24.95" customHeight="1" thickBot="1" x14ac:dyDescent="0.35">
      <c r="A15" s="486" t="s">
        <v>529</v>
      </c>
      <c r="B15" s="236">
        <v>94166</v>
      </c>
      <c r="C15" s="236"/>
      <c r="D15" s="222"/>
      <c r="E15" s="232"/>
    </row>
    <row r="16" spans="1:5" ht="24.95" customHeight="1" thickBot="1" x14ac:dyDescent="0.35">
      <c r="A16" s="483" t="s">
        <v>530</v>
      </c>
      <c r="B16" s="234">
        <f>SUM(B13:B15)</f>
        <v>548195</v>
      </c>
      <c r="C16" s="234">
        <v>959346</v>
      </c>
      <c r="D16" s="234">
        <v>681460</v>
      </c>
      <c r="E16" s="295">
        <f t="shared" ref="E16:E69" si="0">+D16/C16*100</f>
        <v>71.033808448672318</v>
      </c>
    </row>
    <row r="17" spans="1:9" ht="24.95" customHeight="1" x14ac:dyDescent="0.3">
      <c r="A17" s="487" t="s">
        <v>531</v>
      </c>
      <c r="B17" s="491">
        <v>147901</v>
      </c>
      <c r="C17" s="487"/>
      <c r="D17" s="491"/>
      <c r="E17" s="513"/>
    </row>
    <row r="18" spans="1:9" ht="24.95" customHeight="1" x14ac:dyDescent="0.3">
      <c r="A18" s="488" t="s">
        <v>532</v>
      </c>
      <c r="B18" s="492">
        <v>150000</v>
      </c>
      <c r="C18" s="488"/>
      <c r="D18" s="488"/>
      <c r="E18" s="514"/>
    </row>
    <row r="19" spans="1:9" ht="24.95" customHeight="1" thickBot="1" x14ac:dyDescent="0.35">
      <c r="A19" s="490" t="s">
        <v>533</v>
      </c>
      <c r="B19" s="493">
        <v>26100</v>
      </c>
      <c r="C19" s="494"/>
      <c r="D19" s="494"/>
      <c r="E19" s="515"/>
    </row>
    <row r="20" spans="1:9" ht="24.95" customHeight="1" thickBot="1" x14ac:dyDescent="0.35">
      <c r="A20" s="489" t="s">
        <v>534</v>
      </c>
      <c r="B20" s="495">
        <f>SUM(B17:B19)</f>
        <v>324001</v>
      </c>
      <c r="C20" s="495">
        <v>583930</v>
      </c>
      <c r="D20" s="495">
        <v>527576</v>
      </c>
      <c r="E20" s="295">
        <f t="shared" si="0"/>
        <v>90.349185690065596</v>
      </c>
    </row>
    <row r="21" spans="1:9" ht="24.95" customHeight="1" x14ac:dyDescent="0.3">
      <c r="A21" s="496" t="s">
        <v>535</v>
      </c>
      <c r="B21" s="235">
        <v>443658</v>
      </c>
      <c r="C21" s="235"/>
      <c r="D21" s="235"/>
      <c r="E21" s="485"/>
    </row>
    <row r="22" spans="1:9" ht="24.95" customHeight="1" x14ac:dyDescent="0.3">
      <c r="A22" s="497" t="s">
        <v>536</v>
      </c>
      <c r="B22" s="211">
        <v>150760</v>
      </c>
      <c r="C22" s="211"/>
      <c r="D22" s="211"/>
      <c r="E22" s="212"/>
    </row>
    <row r="23" spans="1:9" ht="24.95" customHeight="1" thickBot="1" x14ac:dyDescent="0.35">
      <c r="A23" s="497" t="s">
        <v>537</v>
      </c>
      <c r="B23" s="236">
        <v>189833</v>
      </c>
      <c r="C23" s="236"/>
      <c r="D23" s="236"/>
      <c r="E23" s="232"/>
    </row>
    <row r="24" spans="1:9" ht="24.95" customHeight="1" thickBot="1" x14ac:dyDescent="0.35">
      <c r="A24" s="489" t="s">
        <v>2</v>
      </c>
      <c r="B24" s="234">
        <f>SUM(B21:B23)</f>
        <v>784251</v>
      </c>
      <c r="C24" s="234">
        <v>1002273</v>
      </c>
      <c r="D24" s="234">
        <v>909776</v>
      </c>
      <c r="E24" s="295">
        <f t="shared" si="0"/>
        <v>90.771276887634414</v>
      </c>
    </row>
    <row r="25" spans="1:9" ht="24.95" customHeight="1" thickBot="1" x14ac:dyDescent="0.35">
      <c r="A25" s="489" t="s">
        <v>278</v>
      </c>
      <c r="B25" s="234">
        <f>+B12+B16+B20+B24</f>
        <v>1797818</v>
      </c>
      <c r="C25" s="234">
        <f t="shared" ref="C25:D25" si="1">+C12+C16+C20+C24</f>
        <v>2895862</v>
      </c>
      <c r="D25" s="234">
        <f t="shared" si="1"/>
        <v>2435397</v>
      </c>
      <c r="E25" s="295">
        <f t="shared" si="0"/>
        <v>84.099207766115924</v>
      </c>
    </row>
    <row r="26" spans="1:9" ht="27" customHeight="1" x14ac:dyDescent="0.3">
      <c r="A26" s="983" t="s">
        <v>1380</v>
      </c>
      <c r="B26" s="208">
        <v>202324</v>
      </c>
      <c r="C26" s="208">
        <v>274146</v>
      </c>
      <c r="D26" s="208">
        <v>274146</v>
      </c>
      <c r="E26" s="209">
        <f t="shared" si="0"/>
        <v>100</v>
      </c>
    </row>
    <row r="27" spans="1:9" ht="38.25" customHeight="1" thickBot="1" x14ac:dyDescent="0.35">
      <c r="A27" s="984" t="s">
        <v>368</v>
      </c>
      <c r="B27" s="230">
        <v>302075</v>
      </c>
      <c r="C27" s="230">
        <v>302075</v>
      </c>
      <c r="D27" s="230">
        <v>302075</v>
      </c>
      <c r="E27" s="212">
        <f t="shared" si="0"/>
        <v>100</v>
      </c>
    </row>
    <row r="28" spans="1:9" s="11" customFormat="1" ht="24.95" customHeight="1" thickBot="1" x14ac:dyDescent="0.35">
      <c r="A28" s="489" t="s">
        <v>71</v>
      </c>
      <c r="B28" s="296">
        <f>SUM(B26:B27)</f>
        <v>504399</v>
      </c>
      <c r="C28" s="296">
        <f>SUM(C26:C27)</f>
        <v>576221</v>
      </c>
      <c r="D28" s="296">
        <f>SUM(D26:D27)</f>
        <v>576221</v>
      </c>
      <c r="E28" s="295">
        <f t="shared" si="0"/>
        <v>100</v>
      </c>
      <c r="F28" s="3"/>
      <c r="G28" s="3"/>
      <c r="H28" s="51"/>
      <c r="I28" s="51"/>
    </row>
    <row r="29" spans="1:9" ht="24.95" customHeight="1" thickBot="1" x14ac:dyDescent="0.35">
      <c r="A29" s="985" t="s">
        <v>72</v>
      </c>
      <c r="B29" s="234">
        <f>+B25+B28</f>
        <v>2302217</v>
      </c>
      <c r="C29" s="234">
        <f>+C25+C28</f>
        <v>3472083</v>
      </c>
      <c r="D29" s="234">
        <f>+D25+D28</f>
        <v>3011618</v>
      </c>
      <c r="E29" s="295">
        <f t="shared" si="0"/>
        <v>86.738076249905319</v>
      </c>
    </row>
    <row r="30" spans="1:9" ht="24.95" customHeight="1" x14ac:dyDescent="0.3">
      <c r="A30" s="986" t="s">
        <v>266</v>
      </c>
      <c r="B30" s="297"/>
      <c r="C30" s="297"/>
      <c r="D30" s="297"/>
      <c r="E30" s="298"/>
    </row>
    <row r="31" spans="1:9" ht="24.95" customHeight="1" x14ac:dyDescent="0.3">
      <c r="A31" s="983" t="s">
        <v>226</v>
      </c>
      <c r="B31" s="299">
        <v>3000</v>
      </c>
      <c r="C31" s="299">
        <v>3000</v>
      </c>
      <c r="D31" s="507">
        <v>3000</v>
      </c>
      <c r="E31" s="508">
        <f t="shared" si="0"/>
        <v>100</v>
      </c>
    </row>
    <row r="32" spans="1:9" ht="24.95" customHeight="1" x14ac:dyDescent="0.3">
      <c r="A32" s="987" t="s">
        <v>3</v>
      </c>
      <c r="B32" s="299">
        <v>1200</v>
      </c>
      <c r="C32" s="299">
        <v>1200</v>
      </c>
      <c r="D32" s="507">
        <v>1200</v>
      </c>
      <c r="E32" s="508">
        <f t="shared" si="0"/>
        <v>100</v>
      </c>
    </row>
    <row r="33" spans="1:5" ht="24.95" customHeight="1" x14ac:dyDescent="0.3">
      <c r="A33" s="988" t="s">
        <v>612</v>
      </c>
      <c r="B33" s="302">
        <v>3000</v>
      </c>
      <c r="C33" s="302">
        <v>3000</v>
      </c>
      <c r="D33" s="509">
        <v>3000</v>
      </c>
      <c r="E33" s="508">
        <f t="shared" si="0"/>
        <v>100</v>
      </c>
    </row>
    <row r="34" spans="1:5" ht="24.95" customHeight="1" x14ac:dyDescent="0.3">
      <c r="A34" s="987" t="s">
        <v>117</v>
      </c>
      <c r="B34" s="299">
        <v>4000</v>
      </c>
      <c r="C34" s="299">
        <v>4000</v>
      </c>
      <c r="D34" s="507">
        <v>4000</v>
      </c>
      <c r="E34" s="508">
        <f t="shared" si="0"/>
        <v>100</v>
      </c>
    </row>
    <row r="35" spans="1:5" ht="24.95" customHeight="1" x14ac:dyDescent="0.3">
      <c r="A35" s="497" t="s">
        <v>118</v>
      </c>
      <c r="B35" s="302">
        <v>13000</v>
      </c>
      <c r="C35" s="302">
        <v>13000</v>
      </c>
      <c r="D35" s="509">
        <v>13000</v>
      </c>
      <c r="E35" s="508">
        <f t="shared" si="0"/>
        <v>100</v>
      </c>
    </row>
    <row r="36" spans="1:5" ht="24.95" customHeight="1" x14ac:dyDescent="0.3">
      <c r="A36" s="987" t="s">
        <v>119</v>
      </c>
      <c r="B36" s="299">
        <v>1000</v>
      </c>
      <c r="C36" s="299">
        <v>1000</v>
      </c>
      <c r="D36" s="507">
        <v>1000</v>
      </c>
      <c r="E36" s="508">
        <f t="shared" si="0"/>
        <v>100</v>
      </c>
    </row>
    <row r="37" spans="1:5" ht="24.95" customHeight="1" x14ac:dyDescent="0.3">
      <c r="A37" s="988" t="s">
        <v>613</v>
      </c>
      <c r="B37" s="302">
        <v>3000</v>
      </c>
      <c r="C37" s="302">
        <v>3000</v>
      </c>
      <c r="D37" s="509">
        <v>3000</v>
      </c>
      <c r="E37" s="508">
        <f t="shared" si="0"/>
        <v>100</v>
      </c>
    </row>
    <row r="38" spans="1:5" ht="24.95" customHeight="1" x14ac:dyDescent="0.3">
      <c r="A38" s="988" t="s">
        <v>282</v>
      </c>
      <c r="B38" s="302">
        <v>2000</v>
      </c>
      <c r="C38" s="302">
        <v>2000</v>
      </c>
      <c r="D38" s="509">
        <v>2000</v>
      </c>
      <c r="E38" s="508">
        <f t="shared" si="0"/>
        <v>100</v>
      </c>
    </row>
    <row r="39" spans="1:5" ht="24.95" customHeight="1" x14ac:dyDescent="0.3">
      <c r="A39" s="497" t="s">
        <v>4</v>
      </c>
      <c r="B39" s="303">
        <v>650</v>
      </c>
      <c r="C39" s="303">
        <v>650</v>
      </c>
      <c r="D39" s="532">
        <v>650</v>
      </c>
      <c r="E39" s="508">
        <f t="shared" si="0"/>
        <v>100</v>
      </c>
    </row>
    <row r="40" spans="1:5" ht="24.95" customHeight="1" x14ac:dyDescent="0.3">
      <c r="A40" s="497" t="s">
        <v>14</v>
      </c>
      <c r="B40" s="304">
        <v>2000</v>
      </c>
      <c r="C40" s="304">
        <v>2000</v>
      </c>
      <c r="D40" s="533">
        <v>2000</v>
      </c>
      <c r="E40" s="508">
        <f t="shared" si="0"/>
        <v>100</v>
      </c>
    </row>
    <row r="41" spans="1:5" ht="24.95" customHeight="1" x14ac:dyDescent="0.3">
      <c r="A41" s="497" t="s">
        <v>7</v>
      </c>
      <c r="B41" s="303">
        <v>6000</v>
      </c>
      <c r="C41" s="303">
        <v>6000</v>
      </c>
      <c r="D41" s="532">
        <v>6000</v>
      </c>
      <c r="E41" s="508">
        <f t="shared" si="0"/>
        <v>100</v>
      </c>
    </row>
    <row r="42" spans="1:5" ht="24.95" customHeight="1" x14ac:dyDescent="0.3">
      <c r="A42" s="497" t="s">
        <v>408</v>
      </c>
      <c r="B42" s="303">
        <v>2000</v>
      </c>
      <c r="C42" s="303">
        <v>2000</v>
      </c>
      <c r="D42" s="532">
        <v>2000</v>
      </c>
      <c r="E42" s="508">
        <f t="shared" si="0"/>
        <v>100</v>
      </c>
    </row>
    <row r="43" spans="1:5" ht="24.95" customHeight="1" x14ac:dyDescent="0.3">
      <c r="A43" s="988" t="s">
        <v>127</v>
      </c>
      <c r="B43" s="302">
        <v>2000</v>
      </c>
      <c r="C43" s="302">
        <v>2000</v>
      </c>
      <c r="D43" s="509">
        <v>2000</v>
      </c>
      <c r="E43" s="508">
        <f t="shared" si="0"/>
        <v>100</v>
      </c>
    </row>
    <row r="44" spans="1:5" ht="24.95" customHeight="1" x14ac:dyDescent="0.3">
      <c r="A44" s="989" t="s">
        <v>200</v>
      </c>
      <c r="B44" s="303">
        <v>1600</v>
      </c>
      <c r="C44" s="303">
        <v>1600</v>
      </c>
      <c r="D44" s="532">
        <v>1600</v>
      </c>
      <c r="E44" s="508">
        <f t="shared" si="0"/>
        <v>100</v>
      </c>
    </row>
    <row r="45" spans="1:5" ht="24.95" customHeight="1" x14ac:dyDescent="0.3">
      <c r="A45" s="987" t="s">
        <v>25</v>
      </c>
      <c r="B45" s="299">
        <v>1500</v>
      </c>
      <c r="C45" s="299">
        <v>1500</v>
      </c>
      <c r="D45" s="507">
        <v>1500</v>
      </c>
      <c r="E45" s="508">
        <f t="shared" si="0"/>
        <v>100</v>
      </c>
    </row>
    <row r="46" spans="1:5" ht="24.95" customHeight="1" x14ac:dyDescent="0.3">
      <c r="A46" s="987" t="s">
        <v>283</v>
      </c>
      <c r="B46" s="299">
        <v>1200</v>
      </c>
      <c r="C46" s="299">
        <v>1200</v>
      </c>
      <c r="D46" s="507">
        <v>1200</v>
      </c>
      <c r="E46" s="508">
        <f t="shared" si="0"/>
        <v>100</v>
      </c>
    </row>
    <row r="47" spans="1:5" ht="24.95" customHeight="1" x14ac:dyDescent="0.3">
      <c r="A47" s="987" t="s">
        <v>284</v>
      </c>
      <c r="B47" s="299">
        <v>1500</v>
      </c>
      <c r="C47" s="299">
        <v>1500</v>
      </c>
      <c r="D47" s="507">
        <v>1500</v>
      </c>
      <c r="E47" s="508">
        <f t="shared" si="0"/>
        <v>100</v>
      </c>
    </row>
    <row r="48" spans="1:5" ht="24.95" customHeight="1" x14ac:dyDescent="0.3">
      <c r="A48" s="987" t="s">
        <v>273</v>
      </c>
      <c r="B48" s="299">
        <v>1000</v>
      </c>
      <c r="C48" s="299">
        <v>1000</v>
      </c>
      <c r="D48" s="507">
        <v>1000</v>
      </c>
      <c r="E48" s="508">
        <f t="shared" si="0"/>
        <v>100</v>
      </c>
    </row>
    <row r="49" spans="1:5" ht="24.95" customHeight="1" x14ac:dyDescent="0.3">
      <c r="A49" s="987" t="s">
        <v>409</v>
      </c>
      <c r="B49" s="299">
        <v>1000</v>
      </c>
      <c r="C49" s="299">
        <v>1000</v>
      </c>
      <c r="D49" s="507">
        <v>1000</v>
      </c>
      <c r="E49" s="508">
        <f t="shared" si="0"/>
        <v>100</v>
      </c>
    </row>
    <row r="50" spans="1:5" ht="24.95" customHeight="1" x14ac:dyDescent="0.3">
      <c r="A50" s="990" t="s">
        <v>1197</v>
      </c>
      <c r="B50" s="305">
        <v>1000</v>
      </c>
      <c r="C50" s="305">
        <v>1000</v>
      </c>
      <c r="D50" s="534">
        <v>1000</v>
      </c>
      <c r="E50" s="535">
        <f t="shared" si="0"/>
        <v>100</v>
      </c>
    </row>
    <row r="51" spans="1:5" ht="24.95" customHeight="1" thickBot="1" x14ac:dyDescent="0.35">
      <c r="A51" s="991" t="s">
        <v>267</v>
      </c>
      <c r="B51" s="307">
        <f>SUM(B31:B50)</f>
        <v>51650</v>
      </c>
      <c r="C51" s="307">
        <f>SUM(C31:C50)</f>
        <v>51650</v>
      </c>
      <c r="D51" s="307">
        <f>SUM(D31:D50)</f>
        <v>51650</v>
      </c>
      <c r="E51" s="312">
        <f t="shared" si="0"/>
        <v>100</v>
      </c>
    </row>
    <row r="52" spans="1:5" ht="24.95" customHeight="1" thickBot="1" x14ac:dyDescent="0.35">
      <c r="A52" s="489" t="s">
        <v>614</v>
      </c>
      <c r="B52" s="408">
        <f>+B29+B51</f>
        <v>2353867</v>
      </c>
      <c r="C52" s="408">
        <f>+C29+C51</f>
        <v>3523733</v>
      </c>
      <c r="D52" s="408">
        <f>+D29+D51</f>
        <v>3063268</v>
      </c>
      <c r="E52" s="312">
        <f t="shared" si="0"/>
        <v>86.932466222611083</v>
      </c>
    </row>
    <row r="53" spans="1:5" ht="24.75" customHeight="1" thickBot="1" x14ac:dyDescent="0.35">
      <c r="A53" s="992" t="s">
        <v>615</v>
      </c>
      <c r="B53" s="238">
        <v>12000</v>
      </c>
      <c r="C53" s="238">
        <v>15474</v>
      </c>
      <c r="D53" s="238">
        <v>14570</v>
      </c>
      <c r="E53" s="308">
        <f t="shared" si="0"/>
        <v>94.157942354917921</v>
      </c>
    </row>
    <row r="54" spans="1:5" ht="24.75" customHeight="1" thickBot="1" x14ac:dyDescent="0.35">
      <c r="A54" s="489" t="s">
        <v>616</v>
      </c>
      <c r="B54" s="234">
        <v>20000</v>
      </c>
      <c r="C54" s="234">
        <v>0</v>
      </c>
      <c r="D54" s="234"/>
      <c r="E54" s="295"/>
    </row>
    <row r="55" spans="1:5" ht="24.75" customHeight="1" x14ac:dyDescent="0.3">
      <c r="A55" s="993" t="s">
        <v>446</v>
      </c>
      <c r="B55" s="309"/>
      <c r="C55" s="309"/>
      <c r="D55" s="309"/>
      <c r="E55" s="310"/>
    </row>
    <row r="56" spans="1:5" ht="24.95" customHeight="1" x14ac:dyDescent="0.3">
      <c r="A56" s="987" t="s">
        <v>448</v>
      </c>
      <c r="B56" s="299">
        <v>55000</v>
      </c>
      <c r="C56" s="299">
        <v>52352</v>
      </c>
      <c r="D56" s="507">
        <v>52351</v>
      </c>
      <c r="E56" s="508">
        <f t="shared" si="0"/>
        <v>99.998089853300726</v>
      </c>
    </row>
    <row r="57" spans="1:5" ht="24.95" customHeight="1" x14ac:dyDescent="0.3">
      <c r="A57" s="987" t="s">
        <v>449</v>
      </c>
      <c r="B57" s="299">
        <v>20000</v>
      </c>
      <c r="C57" s="299">
        <v>20651</v>
      </c>
      <c r="D57" s="507">
        <v>16687</v>
      </c>
      <c r="E57" s="508">
        <f t="shared" si="0"/>
        <v>80.804803641470144</v>
      </c>
    </row>
    <row r="58" spans="1:5" ht="24.95" customHeight="1" thickBot="1" x14ac:dyDescent="0.35">
      <c r="A58" s="994" t="s">
        <v>447</v>
      </c>
      <c r="B58" s="225">
        <f>SUM(B56:B57)</f>
        <v>75000</v>
      </c>
      <c r="C58" s="225">
        <f>SUM(C56:C57)</f>
        <v>73003</v>
      </c>
      <c r="D58" s="225">
        <f>SUM(D56:D57)</f>
        <v>69038</v>
      </c>
      <c r="E58" s="226">
        <f t="shared" si="0"/>
        <v>94.568716354122429</v>
      </c>
    </row>
    <row r="59" spans="1:5" ht="24.95" customHeight="1" thickBot="1" x14ac:dyDescent="0.35">
      <c r="A59" s="995" t="s">
        <v>73</v>
      </c>
      <c r="B59" s="225">
        <f>B54+B58</f>
        <v>95000</v>
      </c>
      <c r="C59" s="225">
        <f>C54+C58</f>
        <v>73003</v>
      </c>
      <c r="D59" s="225">
        <f>D54+D58</f>
        <v>69038</v>
      </c>
      <c r="E59" s="295">
        <f t="shared" si="0"/>
        <v>94.568716354122429</v>
      </c>
    </row>
    <row r="60" spans="1:5" ht="24.95" customHeight="1" x14ac:dyDescent="0.3">
      <c r="A60" s="996" t="s">
        <v>437</v>
      </c>
      <c r="B60" s="309"/>
      <c r="C60" s="309"/>
      <c r="D60" s="309"/>
      <c r="E60" s="310"/>
    </row>
    <row r="61" spans="1:5" ht="40.5" customHeight="1" x14ac:dyDescent="0.3">
      <c r="A61" s="997" t="s">
        <v>222</v>
      </c>
      <c r="B61" s="238"/>
      <c r="C61" s="238"/>
      <c r="D61" s="238"/>
      <c r="E61" s="216"/>
    </row>
    <row r="62" spans="1:5" ht="24.95" customHeight="1" x14ac:dyDescent="0.3">
      <c r="A62" s="987" t="s">
        <v>268</v>
      </c>
      <c r="B62" s="302">
        <v>2023</v>
      </c>
      <c r="C62" s="302">
        <v>2585</v>
      </c>
      <c r="D62" s="509">
        <v>2250</v>
      </c>
      <c r="E62" s="508">
        <f t="shared" si="0"/>
        <v>87.040618955512571</v>
      </c>
    </row>
    <row r="63" spans="1:5" ht="24.95" customHeight="1" x14ac:dyDescent="0.3">
      <c r="A63" s="987" t="s">
        <v>524</v>
      </c>
      <c r="B63" s="299">
        <v>48651</v>
      </c>
      <c r="C63" s="299">
        <v>49769</v>
      </c>
      <c r="D63" s="300">
        <v>49769</v>
      </c>
      <c r="E63" s="301">
        <f t="shared" si="0"/>
        <v>100</v>
      </c>
    </row>
    <row r="64" spans="1:5" ht="39" customHeight="1" x14ac:dyDescent="0.3">
      <c r="A64" s="987" t="s">
        <v>410</v>
      </c>
      <c r="B64" s="299">
        <v>300</v>
      </c>
      <c r="C64" s="299">
        <v>300</v>
      </c>
      <c r="D64" s="300">
        <v>300</v>
      </c>
      <c r="E64" s="301">
        <f t="shared" si="0"/>
        <v>100</v>
      </c>
    </row>
    <row r="65" spans="1:5" ht="34.5" customHeight="1" x14ac:dyDescent="0.3">
      <c r="A65" s="987" t="s">
        <v>617</v>
      </c>
      <c r="B65" s="299">
        <v>10000</v>
      </c>
      <c r="C65" s="299">
        <v>28570</v>
      </c>
      <c r="D65" s="507">
        <v>23008</v>
      </c>
      <c r="E65" s="508">
        <f t="shared" si="0"/>
        <v>80.53202660133006</v>
      </c>
    </row>
    <row r="66" spans="1:5" ht="34.5" customHeight="1" x14ac:dyDescent="0.3">
      <c r="A66" s="987" t="s">
        <v>450</v>
      </c>
      <c r="B66" s="299">
        <v>6000</v>
      </c>
      <c r="C66" s="299">
        <v>6000</v>
      </c>
      <c r="D66" s="300">
        <v>6000</v>
      </c>
      <c r="E66" s="301">
        <f t="shared" si="0"/>
        <v>100</v>
      </c>
    </row>
    <row r="67" spans="1:5" ht="42.75" customHeight="1" x14ac:dyDescent="0.3">
      <c r="A67" s="987" t="s">
        <v>569</v>
      </c>
      <c r="B67" s="299"/>
      <c r="C67" s="299">
        <v>500</v>
      </c>
      <c r="D67" s="300">
        <v>500</v>
      </c>
      <c r="E67" s="301">
        <f t="shared" si="0"/>
        <v>100</v>
      </c>
    </row>
    <row r="68" spans="1:5" ht="42.75" customHeight="1" x14ac:dyDescent="0.3">
      <c r="A68" s="987" t="s">
        <v>567</v>
      </c>
      <c r="B68" s="299"/>
      <c r="C68" s="299">
        <v>1200</v>
      </c>
      <c r="D68" s="300">
        <v>1200</v>
      </c>
      <c r="E68" s="301">
        <f t="shared" si="0"/>
        <v>100</v>
      </c>
    </row>
    <row r="69" spans="1:5" ht="42.75" customHeight="1" x14ac:dyDescent="0.3">
      <c r="A69" s="998" t="s">
        <v>525</v>
      </c>
      <c r="B69" s="305">
        <v>2000</v>
      </c>
      <c r="C69" s="305">
        <v>4500</v>
      </c>
      <c r="D69" s="306">
        <v>4100</v>
      </c>
      <c r="E69" s="301">
        <f t="shared" si="0"/>
        <v>91.111111111111114</v>
      </c>
    </row>
    <row r="70" spans="1:5" ht="42" customHeight="1" thickBot="1" x14ac:dyDescent="0.35">
      <c r="A70" s="999" t="s">
        <v>500</v>
      </c>
      <c r="B70" s="311">
        <f>SUM(B62:B69)</f>
        <v>68974</v>
      </c>
      <c r="C70" s="311">
        <f>SUM(C62:C69)</f>
        <v>93424</v>
      </c>
      <c r="D70" s="311">
        <f>SUM(D62:D69)</f>
        <v>87127</v>
      </c>
      <c r="E70" s="312">
        <f t="shared" ref="E70:E79" si="2">+D70/C70*100</f>
        <v>93.259761945538628</v>
      </c>
    </row>
    <row r="71" spans="1:5" ht="24.95" customHeight="1" x14ac:dyDescent="0.3">
      <c r="A71" s="993" t="s">
        <v>160</v>
      </c>
      <c r="B71" s="309"/>
      <c r="C71" s="309"/>
      <c r="D71" s="309"/>
      <c r="E71" s="310"/>
    </row>
    <row r="72" spans="1:5" ht="24.95" customHeight="1" x14ac:dyDescent="0.3">
      <c r="A72" s="1000" t="s">
        <v>334</v>
      </c>
      <c r="B72" s="302">
        <v>2084</v>
      </c>
      <c r="C72" s="302">
        <v>4406</v>
      </c>
      <c r="D72" s="505">
        <v>3868</v>
      </c>
      <c r="E72" s="506">
        <f t="shared" si="2"/>
        <v>87.789378120744445</v>
      </c>
    </row>
    <row r="73" spans="1:5" ht="24.95" customHeight="1" thickBot="1" x14ac:dyDescent="0.35">
      <c r="A73" s="995" t="s">
        <v>176</v>
      </c>
      <c r="B73" s="225">
        <f>SUM(B72:B72)</f>
        <v>2084</v>
      </c>
      <c r="C73" s="225">
        <f>SUM(C72:C72)</f>
        <v>4406</v>
      </c>
      <c r="D73" s="225">
        <f>SUM(D72:D72)</f>
        <v>3868</v>
      </c>
      <c r="E73" s="226">
        <f t="shared" si="2"/>
        <v>87.789378120744445</v>
      </c>
    </row>
    <row r="74" spans="1:5" ht="24.75" customHeight="1" thickBot="1" x14ac:dyDescent="0.35">
      <c r="A74" s="995" t="s">
        <v>177</v>
      </c>
      <c r="B74" s="225">
        <f>B70+B73</f>
        <v>71058</v>
      </c>
      <c r="C74" s="225">
        <f>C70+C73</f>
        <v>97830</v>
      </c>
      <c r="D74" s="225">
        <f>D70+D73</f>
        <v>90995</v>
      </c>
      <c r="E74" s="295">
        <f t="shared" si="2"/>
        <v>93.013390575488089</v>
      </c>
    </row>
    <row r="75" spans="1:5" ht="24.75" customHeight="1" x14ac:dyDescent="0.3">
      <c r="A75" s="996" t="s">
        <v>178</v>
      </c>
      <c r="B75" s="309"/>
      <c r="C75" s="309"/>
      <c r="D75" s="309"/>
      <c r="E75" s="310"/>
    </row>
    <row r="76" spans="1:5" ht="24.75" customHeight="1" x14ac:dyDescent="0.3">
      <c r="A76" s="497" t="s">
        <v>451</v>
      </c>
      <c r="B76" s="211">
        <v>384000</v>
      </c>
      <c r="C76" s="211">
        <v>428571</v>
      </c>
      <c r="D76" s="213">
        <v>428571</v>
      </c>
      <c r="E76" s="741">
        <f t="shared" si="2"/>
        <v>100</v>
      </c>
    </row>
    <row r="77" spans="1:5" ht="24.95" customHeight="1" thickBot="1" x14ac:dyDescent="0.35">
      <c r="A77" s="995" t="s">
        <v>179</v>
      </c>
      <c r="B77" s="225">
        <f>SUM(B76:B76)</f>
        <v>384000</v>
      </c>
      <c r="C77" s="225">
        <f>SUM(C76:C76)</f>
        <v>428571</v>
      </c>
      <c r="D77" s="225">
        <f>SUM(D76:D76)</f>
        <v>428571</v>
      </c>
      <c r="E77" s="226">
        <f t="shared" si="2"/>
        <v>100</v>
      </c>
    </row>
    <row r="78" spans="1:5" ht="24.95" customHeight="1" thickBot="1" x14ac:dyDescent="0.35">
      <c r="A78" s="995" t="s">
        <v>269</v>
      </c>
      <c r="B78" s="311">
        <f>+B53+B59+B74+B77</f>
        <v>562058</v>
      </c>
      <c r="C78" s="311">
        <f>+C53+C59+C74+C77</f>
        <v>614878</v>
      </c>
      <c r="D78" s="311">
        <f>+D53+D59+D74+D77</f>
        <v>603174</v>
      </c>
      <c r="E78" s="295">
        <f t="shared" si="2"/>
        <v>98.09653297076818</v>
      </c>
    </row>
    <row r="79" spans="1:5" ht="24.95" customHeight="1" thickBot="1" x14ac:dyDescent="0.35">
      <c r="A79" s="489" t="s">
        <v>296</v>
      </c>
      <c r="B79" s="234">
        <f>+B78+B52</f>
        <v>2915925</v>
      </c>
      <c r="C79" s="234">
        <f>+C78+C52</f>
        <v>4138611</v>
      </c>
      <c r="D79" s="234">
        <f>+D78+D52</f>
        <v>3666442</v>
      </c>
      <c r="E79" s="295">
        <f t="shared" si="2"/>
        <v>88.591123930226829</v>
      </c>
    </row>
    <row r="80" spans="1:5" ht="15" customHeight="1" x14ac:dyDescent="0.25">
      <c r="A80" s="1001"/>
      <c r="B80" s="60"/>
      <c r="C80" s="60"/>
      <c r="D80" s="60"/>
      <c r="E80" s="60"/>
    </row>
    <row r="81" spans="1:5" ht="15" customHeight="1" x14ac:dyDescent="0.25">
      <c r="A81" s="1001"/>
      <c r="B81" s="60"/>
      <c r="C81" s="60"/>
      <c r="D81" s="82"/>
      <c r="E81" s="60"/>
    </row>
    <row r="82" spans="1:5" ht="24.75" customHeight="1" thickBot="1" x14ac:dyDescent="0.3">
      <c r="A82" s="973" t="s">
        <v>16</v>
      </c>
      <c r="B82" s="64"/>
      <c r="C82" s="64"/>
      <c r="D82" s="64"/>
      <c r="E82" s="64"/>
    </row>
    <row r="83" spans="1:5" ht="24.75" customHeight="1" thickBot="1" x14ac:dyDescent="0.35">
      <c r="A83" s="978" t="s">
        <v>29</v>
      </c>
      <c r="B83" s="1883" t="s">
        <v>514</v>
      </c>
      <c r="C83" s="1883"/>
      <c r="D83" s="147" t="s">
        <v>305</v>
      </c>
      <c r="E83" s="248" t="s">
        <v>90</v>
      </c>
    </row>
    <row r="84" spans="1:5" ht="24.75" customHeight="1" thickBot="1" x14ac:dyDescent="0.35">
      <c r="A84" s="1002"/>
      <c r="B84" s="467" t="s">
        <v>184</v>
      </c>
      <c r="C84" s="467" t="s">
        <v>88</v>
      </c>
      <c r="D84" s="291" t="s">
        <v>89</v>
      </c>
      <c r="E84" s="291" t="s">
        <v>91</v>
      </c>
    </row>
    <row r="85" spans="1:5" ht="24.75" customHeight="1" x14ac:dyDescent="0.3">
      <c r="A85" s="1003" t="s">
        <v>70</v>
      </c>
      <c r="B85" s="194"/>
      <c r="C85" s="247"/>
      <c r="D85" s="248"/>
      <c r="E85" s="248"/>
    </row>
    <row r="86" spans="1:5" ht="24.75" customHeight="1" x14ac:dyDescent="0.3">
      <c r="A86" s="1004" t="s">
        <v>618</v>
      </c>
      <c r="B86" s="238"/>
      <c r="C86" s="219">
        <v>2575</v>
      </c>
      <c r="D86" s="219">
        <v>2074</v>
      </c>
      <c r="E86" s="956">
        <f t="shared" ref="E86:E89" si="3">+D86/C86*100</f>
        <v>80.543689320388339</v>
      </c>
    </row>
    <row r="87" spans="1:5" ht="24.75" customHeight="1" x14ac:dyDescent="0.3">
      <c r="A87" s="482" t="s">
        <v>501</v>
      </c>
      <c r="B87" s="313"/>
      <c r="C87" s="211">
        <v>63073</v>
      </c>
      <c r="D87" s="211">
        <v>13807</v>
      </c>
      <c r="E87" s="741">
        <f t="shared" si="3"/>
        <v>21.890507824267118</v>
      </c>
    </row>
    <row r="88" spans="1:5" ht="24.75" customHeight="1" x14ac:dyDescent="0.3">
      <c r="A88" s="1005" t="s">
        <v>502</v>
      </c>
      <c r="B88" s="314"/>
      <c r="C88" s="314">
        <v>23369</v>
      </c>
      <c r="D88" s="314">
        <v>16020</v>
      </c>
      <c r="E88" s="874">
        <f>D88/C88*100</f>
        <v>68.55235568488169</v>
      </c>
    </row>
    <row r="89" spans="1:5" ht="24.75" customHeight="1" thickBot="1" x14ac:dyDescent="0.35">
      <c r="A89" s="1006" t="s">
        <v>240</v>
      </c>
      <c r="B89" s="315"/>
      <c r="C89" s="236">
        <v>19249</v>
      </c>
      <c r="D89" s="236">
        <v>8504</v>
      </c>
      <c r="E89" s="741">
        <f t="shared" si="3"/>
        <v>44.178918385370672</v>
      </c>
    </row>
    <row r="90" spans="1:5" ht="24.75" customHeight="1" thickBot="1" x14ac:dyDescent="0.35">
      <c r="A90" s="977" t="s">
        <v>315</v>
      </c>
      <c r="B90" s="227">
        <f>SUM(B86:B89)</f>
        <v>0</v>
      </c>
      <c r="C90" s="227">
        <f>SUM(C86:C89)</f>
        <v>108266</v>
      </c>
      <c r="D90" s="227">
        <f>SUM(D86:D89)</f>
        <v>40405</v>
      </c>
      <c r="E90" s="295">
        <f t="shared" ref="E90:E92" si="4">+D90/C90*100</f>
        <v>37.320118966249794</v>
      </c>
    </row>
    <row r="91" spans="1:5" ht="15" customHeight="1" thickBot="1" x14ac:dyDescent="0.35">
      <c r="A91" s="1007"/>
      <c r="B91" s="237"/>
      <c r="C91" s="237"/>
      <c r="D91" s="287"/>
      <c r="E91" s="316"/>
    </row>
    <row r="92" spans="1:5" ht="21.75" customHeight="1" thickBot="1" x14ac:dyDescent="0.35">
      <c r="A92" s="489" t="s">
        <v>316</v>
      </c>
      <c r="B92" s="317">
        <f>+B79+B90</f>
        <v>2915925</v>
      </c>
      <c r="C92" s="317">
        <f>+C79+C90</f>
        <v>4246877</v>
      </c>
      <c r="D92" s="317">
        <f>+D79+D90</f>
        <v>3706847</v>
      </c>
      <c r="E92" s="295">
        <f t="shared" si="4"/>
        <v>87.28406779852584</v>
      </c>
    </row>
    <row r="93" spans="1:5" ht="15" customHeight="1" x14ac:dyDescent="0.2">
      <c r="D93" s="3"/>
    </row>
    <row r="94" spans="1:5" ht="15" customHeight="1" x14ac:dyDescent="0.2">
      <c r="D94" s="3"/>
      <c r="E94" s="3"/>
    </row>
    <row r="95" spans="1:5" ht="15" customHeight="1" x14ac:dyDescent="0.2">
      <c r="C95" s="3"/>
      <c r="D95" s="3"/>
      <c r="E95" s="3"/>
    </row>
    <row r="98" spans="4:4" ht="15" customHeight="1" x14ac:dyDescent="0.2">
      <c r="D98" s="3"/>
    </row>
    <row r="99" spans="4:4" ht="15" customHeight="1" x14ac:dyDescent="0.2">
      <c r="D99" s="3"/>
    </row>
  </sheetData>
  <mergeCells count="3">
    <mergeCell ref="B5:C5"/>
    <mergeCell ref="B83:C8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paperSize="9" scale="52" orientation="portrait" r:id="rId1"/>
  <headerFooter alignWithMargins="0">
    <oddHeader xml:space="preserve">&amp;R&amp;"Calibri,Félkövér"&amp;11
&amp;12 9. melléklet a 10/2024.(V.31.) önkormányzati rendelethez 
</oddHeader>
  </headerFooter>
  <rowBreaks count="1" manualBreakCount="1">
    <brk id="5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39</vt:i4>
      </vt:variant>
    </vt:vector>
  </HeadingPairs>
  <TitlesOfParts>
    <vt:vector size="69" baseType="lpstr">
      <vt:lpstr>1 kiemelt előirányzatok telj. </vt:lpstr>
      <vt:lpstr>2 mérleg </vt:lpstr>
      <vt:lpstr>3 bev.részl</vt:lpstr>
      <vt:lpstr>4 int.bev.</vt:lpstr>
      <vt:lpstr>5 normativa</vt:lpstr>
      <vt:lpstr>6. int. kiad.</vt:lpstr>
      <vt:lpstr>7 létszám</vt:lpstr>
      <vt:lpstr>8 okt.</vt:lpstr>
      <vt:lpstr>9 kult.</vt:lpstr>
      <vt:lpstr>10 szoc.</vt:lpstr>
      <vt:lpstr>11 eü.</vt:lpstr>
      <vt:lpstr>12 Gyerm.</vt:lpstr>
      <vt:lpstr>13 egyéb</vt:lpstr>
      <vt:lpstr>14 sport</vt:lpstr>
      <vt:lpstr>15 város.ü.,körny</vt:lpstr>
      <vt:lpstr>16 út-híd</vt:lpstr>
      <vt:lpstr>17 fbev.</vt:lpstr>
      <vt:lpstr>18 fkia.</vt:lpstr>
      <vt:lpstr>19 pénzeszkváltsa</vt:lpstr>
      <vt:lpstr>20 közvetett támogatás</vt:lpstr>
      <vt:lpstr>21 Eu projektek</vt:lpstr>
      <vt:lpstr>22 többév1</vt:lpstr>
      <vt:lpstr>23 eszközök</vt:lpstr>
      <vt:lpstr>24 források</vt:lpstr>
      <vt:lpstr>25 lakásalapelsz</vt:lpstr>
      <vt:lpstr>26 segély</vt:lpstr>
      <vt:lpstr>27 kataszter</vt:lpstr>
      <vt:lpstr>28 vagyonkimutatás </vt:lpstr>
      <vt:lpstr>29 Részesedések</vt:lpstr>
      <vt:lpstr>30 Lízing </vt:lpstr>
      <vt:lpstr>'13 egyéb'!Nyomtatási_cím</vt:lpstr>
      <vt:lpstr>'14 sport'!Nyomtatási_cím</vt:lpstr>
      <vt:lpstr>'17 fbev.'!Nyomtatási_cím</vt:lpstr>
      <vt:lpstr>'18 fkia.'!Nyomtatási_cím</vt:lpstr>
      <vt:lpstr>'19 pénzeszkváltsa'!Nyomtatási_cím</vt:lpstr>
      <vt:lpstr>'28 vagyonkimutatás '!Nyomtatási_cím</vt:lpstr>
      <vt:lpstr>'3 bev.részl'!Nyomtatási_cím</vt:lpstr>
      <vt:lpstr>'5 normativa'!Nyomtatási_cím</vt:lpstr>
      <vt:lpstr>'7 létszám'!Nyomtatási_cím</vt:lpstr>
      <vt:lpstr>'9 kult.'!Nyomtatási_cím</vt:lpstr>
      <vt:lpstr>'1 kiemelt előirányzatok telj. '!Nyomtatási_terület</vt:lpstr>
      <vt:lpstr>'10 szoc.'!Nyomtatási_terület</vt:lpstr>
      <vt:lpstr>'11 eü.'!Nyomtatási_terület</vt:lpstr>
      <vt:lpstr>'12 Gyerm.'!Nyomtatási_terület</vt:lpstr>
      <vt:lpstr>'13 egyéb'!Nyomtatási_terület</vt:lpstr>
      <vt:lpstr>'14 sport'!Nyomtatási_terület</vt:lpstr>
      <vt:lpstr>'15 város.ü.,körny'!Nyomtatási_terület</vt:lpstr>
      <vt:lpstr>'16 út-híd'!Nyomtatási_terület</vt:lpstr>
      <vt:lpstr>'17 fbev.'!Nyomtatási_terület</vt:lpstr>
      <vt:lpstr>'18 fkia.'!Nyomtatási_terület</vt:lpstr>
      <vt:lpstr>'19 pénzeszkváltsa'!Nyomtatási_terület</vt:lpstr>
      <vt:lpstr>'2 mérleg '!Nyomtatási_terület</vt:lpstr>
      <vt:lpstr>'20 közvetett támogatás'!Nyomtatási_terület</vt:lpstr>
      <vt:lpstr>'21 Eu projektek'!Nyomtatási_terület</vt:lpstr>
      <vt:lpstr>'22 többév1'!Nyomtatási_terület</vt:lpstr>
      <vt:lpstr>'23 eszközök'!Nyomtatási_terület</vt:lpstr>
      <vt:lpstr>'24 források'!Nyomtatási_terület</vt:lpstr>
      <vt:lpstr>'25 lakásalapelsz'!Nyomtatási_terület</vt:lpstr>
      <vt:lpstr>'26 segély'!Nyomtatási_terület</vt:lpstr>
      <vt:lpstr>'27 kataszter'!Nyomtatási_terület</vt:lpstr>
      <vt:lpstr>'28 vagyonkimutatás '!Nyomtatási_terület</vt:lpstr>
      <vt:lpstr>'3 bev.részl'!Nyomtatási_terület</vt:lpstr>
      <vt:lpstr>'30 Lízing '!Nyomtatási_terület</vt:lpstr>
      <vt:lpstr>'4 int.bev.'!Nyomtatási_terület</vt:lpstr>
      <vt:lpstr>'5 normativa'!Nyomtatási_terület</vt:lpstr>
      <vt:lpstr>'6. int. kiad.'!Nyomtatási_terület</vt:lpstr>
      <vt:lpstr>'7 létszám'!Nyomtatási_terület</vt:lpstr>
      <vt:lpstr>'8 okt.'!Nyomtatási_terület</vt:lpstr>
      <vt:lpstr>'9 kult.'!Nyomtatási_terület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Horváth Ildikó dr.</cp:lastModifiedBy>
  <cp:lastPrinted>2024-05-31T08:20:02Z</cp:lastPrinted>
  <dcterms:created xsi:type="dcterms:W3CDTF">1998-01-10T07:52:54Z</dcterms:created>
  <dcterms:modified xsi:type="dcterms:W3CDTF">2024-05-31T08:29:23Z</dcterms:modified>
</cp:coreProperties>
</file>